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750" yWindow="555" windowWidth="13260" windowHeight="10455" tabRatio="776" firstSheet="3" activeTab="8"/>
  </bookViews>
  <sheets>
    <sheet name="прил.№1 доходы" sheetId="1" r:id="rId1"/>
    <sheet name="прил.№2 Рд,пр" sheetId="2" r:id="rId2"/>
    <sheet name="ПРил.№3 Рд,пр, ЦС,ВР" sheetId="3" r:id="rId3"/>
    <sheet name="Прил.№4 ведомств." sheetId="4" r:id="rId4"/>
    <sheet name="Прил.№5 ведомств.старая" sheetId="10" state="hidden" r:id="rId5"/>
    <sheet name="прил.№5 МП" sheetId="5" r:id="rId6"/>
    <sheet name="прил.№6 МП старая" sheetId="11" state="hidden" r:id="rId7"/>
    <sheet name="прил.№6 публ." sheetId="6" r:id="rId8"/>
    <sheet name="прил.№7 источники" sheetId="7" r:id="rId9"/>
  </sheets>
  <definedNames>
    <definedName name="_xlnm.Print_Area" localSheetId="0">'прил.№1 доходы'!$A$1:$K$161</definedName>
    <definedName name="_xlnm.Print_Area" localSheetId="1">'прил.№2 Рд,пр'!$A$1:$K$54</definedName>
    <definedName name="_xlnm.Print_Area" localSheetId="2">'ПРил.№3 Рд,пр, ЦС,ВР'!$A$1:$M$962</definedName>
    <definedName name="_xlnm.Print_Area" localSheetId="3">'Прил.№4 ведомств.'!$A$1:$O$1120</definedName>
    <definedName name="_xlnm.Print_Area" localSheetId="4">'Прил.№5 ведомств.старая'!$A$1:$H$975</definedName>
    <definedName name="_xlnm.Print_Area" localSheetId="5">'прил.№5 МП'!$A$1:$N$631</definedName>
    <definedName name="_xlnm.Print_Area" localSheetId="6">'прил.№6 МП старая'!$A$1:$G$534</definedName>
    <definedName name="_xlnm.Print_Area" localSheetId="8">'прил.№7 источники'!$A$1:$L$17</definedName>
  </definedNames>
  <calcPr calcId="125725"/>
</workbook>
</file>

<file path=xl/sharedStrings.xml><?xml version="1.0" encoding="utf-8"?>
<sst xmlns="http://schemas.openxmlformats.org/spreadsheetml/2006/main" count="18990" uniqueCount="1050">
  <si>
    <t>к решению СПОГО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</si>
  <si>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</si>
  <si>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</si>
  <si>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</si>
  <si>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</si>
  <si>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</si>
  <si>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</si>
  <si>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</si>
  <si>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</si>
  <si>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</si>
  <si>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</si>
  <si>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</si>
  <si>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</si>
  <si>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</si>
  <si>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</si>
  <si>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</si>
  <si>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</si>
  <si>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</si>
  <si>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</si>
  <si>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</si>
  <si>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</si>
  <si>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</si>
  <si>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</si>
  <si>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</si>
  <si>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</si>
  <si>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</si>
  <si>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</si>
  <si>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</si>
  <si>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</si>
  <si>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</si>
  <si>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</si>
  <si>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</si>
  <si>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</si>
  <si>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</si>
  <si>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</si>
  <si>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</si>
  <si>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</si>
  <si>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</si>
  <si>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</si>
  <si>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</si>
  <si>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</si>
  <si>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</si>
  <si>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</si>
  <si>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</si>
  <si>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</si>
  <si>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</si>
  <si>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</si>
  <si>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</si>
  <si>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</si>
  <si>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</si>
  <si>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</si>
  <si>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</si>
  <si>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</si>
  <si>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</si>
  <si>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</si>
  <si>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</si>
  <si>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</si>
  <si>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</si>
  <si>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</si>
  <si>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</si>
  <si>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</si>
  <si>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</si>
  <si>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</si>
  <si>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</si>
  <si>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</si>
  <si>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</si>
  <si>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</si>
  <si>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</si>
  <si>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</si>
  <si>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</si>
  <si>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</si>
  <si>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</si>
  <si>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</si>
  <si>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</si>
  <si>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</si>
  <si>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</si>
  <si>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</si>
  <si>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</si>
  <si>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</si>
  <si>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</si>
  <si>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</si>
  <si>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</si>
  <si>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</si>
  <si>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</si>
  <si>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</si>
  <si>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</si>
  <si>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</si>
  <si>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</si>
  <si>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</si>
  <si>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</si>
  <si>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</si>
  <si>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</si>
  <si>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</si>
  <si>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</si>
  <si>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</si>
  <si>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</si>
  <si>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</si>
  <si>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</si>
  <si>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</si>
  <si>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</si>
  <si>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</si>
  <si>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</si>
  <si>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</si>
  <si>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1 16 25000 00 0000 140</t>
  </si>
  <si>
    <t>Денежные взыскания (штрафы) за нарушение законодательства РФ о недрах, об особо охраняемых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</si>
  <si>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</si>
  <si>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 xml:space="preserve">Денежные взыскания (штрафы) за нарушение законодательства РФ об охране и использовании животного мира 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</si>
  <si>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</si>
  <si>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</si>
  <si>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</si>
  <si>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прав потребителей</t>
  </si>
  <si>
    <t>1 16 35000 01 0000 140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</si>
  <si>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</si>
  <si>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</si>
  <si>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</si>
  <si>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</si>
  <si>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</si>
  <si>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</si>
  <si>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</si>
  <si>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</si>
  <si>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</si>
  <si>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</si>
  <si>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</si>
  <si>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</si>
  <si>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</si>
  <si>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</si>
  <si>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РФ и муниципальных образований</t>
  </si>
  <si>
    <t>2 02 15001 04 0000 151</t>
  </si>
  <si>
    <t>Дотации бюджетам городских округов на выравнивание бюджетной обеспеченности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</si>
  <si>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</si>
  <si>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</si>
  <si>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2 02 20000 00 0000 151</t>
  </si>
  <si>
    <t>Субсидии бюджетам бюджетной системы Российской Федерации (межбюджетные субсидии)</t>
  </si>
  <si>
    <t>2 02 29999 04 0000 151</t>
  </si>
  <si>
    <t>Прочие субсидии бюджетам городских округов</t>
  </si>
  <si>
    <t>в том числе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</si>
  <si>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</si>
  <si>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</si>
  <si>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</si>
  <si>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</si>
  <si>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</si>
  <si>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2 02 30024 04 0000 151</t>
  </si>
  <si>
    <t>Субвенции  бюджетам  городских округов на выполнение передаваемых полномочий субъектов Российской Федерации</t>
  </si>
  <si>
    <t>в том числе: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</si>
  <si>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</si>
  <si>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</si>
  <si>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</si>
  <si>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</si>
  <si>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</si>
  <si>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</si>
  <si>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2 02 35930 00 0000 151</t>
  </si>
  <si>
    <t>Субвенции бюджетам на государственную регистрацию актов гражданского состояния</t>
  </si>
  <si>
    <t>2 02 35930 04 0000 151</t>
  </si>
  <si>
    <t>Субвенции бюджетам городских округов на государственную регистрацию актов гражданского состояния</t>
  </si>
  <si>
    <t>2 02 40000 00 0000 151</t>
  </si>
  <si>
    <t>Иные межбюджетные трансферты</t>
  </si>
  <si>
    <t>2 02 49999 00 0000 151</t>
  </si>
  <si>
    <t>Прочие межбюджетные трансферты, передаваемые бюджетам</t>
  </si>
  <si>
    <t>2 02 49999 04 0000 151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</si>
  <si>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</si>
  <si>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</si>
  <si>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</si>
  <si>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</si>
  <si>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</si>
  <si>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</si>
  <si>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</si>
  <si>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</si>
  <si>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</si>
  <si>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</si>
  <si>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</si>
  <si>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</si>
  <si>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</si>
  <si>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</si>
  <si>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</si>
  <si>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</si>
  <si>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</si>
  <si>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</si>
  <si>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</si>
  <si>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</si>
  <si>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</si>
  <si>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</si>
  <si>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</si>
  <si>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</si>
  <si>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</si>
  <si>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</si>
  <si>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</si>
  <si>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</si>
  <si>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</si>
  <si>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</si>
  <si>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</si>
  <si>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</si>
  <si>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</si>
  <si>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</si>
  <si>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</si>
  <si>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</si>
  <si>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</si>
  <si>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</si>
  <si>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</si>
  <si>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</si>
  <si>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</si>
  <si>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</si>
  <si>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</si>
  <si>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</si>
  <si>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</si>
  <si>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</si>
  <si>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</si>
  <si>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</si>
  <si>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</si>
  <si>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</si>
  <si>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</si>
  <si>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</si>
  <si>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</si>
  <si>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</si>
  <si>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</si>
  <si>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</si>
  <si>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</si>
  <si>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</si>
  <si>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</si>
  <si>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</si>
  <si>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</si>
  <si>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</si>
  <si>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</si>
  <si>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</si>
  <si>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</si>
  <si>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</si>
  <si>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</si>
  <si>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</si>
  <si>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</si>
  <si>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</si>
  <si>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</si>
  <si>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</si>
  <si>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</si>
  <si>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</si>
  <si>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</si>
  <si>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</si>
  <si>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</si>
  <si>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</si>
  <si>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</si>
  <si>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</si>
  <si>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</si>
  <si>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</si>
  <si>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</si>
  <si>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</si>
  <si>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</si>
  <si>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</si>
  <si>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</si>
  <si>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</si>
  <si>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</si>
  <si>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</si>
  <si>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</si>
  <si>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</si>
  <si>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</si>
  <si>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</si>
  <si>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</si>
  <si>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</si>
  <si>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</si>
  <si>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</si>
  <si>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</si>
  <si>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</si>
  <si>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</si>
  <si>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</si>
  <si>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</si>
  <si>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</si>
  <si>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</si>
  <si>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</si>
  <si>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</si>
  <si>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</si>
  <si>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</si>
  <si>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</si>
  <si>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</si>
  <si>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</si>
  <si>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</si>
  <si>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</si>
  <si>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</si>
  <si>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</si>
  <si>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</si>
  <si>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</si>
  <si>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</si>
  <si>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</si>
  <si>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</si>
  <si>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</si>
  <si>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</si>
  <si>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</si>
  <si>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</si>
  <si>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</si>
  <si>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</si>
  <si>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</si>
  <si>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</si>
  <si>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</si>
  <si>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</si>
  <si>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</si>
  <si>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</si>
  <si>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</si>
  <si>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</si>
  <si>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</si>
  <si>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</si>
  <si>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</si>
  <si>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</si>
  <si>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</si>
  <si>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</si>
  <si>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</si>
  <si>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</si>
  <si>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</si>
  <si>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</si>
  <si>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</si>
  <si>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</si>
  <si>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</si>
  <si>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</si>
  <si>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</si>
  <si>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</si>
  <si>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</si>
  <si>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</si>
  <si>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</si>
  <si>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</si>
  <si>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</si>
  <si>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</si>
  <si>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</si>
  <si>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</si>
  <si>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</si>
  <si>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</si>
  <si>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</si>
  <si>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</si>
  <si>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</si>
  <si>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</si>
  <si>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</si>
  <si>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</si>
  <si>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</si>
  <si>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</si>
  <si>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</si>
  <si>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</si>
  <si>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</si>
  <si>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</si>
  <si>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</si>
  <si>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</si>
  <si>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</si>
  <si>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</si>
  <si>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</si>
  <si>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</si>
  <si>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</si>
  <si>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</si>
  <si>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</si>
  <si>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</si>
  <si>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</si>
  <si>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</si>
  <si>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</si>
  <si>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</si>
  <si>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</si>
  <si>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</si>
  <si>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</si>
  <si>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</si>
  <si>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</si>
  <si>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</si>
  <si>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</si>
  <si>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</si>
  <si>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</si>
  <si>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</si>
  <si>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</si>
  <si>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</si>
  <si>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</si>
  <si>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</si>
  <si>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</si>
  <si>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</si>
  <si>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</si>
  <si>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</si>
  <si>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</si>
  <si>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</si>
  <si>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</si>
  <si>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</si>
  <si>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</si>
  <si>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</si>
  <si>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</si>
  <si>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</si>
  <si>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</si>
  <si>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</si>
  <si>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</si>
  <si>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</si>
  <si>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</si>
  <si>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</si>
  <si>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</si>
  <si>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</si>
  <si>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</si>
  <si>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</si>
  <si>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</si>
  <si>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</si>
  <si>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</si>
  <si>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</si>
  <si>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</si>
  <si>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</si>
  <si>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</si>
  <si>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</si>
  <si>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</si>
  <si>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</si>
  <si>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</si>
  <si>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</si>
  <si>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</si>
  <si>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</si>
  <si>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</si>
  <si>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</si>
  <si>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</si>
  <si>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</si>
  <si>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</si>
  <si>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</si>
  <si>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</si>
  <si>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</si>
  <si>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</si>
  <si>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</si>
  <si>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</si>
  <si>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</si>
  <si>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</si>
  <si>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</si>
  <si>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</si>
  <si>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</si>
  <si>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</si>
  <si>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</si>
  <si>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</si>
  <si>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</si>
  <si>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</si>
  <si>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</si>
  <si>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</si>
  <si>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</si>
  <si>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</si>
  <si>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</si>
  <si>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</si>
  <si>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</si>
  <si>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</si>
  <si>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</si>
  <si>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</si>
  <si>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</si>
  <si>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</si>
  <si>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</si>
  <si>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</si>
  <si>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</si>
  <si>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</si>
  <si>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</si>
  <si>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</si>
  <si>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</si>
  <si>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</si>
  <si>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</si>
  <si>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Расходы на дополнительную социальную выплату при рождении (усыновлении) каждого ребенка и на обеспечение жильем молодых семей за счет средств областного бюджета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</si>
  <si>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</si>
  <si>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</si>
  <si>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</si>
  <si>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</si>
  <si>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</si>
  <si>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</si>
  <si>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</si>
  <si>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</si>
  <si>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</si>
  <si>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</si>
  <si>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</si>
  <si>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</si>
  <si>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</si>
  <si>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</si>
  <si>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</si>
  <si>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</si>
  <si>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</si>
  <si>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</si>
  <si>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</si>
  <si>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</si>
  <si>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</si>
  <si>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</si>
  <si>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</si>
  <si>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</si>
  <si>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</si>
  <si>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</si>
  <si>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</si>
  <si>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</si>
  <si>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</si>
  <si>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</si>
  <si>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</si>
  <si>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</si>
  <si>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</si>
  <si>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</si>
  <si>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</si>
  <si>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</si>
  <si>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</si>
  <si>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</si>
  <si>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</si>
  <si>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</si>
  <si>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</si>
  <si>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</si>
  <si>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</si>
  <si>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</si>
  <si>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</si>
  <si>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</si>
  <si>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</si>
  <si>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</si>
  <si>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</si>
  <si>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</si>
  <si>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</si>
  <si>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</si>
  <si>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</si>
  <si>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</si>
  <si>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</si>
  <si>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</si>
  <si>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</si>
  <si>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</si>
  <si>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</si>
  <si>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</si>
  <si>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</si>
  <si>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</si>
  <si>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</si>
  <si>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</si>
  <si>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</si>
  <si>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</si>
  <si>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</si>
  <si>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</si>
  <si>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</si>
  <si>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</si>
  <si>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</si>
  <si>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</si>
  <si>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</si>
  <si>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</si>
  <si>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</si>
  <si>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</si>
  <si>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</si>
  <si>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</si>
  <si>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</si>
  <si>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</si>
  <si>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</si>
  <si>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</si>
  <si>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</si>
  <si>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</si>
  <si>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</si>
  <si>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</si>
  <si>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</si>
  <si>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</si>
  <si>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</si>
  <si>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</si>
  <si>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</si>
  <si>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</si>
  <si>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</si>
  <si>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</si>
  <si>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</si>
  <si>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</si>
  <si>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</si>
  <si>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</si>
  <si>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</si>
  <si>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</si>
  <si>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</si>
  <si>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</si>
  <si>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</si>
  <si>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</si>
  <si>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</si>
  <si>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</si>
  <si>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</si>
  <si>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</si>
  <si>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</si>
  <si>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</si>
  <si>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</si>
  <si>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</si>
  <si>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</si>
  <si>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</si>
  <si>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</si>
  <si>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</si>
  <si>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</si>
  <si>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</si>
  <si>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</si>
  <si>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</si>
  <si>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</si>
  <si>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</si>
  <si>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</si>
  <si>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</si>
  <si>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</si>
  <si>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</si>
  <si>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</si>
  <si>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</si>
  <si>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</si>
  <si>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</si>
  <si>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</si>
  <si>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</si>
  <si>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</si>
  <si>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</si>
  <si>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</si>
  <si>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</si>
  <si>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</si>
  <si>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</si>
  <si>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</si>
  <si>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</si>
  <si>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</si>
  <si>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</si>
  <si>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</si>
  <si>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</si>
  <si>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</si>
  <si>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</si>
  <si>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</si>
  <si>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</si>
  <si>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</si>
  <si>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</si>
  <si>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</si>
  <si>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</si>
  <si>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</si>
  <si>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</si>
  <si>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</si>
  <si>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</si>
  <si>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</si>
  <si>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</si>
  <si>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</si>
  <si>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</si>
  <si>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</si>
  <si>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</si>
  <si>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</si>
  <si>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</si>
  <si>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</si>
  <si>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</si>
  <si>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</si>
  <si>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</si>
  <si>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</si>
  <si>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</si>
  <si>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</si>
  <si>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</si>
  <si>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</si>
  <si>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</si>
  <si>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</si>
  <si>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</si>
  <si>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</si>
  <si>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</si>
  <si>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</si>
  <si>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</si>
  <si>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</si>
  <si>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</si>
  <si>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</si>
  <si>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</si>
  <si>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</si>
  <si>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</si>
  <si>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</si>
  <si>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</si>
  <si>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</si>
  <si>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</si>
  <si>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</si>
  <si>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</si>
  <si>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</si>
  <si>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</si>
  <si>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</si>
  <si>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</si>
  <si>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</si>
  <si>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</si>
  <si>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</si>
  <si>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</si>
  <si>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</si>
  <si>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</si>
  <si>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</si>
  <si>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</si>
  <si>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</si>
  <si>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>Приложение № 4</t>
  </si>
  <si>
    <t xml:space="preserve">к решению СПОГО </t>
  </si>
  <si>
    <t>Наименование</t>
  </si>
  <si>
    <t>Расходы на обеспечение деятельности  прочих работников местной администрации</t>
  </si>
  <si>
    <t>Обеспечение проведения выборов и референдумов</t>
  </si>
  <si>
    <t>68 0 0000</t>
  </si>
  <si>
    <t>68 3 0000</t>
  </si>
  <si>
    <t>Расходы на проведение муниципальных выборов</t>
  </si>
  <si>
    <t>68 3 0131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</si>
  <si>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</si>
  <si>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Организация и проведение областных унивесальных совместных ярмарок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</si>
  <si>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</si>
  <si>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Организация и содержание мест захоронения</t>
  </si>
  <si>
    <t>Расходы на обеспечение деятельности местной администрации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</si>
  <si>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</si>
  <si>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</si>
  <si>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</si>
  <si>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</si>
  <si>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</si>
  <si>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</si>
  <si>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</si>
  <si>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52 3 2004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</si>
  <si>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</si>
  <si>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</si>
  <si>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</si>
  <si>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</si>
  <si>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</si>
  <si>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</si>
  <si>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</si>
  <si>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Укрепление материально-технической базы учреждений дополнительного образования детей</t>
  </si>
  <si>
    <t>Организация  отдыха и оздоровление детей в лагерях дневного пребывания</t>
  </si>
  <si>
    <t>Обучение специалистов для организации обучения детей с ограниченными возможностями здоровья</t>
  </si>
  <si>
    <t>58 1 2002</t>
  </si>
  <si>
    <t>58 1 2003</t>
  </si>
  <si>
    <t>58 1 2004</t>
  </si>
  <si>
    <t>58 1 2007</t>
  </si>
  <si>
    <t>Целевые субсидии на проведение ремонта недвижимого имущества</t>
  </si>
  <si>
    <t xml:space="preserve">58 2 00 S3160 </t>
  </si>
  <si>
    <t>58 2 2003</t>
  </si>
  <si>
    <t>58 2 2004</t>
  </si>
  <si>
    <t>58 2 2007</t>
  </si>
  <si>
    <t>Целевые субсидии на проведение мероприятий по энергосбережению  проведению энергетической эффективности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</si>
  <si>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званиетв сфере здравоохранения и культуры</t>
  </si>
  <si>
    <t>Осуществление социальных выплат  молодым семьям</t>
  </si>
  <si>
    <t>51 2 00 S6030</t>
  </si>
  <si>
    <t>Пособия, компенсации, меры социальной поддержки по публичным нормативным обязательствам</t>
  </si>
  <si>
    <t>313</t>
  </si>
  <si>
    <t>68 3 00 01140</t>
  </si>
  <si>
    <t xml:space="preserve"> 01</t>
  </si>
  <si>
    <t>Обеспечение деятельности подведомственных учреждений средств массовой информации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</si>
  <si>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</si>
  <si>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</si>
  <si>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</si>
  <si>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</si>
  <si>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</si>
  <si>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</si>
  <si>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</si>
  <si>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</si>
  <si>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</si>
  <si>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</si>
  <si>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</si>
  <si>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</si>
  <si>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</si>
  <si>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</si>
  <si>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</si>
  <si>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</si>
  <si>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</si>
  <si>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</si>
  <si>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</si>
  <si>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</si>
  <si>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</si>
  <si>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</si>
  <si>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</si>
  <si>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</si>
  <si>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</si>
  <si>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</si>
  <si>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</si>
  <si>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</si>
  <si>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</si>
  <si>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</si>
  <si>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</si>
  <si>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</si>
  <si>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</si>
  <si>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</si>
  <si>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</si>
  <si>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</si>
  <si>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</si>
  <si>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</si>
  <si>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</si>
  <si>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</si>
  <si>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</si>
  <si>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</si>
  <si>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Постановление администрации Омсукчанского района от 14.01.2014г. № 5 "О порядке предоставления мер социальной поддержки неработающим пенсионерам, являющимся получателями трудовых пенсий по старости, выезжающим на постоянное место жительства за пределы Магаданской области"</t>
  </si>
  <si>
    <t>Управление культуры, социальной и молодежной политики  адмнистрации Омсукчанского городского округа</t>
  </si>
  <si>
    <t>Постановление администрации Омсукчанского городского округа  от   12.01.2015 года  № 29 "Об утверждении муниципальной  программы "Проведение социальной политики в Омсукчанском городском округе на 2015-2020 г.г."</t>
  </si>
  <si>
    <t>Муниципальная программа "Проведение социальной политики в Омсукчанском городском округе на 2015-2020 г.г."</t>
  </si>
  <si>
    <t>Приложение № 7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</si>
  <si>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</si>
  <si>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</si>
  <si>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</si>
  <si>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</si>
  <si>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</si>
  <si>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</si>
  <si>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</si>
  <si>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</si>
  <si>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</si>
  <si>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</si>
  <si>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</si>
  <si>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</si>
  <si>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</si>
  <si>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</si>
  <si>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</si>
  <si>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>бюджета Омсукчанского городского округа по разделам и подразделам</t>
  </si>
  <si>
    <t>Наименование бюджетной классификации</t>
  </si>
  <si>
    <t>РЗ</t>
  </si>
  <si>
    <t>ПР</t>
  </si>
  <si>
    <t>Резервный фонд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</si>
  <si>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</si>
  <si>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</si>
  <si>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</si>
  <si>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</si>
  <si>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</si>
  <si>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</si>
  <si>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</si>
  <si>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</si>
  <si>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</si>
  <si>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</si>
  <si>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</si>
  <si>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</si>
  <si>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</si>
  <si>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</si>
  <si>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</si>
  <si>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</si>
  <si>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</si>
  <si>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</si>
  <si>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</si>
  <si>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</si>
  <si>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</si>
  <si>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</si>
  <si>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налогов и сборов предусмотренные Кодексом Российской Федерации об административных правонарушениях</t>
  </si>
  <si>
    <t>Субсидия бюджетам на поддержку отрасли культуры</t>
  </si>
  <si>
    <t>2 02 25519 04 0000 151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</si>
  <si>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</si>
  <si>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</si>
  <si>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округов, предоставляемых в рамках реализации подпрограммы «Повышение квалификации лиц, замещающих муниципальные должности в Магаданской области» на 2017-2021 годы»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2017 год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</si>
  <si>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</si>
  <si>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</si>
  <si>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</si>
  <si>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</si>
  <si>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Субвенции бюджетам городских округов на осуществление государственных полномочий по отлову и содержанию безнадзорных животных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</si>
  <si>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</si>
  <si>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</si>
  <si>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</si>
  <si>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мероприятий в области культуры и искусства</t>
  </si>
  <si>
    <t>Целевые субсидии муниципальным учреждениям  на проведение  мероприятий в области культуры и искусства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</si>
  <si>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</si>
  <si>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2014-2020 годы" государственной программы Магаданской области "Развитие образования в Магаданской области" на 2014-2020 годы"</t>
  </si>
  <si>
    <t>Уплата налогов, сборов и иных платежей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</si>
  <si>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</si>
  <si>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</si>
  <si>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</si>
  <si>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</si>
  <si>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</si>
  <si>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</si>
  <si>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</si>
  <si>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</si>
  <si>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</si>
  <si>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</si>
  <si>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</si>
  <si>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</si>
  <si>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</si>
  <si>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</si>
  <si>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</si>
  <si>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</si>
  <si>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</si>
  <si>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</si>
  <si>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</si>
  <si>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</si>
  <si>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</si>
  <si>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</si>
  <si>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</si>
  <si>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</si>
  <si>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</si>
  <si>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</si>
  <si>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</si>
  <si>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</si>
  <si>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</si>
  <si>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</si>
  <si>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</si>
  <si>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</si>
  <si>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</si>
  <si>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</si>
  <si>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</si>
  <si>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</si>
  <si>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</si>
  <si>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</si>
  <si>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</si>
  <si>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</si>
  <si>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</si>
  <si>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</si>
  <si>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</si>
  <si>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</si>
  <si>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</si>
  <si>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областной бюджет</t>
  </si>
  <si>
    <t>местный бюджет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</si>
  <si>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</si>
  <si>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</si>
  <si>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</si>
  <si>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</si>
  <si>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</si>
  <si>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</si>
  <si>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</si>
  <si>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</si>
  <si>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</si>
  <si>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</si>
  <si>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</si>
  <si>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</si>
  <si>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</si>
  <si>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</si>
  <si>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</si>
  <si>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Ожидаемое исполнение за 2017 год</t>
  </si>
  <si>
    <t>Целевые субсидии муниципальным учреждениям на оплату проезда к месту отдыха и обратно</t>
  </si>
  <si>
    <t>52 4 00 20140</t>
  </si>
  <si>
    <t>52 3 00 20140</t>
  </si>
  <si>
    <t>52 2 00 20140</t>
  </si>
  <si>
    <t>52 2 00 20150</t>
  </si>
  <si>
    <t>58 1 00 20140</t>
  </si>
  <si>
    <t>58 3 00 20140</t>
  </si>
  <si>
    <t>57 2 00 20140</t>
  </si>
  <si>
    <t>57 1 00 20140</t>
  </si>
  <si>
    <t>Целевые субсидии муниципальным учреждениям на оплату северных надбавок к заработной плате вновь прибывшим работникам</t>
  </si>
  <si>
    <t>Проект бюджета  на 2018 год</t>
  </si>
  <si>
    <t>Проект бюджета  на 2019 год</t>
  </si>
  <si>
    <t>Проект бюджета  на 2020 год</t>
  </si>
  <si>
    <t>58 2 00 20140</t>
  </si>
  <si>
    <t>Целевые субсидии муниципальным учреждениям на обследование здания</t>
  </si>
  <si>
    <t>ожидаемое исполнение за 2017 год</t>
  </si>
  <si>
    <t>Проект на 2019 год</t>
  </si>
  <si>
    <t>Проект на 2020 год</t>
  </si>
  <si>
    <t>План на 2018 год</t>
  </si>
  <si>
    <t>Сумма на 2017 год</t>
  </si>
  <si>
    <t>Проект на 2018 год</t>
  </si>
  <si>
    <t>Исполнено на 01.10.2017 года</t>
  </si>
  <si>
    <t xml:space="preserve">Прочие доходы от компенсации затрат бюджетов городских округов </t>
  </si>
  <si>
    <t xml:space="preserve"> 1 13 02994 04 0000 130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</si>
  <si>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</si>
  <si>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</si>
  <si>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</si>
  <si>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</si>
  <si>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1 09 00000 00 0000 000</t>
  </si>
  <si>
    <t>ЗАДОЛЖЕННОСТЬ И ПЕРЕРАСЧЕТЫ ПО ОТМЕНЕННЫМ НАЛОГАМ, СБОРАМ И ИНЫМ ОБЯЗАТЕЛЬНЫМ ПЛАТЕЖАМ</t>
  </si>
  <si>
    <t>1 09 04010 02 3000 110</t>
  </si>
  <si>
    <t xml:space="preserve">Налог на имущество предприятий (суммы денежных взысканий (штрафов) по соответствующему платежу согласно законодательству Российской Федерации)
</t>
  </si>
  <si>
    <t>1 09 04052 04 1000 110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</si>
  <si>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</si>
  <si>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1 13 02994 04 0000 130</t>
  </si>
  <si>
    <t xml:space="preserve"> Прочие доходы от компенсации затрат государства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</si>
  <si>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</si>
  <si>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</si>
  <si>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</si>
  <si>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</si>
  <si>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1 16 33000 01 0000 140</t>
  </si>
  <si>
    <t xml:space="preserve"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государстуенных и муниципальных нужд </t>
  </si>
  <si>
    <t>1 16 33040 04 0000 140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</si>
  <si>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государственных и муниципальных нужд для нужд городских округов</t>
  </si>
  <si>
    <t>117 00000 00 0000 000</t>
  </si>
  <si>
    <t>ПРОЧИЕ НЕНАЛОГОВЫЕ ДОХОДЫ</t>
  </si>
  <si>
    <t>1 17 01000 04 0000 180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</si>
  <si>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</si>
  <si>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</si>
  <si>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</si>
  <si>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</si>
  <si>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</si>
  <si>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</si>
  <si>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</si>
  <si>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Решение Собрания представителей Омсукчанского городского округа от 11.03.2016 года №22 "Об утверждении порядка пенсионного обеспечения за выслугу лет муниципальных служащих и лиц, замещающих муниципальные должности в Омсукчанском городском округе"</t>
  </si>
  <si>
    <t>63 0 00 01600</t>
  </si>
  <si>
    <t>63 0 00 01630</t>
  </si>
  <si>
    <t>Адаптация муниципальных учреждений для доступности инвалидам и МГН, приобретение средств реабилитации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</si>
  <si>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</si>
  <si>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</si>
  <si>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63 0 00 01610</t>
  </si>
  <si>
    <t>63 0 00 01620</t>
  </si>
  <si>
    <t>Создание условий для образования детей - инвалидов</t>
  </si>
  <si>
    <t xml:space="preserve">05 </t>
  </si>
  <si>
    <t>Другие вопросы национальной экономики</t>
  </si>
  <si>
    <t>64 0 00 01640</t>
  </si>
  <si>
    <t>Организационные и пропагандистские мероприятия по профилактике экстремизма и терроризма</t>
  </si>
  <si>
    <t>64 0 00 01660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</si>
  <si>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</si>
  <si>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</si>
  <si>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64 0 00 01650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</si>
  <si>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2018 год</t>
  </si>
  <si>
    <t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на   2018  год</t>
  </si>
  <si>
    <t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2018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</si>
  <si>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2018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</si>
  <si>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на 2018 год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</si>
  <si>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на 2014-2020 годы» на 2018 год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</si>
  <si>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</si>
  <si>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</si>
  <si>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</si>
  <si>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</si>
  <si>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государственных полномочий по составлению (изменению) списков кандидатов в присяжные заседатели</t>
  </si>
  <si>
    <t>Муниципальная программа "Профилактика экстремизма и терроризма на территории Омсукчанского городского округа на 2017-2021 годы"</t>
  </si>
  <si>
    <t xml:space="preserve">Целевые субсидии на мероприятия по антитеррористической защищенности муниципальных учреждений </t>
  </si>
  <si>
    <t>64 0 00 20160</t>
  </si>
  <si>
    <t>Субсидии бюджетам городских округов на реализацию мероприятий подпрограммы "Развитие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 на 2018 год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</si>
  <si>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2017-2019годы</t>
  </si>
  <si>
    <t>66 0 00 01150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</si>
  <si>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</si>
  <si>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68 2 00 R0820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</si>
  <si>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</si>
  <si>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66 0 00 00000</t>
  </si>
  <si>
    <t>Субсидии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</t>
  </si>
  <si>
    <t>2 02 35082 00 0000 151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</si>
  <si>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</si>
  <si>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</si>
  <si>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</si>
  <si>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</si>
  <si>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</si>
  <si>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</si>
  <si>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</si>
  <si>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2 07 04050 04 0000 180</t>
  </si>
  <si>
    <t>68 1 00 01210</t>
  </si>
  <si>
    <t xml:space="preserve"> Мероприятия по модернизации и реконструкции объектов инженерной и коммунальной инфраструктуры за счет средств внебюджетного фонда социально-экономического развития Магаданской области</t>
  </si>
  <si>
    <t>68 3 00 01670</t>
  </si>
  <si>
    <t xml:space="preserve">68 3 00 01670 </t>
  </si>
  <si>
    <t>Ожидаемое исполнение за 2018 год</t>
  </si>
  <si>
    <t>Мероприятия по модернизации и реконструкции объектов инженерной и коммунальной инфраструктуры за счет средств внебюджетного фонда социально-экономического развития Магаданской области</t>
  </si>
  <si>
    <t>Субсидии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</t>
  </si>
  <si>
    <t>Организация и проведение гастрономического фестиваля "Колымское братство"</t>
  </si>
  <si>
    <t>68 2 00 73Б01</t>
  </si>
  <si>
    <t>61 0 00 S3Б01</t>
  </si>
  <si>
    <t>Субсидии из областного бюджета на софинасирование расходов по возмещению затрат, связанных с организацией и проведением мероприятия «Организация и проведение гастрономического фестиваля «Колымское братство», раздела VII государственной программы Магаданской области «Развитие сельского хозяйства Магаданской области на 2014-2020 годы»</t>
  </si>
  <si>
    <t>60 1 00 62010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</si>
  <si>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</si>
  <si>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</si>
  <si>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</si>
  <si>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   государственной  программы 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2018 год</t>
  </si>
  <si>
    <t xml:space="preserve">Субсидии бюджетам городских округов, предоставляемых в рамках реализации подпрограммы «Развитие библиотечного дела Магаданской области» на 2014-2020 годы» государственной программы Магаданской области «Развитие культуры и туризма Магаданской области» на 2014-2020 годы» на 2018 год </t>
  </si>
  <si>
    <t>Субсидии бюджетам городских округов, предоставляемых в рамках реализации подпрограммы «Развитие библиотечного дела Магаданской области» на 2014-2020 годы» государственной программы Магаданской области «Развитие культуры и туризма Магаданской области» на 2014-2020 годы» на 2018 год</t>
  </si>
  <si>
    <t>910</t>
  </si>
  <si>
    <t>Муниципальная программа "Развитие малого и среднего предпринимательства в Омсукчанском городском округе на 2018-2020 годы"</t>
  </si>
  <si>
    <t>(+783,1)</t>
  </si>
  <si>
    <t>(+ 11 893,6)</t>
  </si>
  <si>
    <t>(+13 346,7)</t>
  </si>
  <si>
    <t>Субсидии бюджетам городских округов, предоставляемых на проведение комплексных кадастровых работ на территории Магаданской области на 2018 год</t>
  </si>
  <si>
    <t>(+670,0)</t>
  </si>
  <si>
    <t>Субсидии бюджетам городских округов, предоставляемые в рамках реализации подпрограммы «Оказание поддержки в обеспечении жильем молодых семей» на 2014 - 2020 годы» государственной программы Магаданской области «Обеспечение доступным и комфортным жильем жителей Магаданской области на 2014-2020 годы», для последующего предоставления молодым семьям - участникам Подпрограммы социальной выплаты на приобретение (строительство) жилья</t>
  </si>
  <si>
    <t>68 2 00 R4970</t>
  </si>
  <si>
    <t>Предоставление молодым семьям социальной выплаты на приобретение (строительство) жилья</t>
  </si>
  <si>
    <t>Проведение комплексных кадастровых работ на территории Магаданской области</t>
  </si>
  <si>
    <t>68 2 00 12070</t>
  </si>
  <si>
    <t xml:space="preserve"> Модернизация квартальной котельной котельной в пос.Омсукчан за счет средств внебюджетного фонда социально-экономического развития Магаданской области</t>
  </si>
  <si>
    <t>68 3 00 01680</t>
  </si>
  <si>
    <t xml:space="preserve">68 3 00 01680 </t>
  </si>
  <si>
    <t>Муниципальная программа "Развитие транспортной инфраструктуры  Омсукчанского городского округа" на 2018-2022 годы"</t>
  </si>
  <si>
    <t>Целевые субсидии муниципальным учреждениям на оплату контейнера</t>
  </si>
  <si>
    <t>Прочие безвозмездные поступления в бюджеты городских округов на реализацию мероприятия "Развитие дворовой инфраструктуры муниципальных образований, расположенных на территории Магаданской области" программы развития Особой экономической зоны в Магаданской области на 2018 год</t>
  </si>
  <si>
    <t>Прочие безвозмездные поступления в бюджеты городских округов на реализацию Подпрограммы "Развитие и модернизация коммунальной инфраструктуры на территории Магаданской области" на 2016-2020 годы" государственной программы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2014-2020 годы"</t>
  </si>
  <si>
    <t>Прочие безвозмездные поступления в бюджеты городских округов на реализацию мероприятия "Модернизация квартальной котельной в пос. Омсукчан" программы развития Особой экономической зоны в Магаданской области на 2018 год</t>
  </si>
  <si>
    <t>(+19 419,4)</t>
  </si>
  <si>
    <t>(+6 072,7)</t>
  </si>
  <si>
    <t xml:space="preserve">Развитие дворовой инфраструктуры муниципальных образований за счет средств внебюджетного фонда социально-экономического развития Магаданской области </t>
  </si>
  <si>
    <t>68 3 00 01690</t>
  </si>
  <si>
    <t>(+137,3)</t>
  </si>
  <si>
    <t>(+12 426,3)</t>
  </si>
  <si>
    <t>2 02 25497 04 0000 151</t>
  </si>
  <si>
    <t>Муниципальная программа  "Развитие транспортной инфраструктуры Омсукчанского городского округа на 2018-2022 гг."</t>
  </si>
  <si>
    <t>Муниципальная программа "Развитие муниципальной службы в Омсукчанском городском округе на 2018-2020годы"</t>
  </si>
  <si>
    <t>Муниципальная программа "Развитие муниципальной службы в Омсукчанском городском округе на 2018-2020 годы"</t>
  </si>
  <si>
    <t>Муниципальная программа "Энергосбережение и повышение энергетической эффективности в Омсукчанском городском округе" на 2018-2020 годы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</si>
  <si>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</si>
  <si>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>Муниципальная программа "Формирование современной городской среды муниципального образования "Омсукчанский городской округ" на 2018 -2022 годы"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</si>
  <si>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</si>
  <si>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(-1525,6)</t>
  </si>
  <si>
    <t>Субсидии бюджетам городских округов на реализацию мероприятий по обеспечению жильем молодых семей</t>
  </si>
  <si>
    <t xml:space="preserve">Исполнение распределения расходов </t>
  </si>
  <si>
    <t xml:space="preserve"> классификации расходов бюджетов Российской Федерации за 1 полугодие  2018 года</t>
  </si>
  <si>
    <t>План на 2018 год, тыс.руб.</t>
  </si>
  <si>
    <t>Процент исполнения, %</t>
  </si>
  <si>
    <t>Приложение № 2</t>
  </si>
  <si>
    <t>администрации</t>
  </si>
  <si>
    <t xml:space="preserve">Исполнено за 1 полугодие 2018 года, тыс.руб. </t>
  </si>
  <si>
    <t xml:space="preserve">Исполнено     за 1 полугодие 2018 года, тыс.руб. </t>
  </si>
  <si>
    <t>Исполнение распределения ассигнований из бюджета Омсукчанского городского округа 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за 1 полугодие 2018 года</t>
  </si>
  <si>
    <t>Приложение № 3</t>
  </si>
  <si>
    <t xml:space="preserve"> Исполнение распределения бюджетных ассигнований, направляемых на реализацию муниципальных программ  из бюджета Омсукчанского городского округа  за 1 полугодие 2018 года</t>
  </si>
  <si>
    <t>Исполнение плана по источникам внутреннего финансирования дефицита</t>
  </si>
  <si>
    <t>бюджета Омсукчанского городского округа  за 1 полугодие 2018 года</t>
  </si>
  <si>
    <t>Исполнение распределения ассигнований, направляемых на исполнение публичных нормативных обязательств из бюджета Омсукчанского городского округа за 1 полугодие 2018 года</t>
  </si>
  <si>
    <t>Сумма исполнения, тыс. руб.</t>
  </si>
  <si>
    <t>-</t>
  </si>
  <si>
    <t>Исполнение плана поступления доходов в бюджет Омсукчанского городского округа</t>
  </si>
  <si>
    <t>за I полугодие 2018 года</t>
  </si>
  <si>
    <t>Плата за размещение отходов производства</t>
  </si>
  <si>
    <t>Плата за размещение отходов твёрдых бытовых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</si>
  <si>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</si>
  <si>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</si>
  <si>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2 19 04000 04 0000 151</t>
  </si>
  <si>
    <t xml:space="preserve">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</si>
  <si>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к постановлению</t>
  </si>
  <si>
    <t>городского округа</t>
  </si>
  <si>
    <t>от 30.07.2018г. № 415</t>
  </si>
  <si>
    <t>Приложение № 1</t>
  </si>
  <si>
    <t xml:space="preserve">Исполнение ведомственной  структуры расходов бюджета Омсукчанского городского округа                                                                                                                за 1 полугодие 2018 года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</si>
</sst>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0.0%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2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3" fillId="0" borderId="0" xfId="20" applyFont="1" applyFill="1" applyAlignment="1">
      <alignment horizont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center" vertical="center"/>
      <protection/>
    </xf>
    <xf numFmtId="3" fontId="2" fillId="0" borderId="1" xfId="20" applyNumberFormat="1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49" fontId="2" fillId="0" borderId="1" xfId="20" applyNumberFormat="1" applyFont="1" applyFill="1" applyBorder="1" applyAlignment="1">
      <alignment horizontal="center" vertical="center"/>
      <protection/>
    </xf>
    <xf numFmtId="164" fontId="3" fillId="0" borderId="1" xfId="20" applyNumberFormat="1" applyFont="1" applyFill="1" applyBorder="1" applyAlignment="1">
      <alignment horizontal="center" vertical="center" wrapText="1"/>
      <protection/>
    </xf>
    <xf numFmtId="164" fontId="0" fillId="0" borderId="0" xfId="0" applyNumberFormat="1"/>
    <xf numFmtId="0" fontId="3" fillId="0" borderId="1" xfId="20" applyFont="1" applyFill="1" applyBorder="1" applyAlignment="1">
      <alignment vertical="center" wrapText="1"/>
      <protection/>
    </xf>
    <xf numFmtId="49" fontId="3" fillId="0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vertical="center" wrapText="1"/>
      <protection/>
    </xf>
    <xf numFmtId="164" fontId="2" fillId="0" borderId="1" xfId="20" applyNumberFormat="1" applyFont="1" applyFill="1" applyBorder="1" applyAlignment="1">
      <alignment horizontal="center" vertical="center" wrapText="1"/>
      <protection/>
    </xf>
    <xf numFmtId="164" fontId="2" fillId="0" borderId="1" xfId="20" applyNumberFormat="1" applyFont="1" applyFill="1" applyBorder="1" applyAlignment="1">
      <alignment horizontal="center" vertical="center"/>
      <protection/>
    </xf>
    <xf numFmtId="0" fontId="1" fillId="0" borderId="0" xfId="0" applyFont="1"/>
    <xf numFmtId="164" fontId="2" fillId="0" borderId="1" xfId="2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20" applyFont="1" applyFill="1" applyBorder="1" applyAlignment="1">
      <alignment horizontal="left" vertical="center" wrapText="1"/>
      <protection/>
    </xf>
    <xf numFmtId="49" fontId="2" fillId="0" borderId="1" xfId="20" applyNumberFormat="1" applyFont="1" applyFill="1" applyBorder="1" applyAlignment="1">
      <alignment horizontal="center" vertical="center" wrapText="1"/>
      <protection/>
    </xf>
    <xf numFmtId="0" fontId="2" fillId="0" borderId="0" xfId="20" applyFont="1" applyFill="1" applyAlignment="1">
      <alignment horizontal="left" vertical="center" wrapText="1"/>
      <protection/>
    </xf>
    <xf numFmtId="0" fontId="3" fillId="0" borderId="1" xfId="20" applyFont="1" applyFill="1" applyBorder="1" applyAlignment="1">
      <alignment horizontal="left" vertical="center" wrapText="1"/>
      <protection/>
    </xf>
    <xf numFmtId="0" fontId="2" fillId="0" borderId="0" xfId="20" applyFont="1" applyFill="1" applyAlignment="1">
      <alignment vertical="center" wrapText="1"/>
      <protection/>
    </xf>
    <xf numFmtId="0" fontId="2" fillId="0" borderId="1" xfId="20" applyFont="1" applyFill="1" applyBorder="1" applyAlignment="1">
      <alignment horizontal="justify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0" fontId="2" fillId="0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vertical="top" wrapText="1"/>
      <protection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4" xfId="20" applyFont="1" applyFill="1" applyBorder="1" applyAlignment="1">
      <alignment horizontal="justify" vertical="center" wrapText="1"/>
      <protection/>
    </xf>
    <xf numFmtId="0" fontId="3" fillId="0" borderId="1" xfId="20" applyFont="1" applyFill="1" applyBorder="1" applyAlignment="1">
      <alignment horizontal="left" vertical="center"/>
      <protection/>
    </xf>
    <xf numFmtId="164" fontId="3" fillId="0" borderId="1" xfId="20" applyNumberFormat="1" applyFont="1" applyFill="1" applyBorder="1" applyAlignment="1">
      <alignment horizontal="center" vertical="center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20" applyFont="1" applyFill="1" applyBorder="1" applyAlignment="1">
      <alignment horizontal="center" vertical="center"/>
      <protection/>
    </xf>
    <xf numFmtId="1" fontId="3" fillId="0" borderId="1" xfId="20" applyNumberFormat="1" applyFont="1" applyFill="1" applyBorder="1" applyAlignment="1">
      <alignment vertical="center" wrapText="1"/>
      <protection/>
    </xf>
    <xf numFmtId="164" fontId="12" fillId="0" borderId="1" xfId="20" applyNumberFormat="1" applyFont="1" applyFill="1" applyBorder="1" applyAlignment="1">
      <alignment horizontal="center"/>
      <protection/>
    </xf>
    <xf numFmtId="0" fontId="1" fillId="0" borderId="0" xfId="20" applyFill="1">
      <alignment/>
      <protection/>
    </xf>
    <xf numFmtId="0" fontId="9" fillId="0" borderId="0" xfId="20" applyFont="1" applyFill="1">
      <alignment/>
      <protection/>
    </xf>
    <xf numFmtId="4" fontId="13" fillId="0" borderId="0" xfId="20" applyNumberFormat="1" applyFont="1" applyFill="1" applyAlignment="1">
      <alignment horizontal="center"/>
      <protection/>
    </xf>
    <xf numFmtId="0" fontId="9" fillId="0" borderId="0" xfId="20" applyFont="1" applyFill="1" applyAlignment="1">
      <alignment/>
      <protection/>
    </xf>
    <xf numFmtId="1" fontId="9" fillId="0" borderId="0" xfId="20" applyNumberFormat="1" applyFont="1" applyFill="1">
      <alignment/>
      <protection/>
    </xf>
    <xf numFmtId="2" fontId="9" fillId="0" borderId="0" xfId="20" applyNumberFormat="1" applyFont="1" applyFill="1">
      <alignment/>
      <protection/>
    </xf>
    <xf numFmtId="0" fontId="1" fillId="0" borderId="0" xfId="0" applyFont="1" applyFill="1"/>
    <xf numFmtId="0" fontId="2" fillId="0" borderId="0" xfId="20" applyFont="1" applyFill="1">
      <alignment/>
      <protection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164" fontId="3" fillId="0" borderId="1" xfId="21" applyNumberFormat="1" applyFont="1" applyFill="1" applyBorder="1" applyAlignment="1">
      <alignment horizontal="center" vertical="center"/>
    </xf>
    <xf numFmtId="0" fontId="2" fillId="0" borderId="0" xfId="0" applyFont="1" applyFill="1"/>
    <xf numFmtId="0" fontId="9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/>
    <xf numFmtId="0" fontId="3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6" fillId="0" borderId="1" xfId="0" applyFont="1" applyBorder="1"/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17" fillId="0" borderId="1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vertical="center"/>
      <protection/>
    </xf>
    <xf numFmtId="164" fontId="3" fillId="3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vertical="center"/>
      <protection/>
    </xf>
    <xf numFmtId="0" fontId="2" fillId="0" borderId="1" xfId="20" applyFont="1" applyFill="1" applyBorder="1" applyAlignment="1">
      <alignment horizontal="left" vertical="center"/>
      <protection/>
    </xf>
    <xf numFmtId="0" fontId="2" fillId="3" borderId="1" xfId="20" applyFont="1" applyFill="1" applyBorder="1" applyAlignment="1">
      <alignment vertical="center" wrapText="1"/>
      <protection/>
    </xf>
    <xf numFmtId="0" fontId="3" fillId="3" borderId="1" xfId="20" applyFont="1" applyFill="1" applyBorder="1" applyAlignment="1">
      <alignment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Alignment="1">
      <alignment horizontal="center"/>
      <protection/>
    </xf>
    <xf numFmtId="0" fontId="13" fillId="0" borderId="0" xfId="20" applyFont="1" applyFill="1" applyAlignment="1">
      <alignment horizontal="center"/>
      <protection/>
    </xf>
    <xf numFmtId="164" fontId="9" fillId="0" borderId="0" xfId="20" applyNumberFormat="1" applyFont="1" applyFill="1">
      <alignment/>
      <protection/>
    </xf>
    <xf numFmtId="2" fontId="14" fillId="0" borderId="0" xfId="20" applyNumberFormat="1" applyFont="1" applyFill="1">
      <alignment/>
      <protection/>
    </xf>
    <xf numFmtId="2" fontId="0" fillId="0" borderId="0" xfId="0" applyNumberFormat="1" applyFill="1"/>
    <xf numFmtId="49" fontId="2" fillId="0" borderId="8" xfId="20" applyNumberFormat="1" applyFont="1" applyFill="1" applyBorder="1" applyAlignment="1">
      <alignment horizontal="center" vertical="center"/>
      <protection/>
    </xf>
    <xf numFmtId="0" fontId="0" fillId="0" borderId="0" xfId="0" applyBorder="1"/>
    <xf numFmtId="49" fontId="2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ill="1" applyBorder="1"/>
    <xf numFmtId="49" fontId="19" fillId="0" borderId="1" xfId="20" applyNumberFormat="1" applyFont="1" applyFill="1" applyBorder="1" applyAlignment="1">
      <alignment horizontal="center" vertical="center"/>
      <protection/>
    </xf>
    <xf numFmtId="49" fontId="18" fillId="0" borderId="8" xfId="20" applyNumberFormat="1" applyFont="1" applyFill="1" applyBorder="1" applyAlignment="1">
      <alignment horizontal="center" vertical="center"/>
      <protection/>
    </xf>
    <xf numFmtId="0" fontId="0" fillId="0" borderId="0" xfId="0" applyFont="1" applyFill="1"/>
    <xf numFmtId="49" fontId="2" fillId="0" borderId="8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/>
    <xf numFmtId="0" fontId="1" fillId="0" borderId="0" xfId="0" applyFont="1" applyFill="1" applyBorder="1"/>
    <xf numFmtId="164" fontId="0" fillId="0" borderId="0" xfId="0" applyNumberFormat="1" applyFill="1"/>
    <xf numFmtId="0" fontId="18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2" fillId="0" borderId="8" xfId="20" applyNumberFormat="1" applyFont="1" applyFill="1" applyBorder="1" applyAlignment="1">
      <alignment horizontal="left" vertical="center"/>
      <protection/>
    </xf>
    <xf numFmtId="164" fontId="3" fillId="0" borderId="1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4" borderId="0" xfId="0" applyFill="1" applyBorder="1"/>
    <xf numFmtId="0" fontId="1" fillId="4" borderId="0" xfId="0" applyFont="1" applyFill="1" applyBorder="1"/>
    <xf numFmtId="0" fontId="21" fillId="4" borderId="0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4" fillId="0" borderId="7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justify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top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top" wrapText="1"/>
    </xf>
    <xf numFmtId="0" fontId="3" fillId="0" borderId="6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left" vertical="top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2" fillId="0" borderId="0" xfId="0" applyNumberFormat="1" applyFont="1" applyFill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/>
    <xf numFmtId="0" fontId="8" fillId="0" borderId="9" xfId="0" applyNumberFormat="1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Alignment="1">
      <alignment horizontal="left"/>
    </xf>
    <xf numFmtId="164" fontId="2" fillId="5" borderId="1" xfId="20" applyNumberFormat="1" applyFont="1" applyFill="1" applyBorder="1" applyAlignment="1">
      <alignment horizontal="center" vertical="center"/>
      <protection/>
    </xf>
    <xf numFmtId="49" fontId="2" fillId="0" borderId="14" xfId="20" applyNumberFormat="1" applyFont="1" applyFill="1" applyBorder="1" applyAlignment="1">
      <alignment horizontal="center" vertical="center"/>
      <protection/>
    </xf>
    <xf numFmtId="164" fontId="2" fillId="5" borderId="1" xfId="20" applyNumberFormat="1" applyFont="1" applyFill="1" applyBorder="1" applyAlignment="1">
      <alignment horizontal="center" vertical="center" wrapText="1"/>
      <protection/>
    </xf>
    <xf numFmtId="164" fontId="2" fillId="5" borderId="2" xfId="20" applyNumberFormat="1" applyFont="1" applyFill="1" applyBorder="1" applyAlignment="1" applyProtection="1">
      <alignment horizontal="center" vertical="center" shrinkToFit="1"/>
      <protection locked="0"/>
    </xf>
    <xf numFmtId="164" fontId="2" fillId="5" borderId="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164" fontId="2" fillId="6" borderId="1" xfId="20" applyNumberFormat="1" applyFont="1" applyFill="1" applyBorder="1" applyAlignment="1">
      <alignment horizontal="center" vertical="center" wrapText="1"/>
      <protection/>
    </xf>
    <xf numFmtId="164" fontId="2" fillId="7" borderId="1" xfId="20" applyNumberFormat="1" applyFont="1" applyFill="1" applyBorder="1" applyAlignment="1">
      <alignment horizontal="center" vertical="center"/>
      <protection/>
    </xf>
    <xf numFmtId="0" fontId="2" fillId="6" borderId="1" xfId="20" applyFont="1" applyFill="1" applyBorder="1" applyAlignment="1">
      <alignment vertical="center" wrapText="1"/>
      <protection/>
    </xf>
    <xf numFmtId="49" fontId="2" fillId="0" borderId="14" xfId="20" applyNumberFormat="1" applyFont="1" applyFill="1" applyBorder="1" applyAlignment="1">
      <alignment horizontal="left" vertical="center"/>
      <protection/>
    </xf>
    <xf numFmtId="164" fontId="2" fillId="6" borderId="1" xfId="20" applyNumberFormat="1" applyFont="1" applyFill="1" applyBorder="1" applyAlignment="1">
      <alignment horizontal="center" vertical="center"/>
      <protection/>
    </xf>
    <xf numFmtId="164" fontId="2" fillId="6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right" vertical="top" wrapText="1"/>
    </xf>
    <xf numFmtId="0" fontId="8" fillId="0" borderId="9" xfId="0" applyNumberFormat="1" applyFont="1" applyFill="1" applyBorder="1" applyAlignment="1">
      <alignment horizontal="right" vertical="top" wrapText="1"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49" fontId="22" fillId="0" borderId="0" xfId="20" applyNumberFormat="1" applyFont="1" applyFill="1" applyBorder="1" applyAlignment="1">
      <alignment horizontal="center" vertical="center"/>
      <protection/>
    </xf>
    <xf numFmtId="49" fontId="22" fillId="0" borderId="8" xfId="20" applyNumberFormat="1" applyFont="1" applyFill="1" applyBorder="1" applyAlignment="1">
      <alignment horizontal="center" vertical="center"/>
      <protection/>
    </xf>
    <xf numFmtId="0" fontId="23" fillId="8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" fillId="0" borderId="1" xfId="0" applyFont="1" applyFill="1" applyBorder="1" applyAlignment="1">
      <alignment horizontal="left" vertical="top" wrapText="1"/>
    </xf>
    <xf numFmtId="164" fontId="24" fillId="0" borderId="0" xfId="0" applyNumberFormat="1" applyFont="1" applyFill="1"/>
    <xf numFmtId="164" fontId="2" fillId="0" borderId="2" xfId="2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20" applyFont="1" applyFill="1" applyBorder="1" applyAlignment="1">
      <alignment horizontal="center" vertical="center" wrapText="1"/>
      <protection/>
    </xf>
    <xf numFmtId="49" fontId="17" fillId="0" borderId="1" xfId="20" applyNumberFormat="1" applyFont="1" applyFill="1" applyBorder="1" applyAlignment="1">
      <alignment horizontal="center" vertical="center"/>
      <protection/>
    </xf>
    <xf numFmtId="49" fontId="26" fillId="0" borderId="1" xfId="20" applyNumberFormat="1" applyFont="1" applyFill="1" applyBorder="1" applyAlignment="1">
      <alignment horizontal="center" vertical="center"/>
      <protection/>
    </xf>
    <xf numFmtId="0" fontId="17" fillId="0" borderId="1" xfId="20" applyFont="1" applyFill="1" applyBorder="1" applyAlignment="1">
      <alignment horizontal="center" vertical="center" wrapText="1"/>
      <protection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9" fontId="17" fillId="0" borderId="1" xfId="20" applyNumberFormat="1" applyFont="1" applyFill="1" applyBorder="1" applyAlignment="1">
      <alignment horizontal="center" vertical="center" wrapText="1"/>
      <protection/>
    </xf>
    <xf numFmtId="0" fontId="17" fillId="0" borderId="3" xfId="20" applyFont="1" applyFill="1" applyBorder="1" applyAlignment="1">
      <alignment horizontal="center" vertical="center" wrapText="1"/>
      <protection/>
    </xf>
    <xf numFmtId="0" fontId="17" fillId="0" borderId="1" xfId="20" applyNumberFormat="1" applyFont="1" applyFill="1" applyBorder="1" applyAlignment="1">
      <alignment horizontal="center" vertical="center"/>
      <protection/>
    </xf>
    <xf numFmtId="0" fontId="26" fillId="0" borderId="1" xfId="20" applyFont="1" applyFill="1" applyBorder="1" applyAlignment="1">
      <alignment horizontal="center" vertical="center"/>
      <protection/>
    </xf>
    <xf numFmtId="1" fontId="26" fillId="0" borderId="1" xfId="20" applyNumberFormat="1" applyFont="1" applyFill="1" applyBorder="1" applyAlignment="1">
      <alignment vertical="center" wrapText="1"/>
      <protection/>
    </xf>
    <xf numFmtId="4" fontId="9" fillId="0" borderId="0" xfId="20" applyNumberFormat="1" applyFont="1" applyFill="1">
      <alignment/>
      <protection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/>
    <xf numFmtId="0" fontId="2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164" fontId="29" fillId="0" borderId="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top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32" fillId="0" borderId="1" xfId="0" applyNumberFormat="1" applyFont="1" applyFill="1" applyBorder="1" applyAlignment="1">
      <alignment horizontal="center" vertical="center" wrapText="1"/>
    </xf>
    <xf numFmtId="164" fontId="32" fillId="0" borderId="1" xfId="0" applyNumberFormat="1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1" fontId="2" fillId="0" borderId="1" xfId="22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164" fontId="12" fillId="0" borderId="8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/>
    </xf>
    <xf numFmtId="164" fontId="33" fillId="0" borderId="1" xfId="0" applyNumberFormat="1" applyFont="1" applyFill="1" applyBorder="1" applyAlignment="1">
      <alignment horizontal="center"/>
    </xf>
    <xf numFmtId="0" fontId="33" fillId="0" borderId="1" xfId="0" applyFont="1" applyFill="1" applyBorder="1" applyAlignment="1">
      <alignment horizontal="left"/>
    </xf>
    <xf numFmtId="0" fontId="34" fillId="0" borderId="0" xfId="0" applyFont="1"/>
    <xf numFmtId="164" fontId="28" fillId="0" borderId="1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wrapText="1"/>
    </xf>
    <xf numFmtId="0" fontId="2" fillId="0" borderId="9" xfId="20" applyNumberFormat="1" applyFont="1" applyFill="1" applyBorder="1" applyAlignment="1">
      <alignment horizontal="left" vertical="top" wrapText="1"/>
      <protection/>
    </xf>
    <xf numFmtId="0" fontId="3" fillId="0" borderId="4" xfId="20" applyNumberFormat="1" applyFont="1" applyFill="1" applyBorder="1" applyAlignment="1">
      <alignment horizontal="center" vertical="center" wrapText="1"/>
      <protection/>
    </xf>
    <xf numFmtId="0" fontId="3" fillId="0" borderId="9" xfId="20" applyNumberFormat="1" applyFont="1" applyFill="1" applyBorder="1" applyAlignment="1">
      <alignment horizontal="left" vertical="top" wrapText="1"/>
      <protection/>
    </xf>
    <xf numFmtId="0" fontId="2" fillId="0" borderId="1" xfId="20" applyNumberFormat="1" applyFont="1" applyFill="1" applyBorder="1" applyAlignment="1">
      <alignment horizontal="left" vertical="top" wrapText="1"/>
      <protection/>
    </xf>
    <xf numFmtId="49" fontId="3" fillId="0" borderId="1" xfId="20" applyNumberFormat="1" applyFont="1" applyFill="1" applyBorder="1" applyAlignment="1">
      <alignment horizontal="left" vertical="center" wrapText="1"/>
      <protection/>
    </xf>
    <xf numFmtId="164" fontId="12" fillId="0" borderId="4" xfId="0" applyNumberFormat="1" applyFont="1" applyFill="1" applyBorder="1" applyAlignment="1">
      <alignment horizontal="center" vertical="center"/>
    </xf>
    <xf numFmtId="49" fontId="2" fillId="0" borderId="1" xfId="20" applyNumberFormat="1" applyFont="1" applyFill="1" applyBorder="1" applyAlignment="1">
      <alignment horizontal="left" vertical="top" wrapText="1"/>
      <protection/>
    </xf>
    <xf numFmtId="164" fontId="13" fillId="9" borderId="1" xfId="0" applyNumberFormat="1" applyFont="1" applyFill="1" applyBorder="1" applyAlignment="1">
      <alignment horizontal="center" vertical="center"/>
    </xf>
    <xf numFmtId="0" fontId="1" fillId="0" borderId="0" xfId="20" applyNumberFormat="1" applyFill="1">
      <alignment/>
      <protection/>
    </xf>
    <xf numFmtId="49" fontId="2" fillId="0" borderId="1" xfId="20" applyNumberFormat="1" applyFont="1" applyFill="1" applyBorder="1" applyAlignment="1">
      <alignment horizontal="left" vertical="center" wrapText="1"/>
      <protection/>
    </xf>
    <xf numFmtId="164" fontId="12" fillId="0" borderId="1" xfId="20" applyNumberFormat="1" applyFont="1" applyFill="1" applyBorder="1" applyAlignment="1">
      <alignment horizontal="center" vertical="center"/>
      <protection/>
    </xf>
    <xf numFmtId="0" fontId="34" fillId="0" borderId="0" xfId="0" applyNumberFormat="1" applyFont="1" applyFill="1"/>
    <xf numFmtId="164" fontId="34" fillId="0" borderId="0" xfId="0" applyNumberFormat="1" applyFont="1" applyFill="1"/>
    <xf numFmtId="0" fontId="2" fillId="0" borderId="2" xfId="20" applyFont="1" applyFill="1" applyBorder="1" applyAlignment="1">
      <alignment horizontal="center" vertical="center" wrapText="1"/>
      <protection/>
    </xf>
    <xf numFmtId="0" fontId="2" fillId="2" borderId="2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left"/>
    </xf>
    <xf numFmtId="164" fontId="13" fillId="9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2" fillId="3" borderId="1" xfId="20" applyNumberFormat="1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left" vertical="center" wrapText="1"/>
    </xf>
    <xf numFmtId="164" fontId="13" fillId="0" borderId="1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Fill="1" applyAlignment="1">
      <alignment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vertical="top" wrapText="1"/>
    </xf>
    <xf numFmtId="49" fontId="2" fillId="0" borderId="4" xfId="20" applyNumberFormat="1" applyFont="1" applyFill="1" applyBorder="1" applyAlignment="1">
      <alignment horizontal="left" vertical="top" wrapText="1"/>
      <protection/>
    </xf>
    <xf numFmtId="0" fontId="3" fillId="0" borderId="4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top" wrapText="1"/>
    </xf>
    <xf numFmtId="164" fontId="2" fillId="0" borderId="4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164" fontId="12" fillId="9" borderId="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3" fillId="0" borderId="0" xfId="0" applyNumberFormat="1" applyFont="1" applyFill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" xfId="21"/>
    <cellStyle name="Процентный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3"/>
  <sheetViews>
    <sheetView view="pageBreakPreview" zoomScale="90" zoomScaleSheetLayoutView="90" workbookViewId="0" topLeftCell="A5">
      <selection activeCell="A12" sqref="A12:K12"/>
    </sheetView>
  </sheetViews>
  <sheetFormatPr defaultColWidth="9.140625" defaultRowHeight="15"/>
  <cols>
    <col min="1" max="1" width="25.140625" style="152" customWidth="1"/>
    <col min="2" max="2" width="77.57421875" style="152" customWidth="1"/>
    <col min="3" max="8" width="15.421875" style="152" hidden="1" customWidth="1"/>
    <col min="9" max="9" width="15.28125" style="152" customWidth="1"/>
    <col min="10" max="10" width="16.28125" style="152" customWidth="1"/>
    <col min="11" max="11" width="18.7109375" style="152" customWidth="1"/>
    <col min="12" max="12" width="12.7109375" style="152" customWidth="1"/>
    <col min="13" max="13" width="12.57421875" style="152" customWidth="1"/>
    <col min="14" max="14" width="11.8515625" style="152" customWidth="1"/>
    <col min="15" max="15" width="12.57421875" style="152" customWidth="1"/>
    <col min="16" max="16" width="11.8515625" style="152" customWidth="1"/>
    <col min="17" max="17" width="15.00390625" style="152" customWidth="1"/>
    <col min="18" max="18" width="15.8515625" style="152" customWidth="1"/>
    <col min="19" max="19" width="9.140625" style="152" customWidth="1"/>
    <col min="20" max="20" width="17.00390625" style="152" customWidth="1"/>
    <col min="21" max="16384" width="9.140625" style="152" customWidth="1"/>
  </cols>
  <sheetData>
    <row r="1" spans="8:11" ht="18.75" hidden="1">
      <c r="H1" s="229"/>
      <c r="I1" s="268"/>
      <c r="K1" s="268"/>
    </row>
    <row r="2" spans="8:11" ht="18.75" hidden="1">
      <c r="H2" s="229"/>
      <c r="I2" s="268"/>
      <c r="K2" s="268"/>
    </row>
    <row r="3" spans="8:11" ht="18.75" hidden="1">
      <c r="H3" s="229"/>
      <c r="I3" s="268"/>
      <c r="K3" s="268"/>
    </row>
    <row r="4" spans="2:11" ht="15.75" hidden="1"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2:11" ht="18.75">
      <c r="B5" s="154"/>
      <c r="C5" s="154"/>
      <c r="D5" s="154"/>
      <c r="E5" s="154"/>
      <c r="F5" s="154"/>
      <c r="G5" s="154"/>
      <c r="H5" s="154"/>
      <c r="J5" s="343" t="s">
        <v>1048</v>
      </c>
      <c r="K5" s="154"/>
    </row>
    <row r="6" spans="2:11" ht="18.75">
      <c r="B6" s="154"/>
      <c r="C6" s="154"/>
      <c r="D6" s="154"/>
      <c r="E6" s="154"/>
      <c r="F6" s="154"/>
      <c r="G6" s="154"/>
      <c r="H6" s="154"/>
      <c r="J6" s="343" t="s">
        <v>1045</v>
      </c>
      <c r="K6" s="154"/>
    </row>
    <row r="7" spans="2:11" ht="18.75">
      <c r="B7" s="154"/>
      <c r="C7" s="154"/>
      <c r="D7" s="154"/>
      <c r="E7" s="154"/>
      <c r="F7" s="154"/>
      <c r="G7" s="154"/>
      <c r="H7" s="154"/>
      <c r="J7" s="343" t="s">
        <v>1026</v>
      </c>
      <c r="K7" s="154"/>
    </row>
    <row r="8" spans="2:11" ht="18.75">
      <c r="B8" s="154"/>
      <c r="C8" s="154"/>
      <c r="D8" s="154"/>
      <c r="E8" s="154"/>
      <c r="F8" s="154"/>
      <c r="G8" s="154"/>
      <c r="H8" s="154"/>
      <c r="J8" s="343" t="s">
        <v>1046</v>
      </c>
      <c r="K8" s="154"/>
    </row>
    <row r="9" spans="2:11" ht="18.75">
      <c r="B9" s="154"/>
      <c r="C9" s="154"/>
      <c r="D9" s="154"/>
      <c r="E9" s="154"/>
      <c r="F9" s="154"/>
      <c r="G9" s="154"/>
      <c r="H9" s="154"/>
      <c r="J9" s="343" t="s">
        <v>1047</v>
      </c>
      <c r="K9" s="154"/>
    </row>
    <row r="10" spans="2:11" ht="15.75">
      <c r="B10" s="154"/>
      <c r="C10" s="154"/>
      <c r="D10" s="154"/>
      <c r="E10" s="154"/>
      <c r="F10" s="154"/>
      <c r="G10" s="154"/>
      <c r="H10" s="154"/>
      <c r="I10" s="154"/>
      <c r="J10" s="154"/>
      <c r="K10" s="154"/>
    </row>
    <row r="11" spans="2:11" ht="15.75">
      <c r="B11" s="154"/>
      <c r="C11" s="154"/>
      <c r="D11" s="154"/>
      <c r="E11" s="154"/>
      <c r="F11" s="154"/>
      <c r="G11" s="154"/>
      <c r="H11" s="154"/>
      <c r="I11" s="154"/>
      <c r="J11" s="154"/>
      <c r="K11" s="154"/>
    </row>
    <row r="12" spans="1:14" ht="15.75">
      <c r="A12" s="318" t="s">
        <v>1037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04"/>
      <c r="M12" s="304"/>
      <c r="N12" s="304"/>
    </row>
    <row r="13" spans="1:14" ht="15.75">
      <c r="A13" s="318" t="s">
        <v>1038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04"/>
      <c r="M13" s="304"/>
      <c r="N13" s="304"/>
    </row>
    <row r="14" spans="1:11" ht="15.75">
      <c r="A14" s="318"/>
      <c r="B14" s="318"/>
      <c r="C14" s="318"/>
      <c r="D14" s="318"/>
      <c r="E14" s="318"/>
      <c r="F14" s="318"/>
      <c r="G14" s="318"/>
      <c r="H14" s="318"/>
      <c r="I14" s="318"/>
      <c r="J14" s="318"/>
      <c r="K14" s="318"/>
    </row>
    <row r="15" spans="1:14" ht="15.75">
      <c r="A15" s="155"/>
      <c r="B15" s="155"/>
      <c r="C15" s="227"/>
      <c r="D15" s="227"/>
      <c r="E15" s="227"/>
      <c r="F15" s="227"/>
      <c r="G15" s="227"/>
      <c r="H15" s="227"/>
      <c r="J15" s="153"/>
      <c r="K15" s="153" t="s">
        <v>781</v>
      </c>
      <c r="N15" s="139">
        <f>J19+J25+J31+J39+J45</f>
        <v>117983.89115999998</v>
      </c>
    </row>
    <row r="16" spans="1:16" ht="47.25">
      <c r="A16" s="156" t="s">
        <v>2</v>
      </c>
      <c r="B16" s="157" t="s">
        <v>3</v>
      </c>
      <c r="C16" s="228" t="s">
        <v>4</v>
      </c>
      <c r="D16" s="228" t="s">
        <v>886</v>
      </c>
      <c r="E16" s="228" t="s">
        <v>864</v>
      </c>
      <c r="F16" s="228" t="s">
        <v>885</v>
      </c>
      <c r="G16" s="228" t="s">
        <v>881</v>
      </c>
      <c r="H16" s="228" t="s">
        <v>882</v>
      </c>
      <c r="I16" s="271" t="s">
        <v>883</v>
      </c>
      <c r="J16" s="300" t="s">
        <v>1035</v>
      </c>
      <c r="K16" s="300" t="s">
        <v>1024</v>
      </c>
      <c r="N16" s="139">
        <f>SUM(J18-N15)</f>
        <v>23023.34000000001</v>
      </c>
      <c r="P16" s="139"/>
    </row>
    <row r="17" spans="1:11" ht="15.75">
      <c r="A17" s="156">
        <v>1</v>
      </c>
      <c r="B17" s="157">
        <v>2</v>
      </c>
      <c r="C17" s="157">
        <v>3</v>
      </c>
      <c r="D17" s="157">
        <v>4</v>
      </c>
      <c r="E17" s="157">
        <v>5</v>
      </c>
      <c r="F17" s="157">
        <v>6</v>
      </c>
      <c r="G17" s="157">
        <v>7</v>
      </c>
      <c r="H17" s="157">
        <v>8</v>
      </c>
      <c r="I17" s="271">
        <v>3</v>
      </c>
      <c r="J17" s="300">
        <v>4</v>
      </c>
      <c r="K17" s="300">
        <v>5</v>
      </c>
    </row>
    <row r="18" spans="1:18" ht="18.75">
      <c r="A18" s="158" t="s">
        <v>5</v>
      </c>
      <c r="B18" s="159" t="s">
        <v>6</v>
      </c>
      <c r="C18" s="242">
        <f aca="true" t="shared" si="0" ref="C18:J18">C19+C25+C31+C39+C45+C51+C57+C63+C68+C73+C48+C90</f>
        <v>272834.3</v>
      </c>
      <c r="D18" s="242">
        <f t="shared" si="0"/>
        <v>208905.05299999996</v>
      </c>
      <c r="E18" s="242">
        <f t="shared" si="0"/>
        <v>264415.1333333333</v>
      </c>
      <c r="F18" s="242">
        <f t="shared" si="0"/>
        <v>294509.2</v>
      </c>
      <c r="G18" s="242">
        <f t="shared" si="0"/>
        <v>307411.89999999997</v>
      </c>
      <c r="H18" s="242">
        <f t="shared" si="0"/>
        <v>320557.25</v>
      </c>
      <c r="I18" s="242">
        <f t="shared" si="0"/>
        <v>273316.4</v>
      </c>
      <c r="J18" s="242">
        <f t="shared" si="0"/>
        <v>141007.23116</v>
      </c>
      <c r="K18" s="242">
        <f>SUM(J18/I18)*100</f>
        <v>51.591207538223095</v>
      </c>
      <c r="L18" s="139">
        <f>I18+I97+I110+21968</f>
        <v>479880.4</v>
      </c>
      <c r="M18" s="152">
        <v>460322.4</v>
      </c>
      <c r="N18" s="139">
        <f>L18-M18</f>
        <v>19558</v>
      </c>
      <c r="O18" s="139"/>
      <c r="R18" s="139"/>
    </row>
    <row r="19" spans="1:18" ht="18.75">
      <c r="A19" s="160" t="s">
        <v>7</v>
      </c>
      <c r="B19" s="159" t="s">
        <v>8</v>
      </c>
      <c r="C19" s="242">
        <f>C20</f>
        <v>207151</v>
      </c>
      <c r="D19" s="242">
        <f aca="true" t="shared" si="1" ref="D19">D20</f>
        <v>150019.49999999997</v>
      </c>
      <c r="E19" s="242">
        <f>E20</f>
        <v>200105.63333333333</v>
      </c>
      <c r="F19" s="242">
        <f>F20</f>
        <v>231677</v>
      </c>
      <c r="G19" s="242">
        <f aca="true" t="shared" si="2" ref="G19:H19">G20</f>
        <v>243260.4</v>
      </c>
      <c r="H19" s="242">
        <f t="shared" si="2"/>
        <v>255423.75</v>
      </c>
      <c r="I19" s="242">
        <f>I20</f>
        <v>231677</v>
      </c>
      <c r="J19" s="242">
        <f>J20</f>
        <v>102805.07999999999</v>
      </c>
      <c r="K19" s="242">
        <f aca="true" t="shared" si="3" ref="K19:K81">SUM(J19/I19)*100</f>
        <v>44.37431423922098</v>
      </c>
      <c r="L19" s="139"/>
      <c r="N19" s="139"/>
      <c r="O19" s="139"/>
      <c r="P19" s="139"/>
      <c r="Q19" s="139"/>
      <c r="R19" s="139"/>
    </row>
    <row r="20" spans="1:18" ht="18.75">
      <c r="A20" s="161" t="s">
        <v>9</v>
      </c>
      <c r="B20" s="162" t="s">
        <v>10</v>
      </c>
      <c r="C20" s="242">
        <f>SUM(C21:C24)</f>
        <v>207151</v>
      </c>
      <c r="D20" s="242">
        <f aca="true" t="shared" si="4" ref="D20">SUM(D21:D24)</f>
        <v>150019.49999999997</v>
      </c>
      <c r="E20" s="242">
        <f>SUM(E21:E24)</f>
        <v>200105.63333333333</v>
      </c>
      <c r="F20" s="242">
        <f>SUM(F21:F24)</f>
        <v>231677</v>
      </c>
      <c r="G20" s="242">
        <f aca="true" t="shared" si="5" ref="G20:H20">SUM(G21:G24)</f>
        <v>243260.4</v>
      </c>
      <c r="H20" s="242">
        <f t="shared" si="5"/>
        <v>255423.75</v>
      </c>
      <c r="I20" s="242">
        <f>SUM(I21:I24)</f>
        <v>231677</v>
      </c>
      <c r="J20" s="242">
        <f>SUM(J21:J24)</f>
        <v>102805.07999999999</v>
      </c>
      <c r="K20" s="242">
        <f t="shared" si="3"/>
        <v>44.37431423922098</v>
      </c>
      <c r="L20" s="139"/>
      <c r="N20" s="139"/>
      <c r="O20" s="139"/>
      <c r="P20" s="139"/>
      <c r="Q20" s="139"/>
      <c r="R20" s="139"/>
    </row>
    <row r="21" spans="1:11" ht="63">
      <c r="A21" s="271" t="s">
        <v>11</v>
      </c>
      <c r="B21" s="163" t="s">
        <v>12</v>
      </c>
      <c r="C21" s="243">
        <f>216801-10000</f>
        <v>206801</v>
      </c>
      <c r="D21" s="243">
        <v>149524.9</v>
      </c>
      <c r="E21" s="243">
        <f>D21/9*12</f>
        <v>199366.53333333333</v>
      </c>
      <c r="F21" s="243">
        <v>231300</v>
      </c>
      <c r="G21" s="243">
        <f>F21*1.05</f>
        <v>242865</v>
      </c>
      <c r="H21" s="243">
        <f>G21*1.05</f>
        <v>255008.25</v>
      </c>
      <c r="I21" s="243">
        <f>F21</f>
        <v>231300</v>
      </c>
      <c r="J21" s="243">
        <v>102171.65</v>
      </c>
      <c r="K21" s="242">
        <f t="shared" si="3"/>
        <v>44.17278426286208</v>
      </c>
    </row>
    <row r="22" spans="1:11" ht="94.5">
      <c r="A22" s="271" t="s">
        <v>13</v>
      </c>
      <c r="B22" s="165" t="s">
        <v>14</v>
      </c>
      <c r="C22" s="243">
        <v>2</v>
      </c>
      <c r="D22" s="243">
        <v>0.3</v>
      </c>
      <c r="E22" s="243">
        <v>0.5</v>
      </c>
      <c r="F22" s="243">
        <v>2</v>
      </c>
      <c r="G22" s="243">
        <v>2</v>
      </c>
      <c r="H22" s="243">
        <v>2</v>
      </c>
      <c r="I22" s="243">
        <v>2</v>
      </c>
      <c r="J22" s="243">
        <v>19.34</v>
      </c>
      <c r="K22" s="242">
        <f t="shared" si="3"/>
        <v>967</v>
      </c>
    </row>
    <row r="23" spans="1:11" ht="47.25">
      <c r="A23" s="271" t="s">
        <v>15</v>
      </c>
      <c r="B23" s="165" t="s">
        <v>16</v>
      </c>
      <c r="C23" s="243">
        <v>337</v>
      </c>
      <c r="D23" s="243">
        <v>494.3</v>
      </c>
      <c r="E23" s="243">
        <v>738.6</v>
      </c>
      <c r="F23" s="243">
        <v>369</v>
      </c>
      <c r="G23" s="243">
        <v>387.4</v>
      </c>
      <c r="H23" s="243">
        <v>407</v>
      </c>
      <c r="I23" s="243">
        <v>369</v>
      </c>
      <c r="J23" s="243">
        <v>578.65</v>
      </c>
      <c r="K23" s="242">
        <f t="shared" si="3"/>
        <v>156.81571815718155</v>
      </c>
    </row>
    <row r="24" spans="1:11" ht="78.75">
      <c r="A24" s="271" t="s">
        <v>17</v>
      </c>
      <c r="B24" s="165" t="s">
        <v>18</v>
      </c>
      <c r="C24" s="243">
        <v>11</v>
      </c>
      <c r="D24" s="243">
        <v>0</v>
      </c>
      <c r="E24" s="243">
        <v>0</v>
      </c>
      <c r="F24" s="243">
        <v>6</v>
      </c>
      <c r="G24" s="243">
        <v>6</v>
      </c>
      <c r="H24" s="243">
        <v>6.5</v>
      </c>
      <c r="I24" s="243">
        <v>6</v>
      </c>
      <c r="J24" s="243">
        <v>35.44</v>
      </c>
      <c r="K24" s="242">
        <f t="shared" si="3"/>
        <v>590.6666666666666</v>
      </c>
    </row>
    <row r="25" spans="1:11" ht="31.5">
      <c r="A25" s="166" t="s">
        <v>19</v>
      </c>
      <c r="B25" s="167" t="s">
        <v>20</v>
      </c>
      <c r="C25" s="242">
        <f>C26</f>
        <v>3358</v>
      </c>
      <c r="D25" s="242">
        <f>D26</f>
        <v>2843.589</v>
      </c>
      <c r="E25" s="242">
        <f>E26</f>
        <v>3120</v>
      </c>
      <c r="F25" s="242">
        <f>F26</f>
        <v>3510</v>
      </c>
      <c r="G25" s="242">
        <f aca="true" t="shared" si="6" ref="G25:H25">G26</f>
        <v>3951.3</v>
      </c>
      <c r="H25" s="242">
        <f t="shared" si="6"/>
        <v>3951.3</v>
      </c>
      <c r="I25" s="242">
        <f>I26</f>
        <v>3803.2000000000003</v>
      </c>
      <c r="J25" s="242">
        <f>J26</f>
        <v>1866.3400000000001</v>
      </c>
      <c r="K25" s="242">
        <f t="shared" si="3"/>
        <v>49.07288599074464</v>
      </c>
    </row>
    <row r="26" spans="1:11" ht="31.5">
      <c r="A26" s="238" t="s">
        <v>21</v>
      </c>
      <c r="B26" s="239" t="s">
        <v>22</v>
      </c>
      <c r="C26" s="242">
        <f>SUM(C27:C30)</f>
        <v>3358</v>
      </c>
      <c r="D26" s="242">
        <f aca="true" t="shared" si="7" ref="D26:I26">SUM(D27:D30)</f>
        <v>2843.589</v>
      </c>
      <c r="E26" s="242">
        <f t="shared" si="7"/>
        <v>3120</v>
      </c>
      <c r="F26" s="242">
        <f t="shared" si="7"/>
        <v>3510</v>
      </c>
      <c r="G26" s="242">
        <f t="shared" si="7"/>
        <v>3951.3</v>
      </c>
      <c r="H26" s="242">
        <f t="shared" si="7"/>
        <v>3951.3</v>
      </c>
      <c r="I26" s="242">
        <f t="shared" si="7"/>
        <v>3803.2000000000003</v>
      </c>
      <c r="J26" s="242">
        <f>SUM(J27:J30)</f>
        <v>1866.3400000000001</v>
      </c>
      <c r="K26" s="242">
        <f t="shared" si="3"/>
        <v>49.07288599074464</v>
      </c>
    </row>
    <row r="27" spans="1:11" ht="63">
      <c r="A27" s="168" t="s">
        <v>23</v>
      </c>
      <c r="B27" s="165" t="s">
        <v>24</v>
      </c>
      <c r="C27" s="243">
        <v>1191.5</v>
      </c>
      <c r="D27" s="243">
        <v>1149.8</v>
      </c>
      <c r="E27" s="243">
        <v>1191.5</v>
      </c>
      <c r="F27" s="243">
        <v>1138.3</v>
      </c>
      <c r="G27" s="243">
        <v>1277.2</v>
      </c>
      <c r="H27" s="243">
        <v>1277.2</v>
      </c>
      <c r="I27" s="243">
        <v>1318</v>
      </c>
      <c r="J27" s="243">
        <v>808.83</v>
      </c>
      <c r="K27" s="242">
        <f t="shared" si="3"/>
        <v>61.367981790591806</v>
      </c>
    </row>
    <row r="28" spans="1:11" ht="78.75">
      <c r="A28" s="272" t="s">
        <v>25</v>
      </c>
      <c r="B28" s="165" t="s">
        <v>26</v>
      </c>
      <c r="C28" s="243">
        <v>18.1</v>
      </c>
      <c r="D28" s="243">
        <v>12.245</v>
      </c>
      <c r="E28" s="243">
        <v>18.1</v>
      </c>
      <c r="F28" s="243">
        <v>10.4</v>
      </c>
      <c r="G28" s="243">
        <v>11</v>
      </c>
      <c r="H28" s="243">
        <v>11</v>
      </c>
      <c r="I28" s="243">
        <v>10.9</v>
      </c>
      <c r="J28" s="243">
        <v>6.13</v>
      </c>
      <c r="K28" s="242">
        <f t="shared" si="3"/>
        <v>56.23853211009175</v>
      </c>
    </row>
    <row r="29" spans="1:11" ht="63">
      <c r="A29" s="272" t="s">
        <v>27</v>
      </c>
      <c r="B29" s="165" t="s">
        <v>28</v>
      </c>
      <c r="C29" s="244">
        <v>2148.4</v>
      </c>
      <c r="D29" s="244">
        <v>1919.5</v>
      </c>
      <c r="E29" s="244">
        <v>2148.4</v>
      </c>
      <c r="F29" s="244">
        <v>2361.3</v>
      </c>
      <c r="G29" s="244">
        <v>2663.1</v>
      </c>
      <c r="H29" s="244">
        <v>2663.1</v>
      </c>
      <c r="I29" s="244">
        <v>2474.3</v>
      </c>
      <c r="J29" s="244">
        <v>1219.43</v>
      </c>
      <c r="K29" s="242">
        <f t="shared" si="3"/>
        <v>49.28383785313017</v>
      </c>
    </row>
    <row r="30" spans="1:11" ht="63">
      <c r="A30" s="6" t="s">
        <v>889</v>
      </c>
      <c r="B30" s="275" t="s">
        <v>890</v>
      </c>
      <c r="C30" s="243">
        <v>0</v>
      </c>
      <c r="D30" s="243">
        <v>-237.956</v>
      </c>
      <c r="E30" s="243">
        <v>-238</v>
      </c>
      <c r="F30" s="243">
        <v>0</v>
      </c>
      <c r="G30" s="243">
        <v>0</v>
      </c>
      <c r="H30" s="243">
        <v>0</v>
      </c>
      <c r="I30" s="243">
        <v>0</v>
      </c>
      <c r="J30" s="243">
        <v>-168.05</v>
      </c>
      <c r="K30" s="242" t="s">
        <v>1036</v>
      </c>
    </row>
    <row r="31" spans="1:13" ht="18.75">
      <c r="A31" s="161" t="s">
        <v>29</v>
      </c>
      <c r="B31" s="162" t="s">
        <v>30</v>
      </c>
      <c r="C31" s="242">
        <f aca="true" t="shared" si="8" ref="C31:J31">SUM(C32+C35+C38)</f>
        <v>20489.8</v>
      </c>
      <c r="D31" s="242">
        <f t="shared" si="8"/>
        <v>14361.3</v>
      </c>
      <c r="E31" s="242">
        <f t="shared" si="8"/>
        <v>20474.8</v>
      </c>
      <c r="F31" s="242">
        <f t="shared" si="8"/>
        <v>21474</v>
      </c>
      <c r="G31" s="242">
        <f t="shared" si="8"/>
        <v>21923</v>
      </c>
      <c r="H31" s="242">
        <f t="shared" si="8"/>
        <v>22493</v>
      </c>
      <c r="I31" s="242">
        <f t="shared" si="8"/>
        <v>18339</v>
      </c>
      <c r="J31" s="242">
        <f t="shared" si="8"/>
        <v>12540.95116</v>
      </c>
      <c r="K31" s="242">
        <f t="shared" si="3"/>
        <v>68.38405125688423</v>
      </c>
      <c r="L31" s="152">
        <v>20489.8</v>
      </c>
      <c r="M31" s="260">
        <f>I31/L31*100-100</f>
        <v>-10.496930179894377</v>
      </c>
    </row>
    <row r="32" spans="1:11" ht="31.5">
      <c r="A32" s="158" t="s">
        <v>31</v>
      </c>
      <c r="B32" s="162" t="s">
        <v>32</v>
      </c>
      <c r="C32" s="242">
        <f aca="true" t="shared" si="9" ref="C32:J32">SUM(C33:C34)</f>
        <v>10695.8</v>
      </c>
      <c r="D32" s="242">
        <f t="shared" si="9"/>
        <v>7511</v>
      </c>
      <c r="E32" s="242">
        <f t="shared" si="9"/>
        <v>10695.8</v>
      </c>
      <c r="F32" s="242">
        <f t="shared" si="9"/>
        <v>11370</v>
      </c>
      <c r="G32" s="242">
        <f t="shared" si="9"/>
        <v>11813</v>
      </c>
      <c r="H32" s="242">
        <f t="shared" si="9"/>
        <v>12333</v>
      </c>
      <c r="I32" s="242">
        <f t="shared" si="9"/>
        <v>8235</v>
      </c>
      <c r="J32" s="242">
        <f t="shared" si="9"/>
        <v>7205.381160000001</v>
      </c>
      <c r="K32" s="242">
        <f t="shared" si="3"/>
        <v>87.49703897996358</v>
      </c>
    </row>
    <row r="33" spans="1:11" ht="31.5">
      <c r="A33" s="156" t="s">
        <v>33</v>
      </c>
      <c r="B33" s="169" t="s">
        <v>34</v>
      </c>
      <c r="C33" s="243">
        <f>10695.8/2</f>
        <v>5347.9</v>
      </c>
      <c r="D33" s="243">
        <f>5410.4</f>
        <v>5410.4</v>
      </c>
      <c r="E33" s="243">
        <f>10695.8/2</f>
        <v>5347.9</v>
      </c>
      <c r="F33" s="243">
        <v>5685</v>
      </c>
      <c r="G33" s="245">
        <v>5906.5</v>
      </c>
      <c r="H33" s="245">
        <v>6166.5</v>
      </c>
      <c r="I33" s="243">
        <v>4117.5</v>
      </c>
      <c r="J33" s="243">
        <v>5476.912250000001</v>
      </c>
      <c r="K33" s="242">
        <f t="shared" si="3"/>
        <v>133.01547662416516</v>
      </c>
    </row>
    <row r="34" spans="1:11" ht="63">
      <c r="A34" s="156" t="s">
        <v>35</v>
      </c>
      <c r="B34" s="169" t="s">
        <v>36</v>
      </c>
      <c r="C34" s="243">
        <f>10695.8/2</f>
        <v>5347.9</v>
      </c>
      <c r="D34" s="243">
        <v>2100.6</v>
      </c>
      <c r="E34" s="243">
        <f>10695.8/2</f>
        <v>5347.9</v>
      </c>
      <c r="F34" s="243">
        <v>5685</v>
      </c>
      <c r="G34" s="245">
        <v>5906.5</v>
      </c>
      <c r="H34" s="245">
        <v>6166.5</v>
      </c>
      <c r="I34" s="243">
        <v>4117.5</v>
      </c>
      <c r="J34" s="243">
        <v>1728.46891</v>
      </c>
      <c r="K34" s="242">
        <f t="shared" si="3"/>
        <v>41.978601335761994</v>
      </c>
    </row>
    <row r="35" spans="1:11" ht="18.75">
      <c r="A35" s="158" t="s">
        <v>37</v>
      </c>
      <c r="B35" s="162" t="s">
        <v>38</v>
      </c>
      <c r="C35" s="242">
        <f>SUM(C36:C37)</f>
        <v>9639</v>
      </c>
      <c r="D35" s="242">
        <f aca="true" t="shared" si="10" ref="D35:J35">SUM(D36:D37)</f>
        <v>6707.8</v>
      </c>
      <c r="E35" s="242">
        <f t="shared" si="10"/>
        <v>9624</v>
      </c>
      <c r="F35" s="242">
        <f t="shared" si="10"/>
        <v>9894</v>
      </c>
      <c r="G35" s="242">
        <f t="shared" si="10"/>
        <v>9900</v>
      </c>
      <c r="H35" s="242">
        <f t="shared" si="10"/>
        <v>9950</v>
      </c>
      <c r="I35" s="242">
        <f t="shared" si="10"/>
        <v>9894</v>
      </c>
      <c r="J35" s="242">
        <f t="shared" si="10"/>
        <v>5082.96</v>
      </c>
      <c r="K35" s="242">
        <f t="shared" si="3"/>
        <v>51.37416616130989</v>
      </c>
    </row>
    <row r="36" spans="1:11" ht="18.75">
      <c r="A36" s="271" t="s">
        <v>39</v>
      </c>
      <c r="B36" s="163" t="s">
        <v>38</v>
      </c>
      <c r="C36" s="243">
        <v>9639</v>
      </c>
      <c r="D36" s="243">
        <v>6722.8</v>
      </c>
      <c r="E36" s="243">
        <v>9639</v>
      </c>
      <c r="F36" s="243">
        <v>9894</v>
      </c>
      <c r="G36" s="243">
        <v>9900</v>
      </c>
      <c r="H36" s="243">
        <v>9950</v>
      </c>
      <c r="I36" s="243">
        <v>9894</v>
      </c>
      <c r="J36" s="243">
        <v>5083.01</v>
      </c>
      <c r="K36" s="242">
        <f t="shared" si="3"/>
        <v>51.37467151809177</v>
      </c>
    </row>
    <row r="37" spans="1:11" ht="47.25">
      <c r="A37" s="6" t="s">
        <v>891</v>
      </c>
      <c r="B37" s="236" t="s">
        <v>892</v>
      </c>
      <c r="C37" s="243">
        <v>0</v>
      </c>
      <c r="D37" s="243">
        <v>-15</v>
      </c>
      <c r="E37" s="243">
        <v>-15</v>
      </c>
      <c r="F37" s="243">
        <v>0</v>
      </c>
      <c r="G37" s="243">
        <v>0</v>
      </c>
      <c r="H37" s="243">
        <v>0</v>
      </c>
      <c r="I37" s="243">
        <v>0</v>
      </c>
      <c r="J37" s="243">
        <v>-0.05</v>
      </c>
      <c r="K37" s="242" t="s">
        <v>1036</v>
      </c>
    </row>
    <row r="38" spans="1:11" ht="31.5">
      <c r="A38" s="158" t="s">
        <v>40</v>
      </c>
      <c r="B38" s="170" t="s">
        <v>41</v>
      </c>
      <c r="C38" s="242">
        <v>155</v>
      </c>
      <c r="D38" s="242">
        <v>142.5</v>
      </c>
      <c r="E38" s="242">
        <v>155</v>
      </c>
      <c r="F38" s="242">
        <v>210</v>
      </c>
      <c r="G38" s="242">
        <v>210</v>
      </c>
      <c r="H38" s="242">
        <v>210</v>
      </c>
      <c r="I38" s="242">
        <v>210</v>
      </c>
      <c r="J38" s="242">
        <v>252.61</v>
      </c>
      <c r="K38" s="242">
        <f t="shared" si="3"/>
        <v>120.2904761904762</v>
      </c>
    </row>
    <row r="39" spans="1:11" ht="18.75">
      <c r="A39" s="161" t="s">
        <v>42</v>
      </c>
      <c r="B39" s="162" t="s">
        <v>43</v>
      </c>
      <c r="C39" s="242">
        <f>C40+C42</f>
        <v>383</v>
      </c>
      <c r="D39" s="242">
        <f aca="true" t="shared" si="11" ref="D39">D40+D42</f>
        <v>76.9</v>
      </c>
      <c r="E39" s="242">
        <f>E40+E42</f>
        <v>383</v>
      </c>
      <c r="F39" s="242">
        <f>F40+F42</f>
        <v>974</v>
      </c>
      <c r="G39" s="242">
        <f aca="true" t="shared" si="12" ref="G39:H39">G40+G42</f>
        <v>1311</v>
      </c>
      <c r="H39" s="242">
        <f t="shared" si="12"/>
        <v>1648</v>
      </c>
      <c r="I39" s="242">
        <f>I40+I42</f>
        <v>974</v>
      </c>
      <c r="J39" s="242">
        <f>J40+J42</f>
        <v>145.96</v>
      </c>
      <c r="K39" s="242">
        <f t="shared" si="3"/>
        <v>14.985626283367557</v>
      </c>
    </row>
    <row r="40" spans="1:11" ht="18.75">
      <c r="A40" s="161" t="s">
        <v>44</v>
      </c>
      <c r="B40" s="162" t="s">
        <v>45</v>
      </c>
      <c r="C40" s="242">
        <f>C41</f>
        <v>71</v>
      </c>
      <c r="D40" s="242">
        <f aca="true" t="shared" si="13" ref="D40">D41</f>
        <v>48</v>
      </c>
      <c r="E40" s="242">
        <f>E41</f>
        <v>71</v>
      </c>
      <c r="F40" s="242">
        <f>F41</f>
        <v>652</v>
      </c>
      <c r="G40" s="242">
        <f aca="true" t="shared" si="14" ref="G40:H40">G41</f>
        <v>978</v>
      </c>
      <c r="H40" s="242">
        <f t="shared" si="14"/>
        <v>1304</v>
      </c>
      <c r="I40" s="242">
        <f>I41</f>
        <v>652</v>
      </c>
      <c r="J40" s="242">
        <f>J41</f>
        <v>44.43</v>
      </c>
      <c r="K40" s="242">
        <f t="shared" si="3"/>
        <v>6.81441717791411</v>
      </c>
    </row>
    <row r="41" spans="1:11" ht="38.25" customHeight="1">
      <c r="A41" s="271" t="s">
        <v>46</v>
      </c>
      <c r="B41" s="169" t="s">
        <v>47</v>
      </c>
      <c r="C41" s="243">
        <v>71</v>
      </c>
      <c r="D41" s="243">
        <v>48</v>
      </c>
      <c r="E41" s="243">
        <v>71</v>
      </c>
      <c r="F41" s="243">
        <v>652</v>
      </c>
      <c r="G41" s="245">
        <v>978</v>
      </c>
      <c r="H41" s="245">
        <v>1304</v>
      </c>
      <c r="I41" s="243">
        <v>652</v>
      </c>
      <c r="J41" s="243">
        <v>44.43</v>
      </c>
      <c r="K41" s="242">
        <f t="shared" si="3"/>
        <v>6.81441717791411</v>
      </c>
    </row>
    <row r="42" spans="1:11" ht="18.75">
      <c r="A42" s="161" t="s">
        <v>48</v>
      </c>
      <c r="B42" s="162" t="s">
        <v>49</v>
      </c>
      <c r="C42" s="242">
        <f>C44+C43</f>
        <v>312</v>
      </c>
      <c r="D42" s="242">
        <f aca="true" t="shared" si="15" ref="D42">D44+D43</f>
        <v>28.900000000000002</v>
      </c>
      <c r="E42" s="242">
        <f>E44+E43</f>
        <v>312</v>
      </c>
      <c r="F42" s="242">
        <f>F44+F43</f>
        <v>322</v>
      </c>
      <c r="G42" s="242">
        <f aca="true" t="shared" si="16" ref="G42:H42">G44+G43</f>
        <v>333</v>
      </c>
      <c r="H42" s="242">
        <f t="shared" si="16"/>
        <v>344</v>
      </c>
      <c r="I42" s="242">
        <f>I44+I43</f>
        <v>322</v>
      </c>
      <c r="J42" s="242">
        <f>J44+J43</f>
        <v>101.53</v>
      </c>
      <c r="K42" s="242">
        <f t="shared" si="3"/>
        <v>31.53105590062112</v>
      </c>
    </row>
    <row r="43" spans="1:11" ht="31.5">
      <c r="A43" s="271" t="s">
        <v>50</v>
      </c>
      <c r="B43" s="169" t="s">
        <v>51</v>
      </c>
      <c r="C43" s="243">
        <v>167</v>
      </c>
      <c r="D43" s="243">
        <v>39.7</v>
      </c>
      <c r="E43" s="243">
        <v>167</v>
      </c>
      <c r="F43" s="243">
        <v>172</v>
      </c>
      <c r="G43" s="243">
        <v>173</v>
      </c>
      <c r="H43" s="243">
        <v>174</v>
      </c>
      <c r="I43" s="243">
        <v>172</v>
      </c>
      <c r="J43" s="243">
        <v>93.18</v>
      </c>
      <c r="K43" s="242">
        <f t="shared" si="3"/>
        <v>54.174418604651166</v>
      </c>
    </row>
    <row r="44" spans="1:11" ht="31.5">
      <c r="A44" s="271" t="s">
        <v>52</v>
      </c>
      <c r="B44" s="169" t="s">
        <v>53</v>
      </c>
      <c r="C44" s="243">
        <v>145</v>
      </c>
      <c r="D44" s="243">
        <v>-10.8</v>
      </c>
      <c r="E44" s="243">
        <v>145</v>
      </c>
      <c r="F44" s="243">
        <v>150</v>
      </c>
      <c r="G44" s="243">
        <v>160</v>
      </c>
      <c r="H44" s="243">
        <v>170</v>
      </c>
      <c r="I44" s="243">
        <v>150</v>
      </c>
      <c r="J44" s="243">
        <v>8.35</v>
      </c>
      <c r="K44" s="242">
        <f t="shared" si="3"/>
        <v>5.566666666666666</v>
      </c>
    </row>
    <row r="45" spans="1:11" ht="18.75">
      <c r="A45" s="161" t="s">
        <v>54</v>
      </c>
      <c r="B45" s="162" t="s">
        <v>55</v>
      </c>
      <c r="C45" s="242">
        <f aca="true" t="shared" si="17" ref="C45:F46">C46</f>
        <v>2294</v>
      </c>
      <c r="D45" s="242">
        <f aca="true" t="shared" si="18" ref="D45:D46">D46</f>
        <v>933.3</v>
      </c>
      <c r="E45" s="242">
        <f t="shared" si="17"/>
        <v>1346.7</v>
      </c>
      <c r="F45" s="242">
        <f t="shared" si="17"/>
        <v>2088</v>
      </c>
      <c r="G45" s="242">
        <f aca="true" t="shared" si="19" ref="G45:H46">G46</f>
        <v>2100</v>
      </c>
      <c r="H45" s="242">
        <f t="shared" si="19"/>
        <v>2150</v>
      </c>
      <c r="I45" s="242">
        <f>I46</f>
        <v>2088</v>
      </c>
      <c r="J45" s="242">
        <f>J46</f>
        <v>625.56</v>
      </c>
      <c r="K45" s="242">
        <f t="shared" si="3"/>
        <v>29.959770114942526</v>
      </c>
    </row>
    <row r="46" spans="1:11" ht="31.5">
      <c r="A46" s="161" t="s">
        <v>56</v>
      </c>
      <c r="B46" s="162" t="s">
        <v>57</v>
      </c>
      <c r="C46" s="242">
        <f t="shared" si="17"/>
        <v>2294</v>
      </c>
      <c r="D46" s="242">
        <f t="shared" si="18"/>
        <v>933.3</v>
      </c>
      <c r="E46" s="242">
        <f t="shared" si="17"/>
        <v>1346.7</v>
      </c>
      <c r="F46" s="242">
        <f t="shared" si="17"/>
        <v>2088</v>
      </c>
      <c r="G46" s="242">
        <f t="shared" si="19"/>
        <v>2100</v>
      </c>
      <c r="H46" s="242">
        <f t="shared" si="19"/>
        <v>2150</v>
      </c>
      <c r="I46" s="242">
        <f>I47</f>
        <v>2088</v>
      </c>
      <c r="J46" s="242">
        <f>J47</f>
        <v>625.56</v>
      </c>
      <c r="K46" s="242">
        <f t="shared" si="3"/>
        <v>29.959770114942526</v>
      </c>
    </row>
    <row r="47" spans="1:11" ht="47.25">
      <c r="A47" s="271" t="s">
        <v>58</v>
      </c>
      <c r="B47" s="163" t="s">
        <v>59</v>
      </c>
      <c r="C47" s="243">
        <v>2294</v>
      </c>
      <c r="D47" s="243">
        <v>933.3</v>
      </c>
      <c r="E47" s="243">
        <v>1346.7</v>
      </c>
      <c r="F47" s="243">
        <v>2088</v>
      </c>
      <c r="G47" s="245">
        <v>2100</v>
      </c>
      <c r="H47" s="245">
        <v>2150</v>
      </c>
      <c r="I47" s="243">
        <v>2088</v>
      </c>
      <c r="J47" s="243">
        <v>625.56</v>
      </c>
      <c r="K47" s="242">
        <f t="shared" si="3"/>
        <v>29.959770114942526</v>
      </c>
    </row>
    <row r="48" spans="1:11" ht="31.5" hidden="1">
      <c r="A48" s="274" t="s">
        <v>893</v>
      </c>
      <c r="B48" s="237" t="s">
        <v>894</v>
      </c>
      <c r="C48" s="242">
        <v>0</v>
      </c>
      <c r="D48" s="242">
        <f>SUM(D49:D50)</f>
        <v>7.1</v>
      </c>
      <c r="E48" s="242">
        <f aca="true" t="shared" si="20" ref="E48:I48">SUM(E49:E50)</f>
        <v>7.1</v>
      </c>
      <c r="F48" s="242">
        <f t="shared" si="20"/>
        <v>0</v>
      </c>
      <c r="G48" s="242">
        <f t="shared" si="20"/>
        <v>0</v>
      </c>
      <c r="H48" s="242">
        <f t="shared" si="20"/>
        <v>0</v>
      </c>
      <c r="I48" s="242">
        <f t="shared" si="20"/>
        <v>0</v>
      </c>
      <c r="J48" s="242"/>
      <c r="K48" s="242" t="e">
        <f t="shared" si="3"/>
        <v>#DIV/0!</v>
      </c>
    </row>
    <row r="49" spans="1:11" ht="63" hidden="1">
      <c r="A49" s="6" t="s">
        <v>895</v>
      </c>
      <c r="B49" s="230" t="s">
        <v>896</v>
      </c>
      <c r="C49" s="243">
        <v>0</v>
      </c>
      <c r="D49" s="243">
        <v>7.5</v>
      </c>
      <c r="E49" s="243">
        <v>7.5</v>
      </c>
      <c r="F49" s="243">
        <v>0</v>
      </c>
      <c r="G49" s="245">
        <v>0</v>
      </c>
      <c r="H49" s="245">
        <v>0</v>
      </c>
      <c r="I49" s="243">
        <v>0</v>
      </c>
      <c r="J49" s="243"/>
      <c r="K49" s="242" t="e">
        <f t="shared" si="3"/>
        <v>#DIV/0!</v>
      </c>
    </row>
    <row r="50" spans="1:11" ht="63" hidden="1">
      <c r="A50" s="2" t="s">
        <v>897</v>
      </c>
      <c r="B50" s="230" t="s">
        <v>898</v>
      </c>
      <c r="C50" s="243">
        <v>0</v>
      </c>
      <c r="D50" s="243">
        <v>-0.4</v>
      </c>
      <c r="E50" s="243">
        <v>-0.4</v>
      </c>
      <c r="F50" s="243">
        <v>0</v>
      </c>
      <c r="G50" s="245">
        <v>0</v>
      </c>
      <c r="H50" s="245">
        <v>0</v>
      </c>
      <c r="I50" s="243">
        <v>0</v>
      </c>
      <c r="J50" s="243"/>
      <c r="K50" s="242" t="e">
        <f t="shared" si="3"/>
        <v>#DIV/0!</v>
      </c>
    </row>
    <row r="51" spans="1:13" ht="31.5">
      <c r="A51" s="161" t="s">
        <v>60</v>
      </c>
      <c r="B51" s="171" t="s">
        <v>61</v>
      </c>
      <c r="C51" s="242">
        <f>C52</f>
        <v>30200</v>
      </c>
      <c r="D51" s="242">
        <f aca="true" t="shared" si="21" ref="D51">D52</f>
        <v>30394</v>
      </c>
      <c r="E51" s="242">
        <f>E52</f>
        <v>30200</v>
      </c>
      <c r="F51" s="242">
        <f>F52</f>
        <v>30200</v>
      </c>
      <c r="G51" s="242">
        <f aca="true" t="shared" si="22" ref="G51:H51">G52</f>
        <v>30200</v>
      </c>
      <c r="H51" s="242">
        <f t="shared" si="22"/>
        <v>30200</v>
      </c>
      <c r="I51" s="242">
        <f>I52</f>
        <v>11849</v>
      </c>
      <c r="J51" s="242">
        <f>J52</f>
        <v>20763.74</v>
      </c>
      <c r="K51" s="242">
        <f t="shared" si="3"/>
        <v>175.2362224660309</v>
      </c>
      <c r="L51" s="152">
        <v>30200</v>
      </c>
      <c r="M51" s="139">
        <f>L51-I51</f>
        <v>18351</v>
      </c>
    </row>
    <row r="52" spans="1:11" ht="78.75">
      <c r="A52" s="161" t="s">
        <v>62</v>
      </c>
      <c r="B52" s="171" t="s">
        <v>63</v>
      </c>
      <c r="C52" s="242">
        <f>C53+C55</f>
        <v>30200</v>
      </c>
      <c r="D52" s="242">
        <f aca="true" t="shared" si="23" ref="D52">D53+D55</f>
        <v>30394</v>
      </c>
      <c r="E52" s="242">
        <f>E53+E55</f>
        <v>30200</v>
      </c>
      <c r="F52" s="242">
        <f>F53+F55</f>
        <v>30200</v>
      </c>
      <c r="G52" s="242">
        <f aca="true" t="shared" si="24" ref="G52:H52">G53+G55</f>
        <v>30200</v>
      </c>
      <c r="H52" s="242">
        <f t="shared" si="24"/>
        <v>30200</v>
      </c>
      <c r="I52" s="242">
        <f>I53+I55</f>
        <v>11849</v>
      </c>
      <c r="J52" s="242">
        <f>J53+J55</f>
        <v>20763.74</v>
      </c>
      <c r="K52" s="242">
        <f t="shared" si="3"/>
        <v>175.2362224660309</v>
      </c>
    </row>
    <row r="53" spans="1:11" ht="63">
      <c r="A53" s="161" t="s">
        <v>64</v>
      </c>
      <c r="B53" s="162" t="s">
        <v>65</v>
      </c>
      <c r="C53" s="242">
        <f>C54</f>
        <v>26900</v>
      </c>
      <c r="D53" s="242">
        <f aca="true" t="shared" si="25" ref="D53">D54</f>
        <v>27515.9</v>
      </c>
      <c r="E53" s="242">
        <f>E54</f>
        <v>26900</v>
      </c>
      <c r="F53" s="242">
        <f>F54</f>
        <v>26900</v>
      </c>
      <c r="G53" s="242">
        <f aca="true" t="shared" si="26" ref="G53:H53">G54</f>
        <v>26900</v>
      </c>
      <c r="H53" s="242">
        <f t="shared" si="26"/>
        <v>26900</v>
      </c>
      <c r="I53" s="242">
        <f>I54</f>
        <v>8549</v>
      </c>
      <c r="J53" s="242">
        <f>J54</f>
        <v>18215.77</v>
      </c>
      <c r="K53" s="242">
        <f t="shared" si="3"/>
        <v>213.07486255702423</v>
      </c>
    </row>
    <row r="54" spans="1:11" ht="63">
      <c r="A54" s="271" t="s">
        <v>66</v>
      </c>
      <c r="B54" s="169" t="s">
        <v>67</v>
      </c>
      <c r="C54" s="243">
        <v>26900</v>
      </c>
      <c r="D54" s="243">
        <v>27515.9</v>
      </c>
      <c r="E54" s="243">
        <v>26900</v>
      </c>
      <c r="F54" s="243">
        <v>26900</v>
      </c>
      <c r="G54" s="245">
        <v>26900</v>
      </c>
      <c r="H54" s="245">
        <v>26900</v>
      </c>
      <c r="I54" s="243">
        <v>8549</v>
      </c>
      <c r="J54" s="243">
        <v>18215.77</v>
      </c>
      <c r="K54" s="242">
        <f t="shared" si="3"/>
        <v>213.07486255702423</v>
      </c>
    </row>
    <row r="55" spans="1:11" ht="31.5">
      <c r="A55" s="161" t="s">
        <v>68</v>
      </c>
      <c r="B55" s="162" t="s">
        <v>69</v>
      </c>
      <c r="C55" s="242">
        <f>C56</f>
        <v>3300</v>
      </c>
      <c r="D55" s="242">
        <f aca="true" t="shared" si="27" ref="D55">D56</f>
        <v>2878.1</v>
      </c>
      <c r="E55" s="242">
        <f>E56</f>
        <v>3300</v>
      </c>
      <c r="F55" s="242">
        <f>F56</f>
        <v>3300</v>
      </c>
      <c r="G55" s="242">
        <f aca="true" t="shared" si="28" ref="G55:H55">G56</f>
        <v>3300</v>
      </c>
      <c r="H55" s="242">
        <f t="shared" si="28"/>
        <v>3300</v>
      </c>
      <c r="I55" s="242">
        <f>I56</f>
        <v>3300</v>
      </c>
      <c r="J55" s="242">
        <f>J56</f>
        <v>2547.97</v>
      </c>
      <c r="K55" s="242">
        <f t="shared" si="3"/>
        <v>77.21121212121211</v>
      </c>
    </row>
    <row r="56" spans="1:11" ht="31.5">
      <c r="A56" s="271" t="s">
        <v>70</v>
      </c>
      <c r="B56" s="169" t="s">
        <v>71</v>
      </c>
      <c r="C56" s="243">
        <v>3300</v>
      </c>
      <c r="D56" s="243">
        <v>2878.1</v>
      </c>
      <c r="E56" s="243">
        <v>3300</v>
      </c>
      <c r="F56" s="243">
        <v>3300</v>
      </c>
      <c r="G56" s="245">
        <v>3300</v>
      </c>
      <c r="H56" s="245">
        <v>3300</v>
      </c>
      <c r="I56" s="243">
        <v>3300</v>
      </c>
      <c r="J56" s="243">
        <v>2547.97</v>
      </c>
      <c r="K56" s="242">
        <f t="shared" si="3"/>
        <v>77.21121212121211</v>
      </c>
    </row>
    <row r="57" spans="1:11" ht="18.75">
      <c r="A57" s="161" t="s">
        <v>72</v>
      </c>
      <c r="B57" s="171" t="s">
        <v>73</v>
      </c>
      <c r="C57" s="242">
        <f>SUM(C58)</f>
        <v>5112.999999999999</v>
      </c>
      <c r="D57" s="242">
        <f aca="true" t="shared" si="29" ref="D57">SUM(D58)</f>
        <v>5343</v>
      </c>
      <c r="E57" s="242">
        <f>SUM(E58)</f>
        <v>2061</v>
      </c>
      <c r="F57" s="242">
        <f>SUM(F58)</f>
        <v>2023.1999999999998</v>
      </c>
      <c r="G57" s="242">
        <f aca="true" t="shared" si="30" ref="G57:H57">SUM(G58)</f>
        <v>2023.1999999999998</v>
      </c>
      <c r="H57" s="242">
        <f t="shared" si="30"/>
        <v>2023.1999999999998</v>
      </c>
      <c r="I57" s="242">
        <f>SUM(I58)</f>
        <v>2023.1999999999998</v>
      </c>
      <c r="J57" s="242">
        <f>SUM(J58)</f>
        <v>894.91</v>
      </c>
      <c r="K57" s="242">
        <f t="shared" si="3"/>
        <v>44.23240411229735</v>
      </c>
    </row>
    <row r="58" spans="1:11" ht="18.75">
      <c r="A58" s="161" t="s">
        <v>74</v>
      </c>
      <c r="B58" s="171" t="s">
        <v>75</v>
      </c>
      <c r="C58" s="242">
        <f aca="true" t="shared" si="31" ref="C58:J58">SUM(C59:C62)</f>
        <v>5112.999999999999</v>
      </c>
      <c r="D58" s="242">
        <f t="shared" si="31"/>
        <v>5343</v>
      </c>
      <c r="E58" s="242">
        <f t="shared" si="31"/>
        <v>2061</v>
      </c>
      <c r="F58" s="242">
        <f t="shared" si="31"/>
        <v>2023.1999999999998</v>
      </c>
      <c r="G58" s="242">
        <f t="shared" si="31"/>
        <v>2023.1999999999998</v>
      </c>
      <c r="H58" s="242">
        <f t="shared" si="31"/>
        <v>2023.1999999999998</v>
      </c>
      <c r="I58" s="242">
        <f t="shared" si="31"/>
        <v>2023.1999999999998</v>
      </c>
      <c r="J58" s="242">
        <f t="shared" si="31"/>
        <v>894.91</v>
      </c>
      <c r="K58" s="242">
        <f t="shared" si="3"/>
        <v>44.23240411229735</v>
      </c>
    </row>
    <row r="59" spans="1:11" ht="31.5">
      <c r="A59" s="271" t="s">
        <v>76</v>
      </c>
      <c r="B59" s="163" t="s">
        <v>77</v>
      </c>
      <c r="C59" s="243">
        <v>386.3</v>
      </c>
      <c r="D59" s="243">
        <v>86.1</v>
      </c>
      <c r="E59" s="243">
        <v>129.1</v>
      </c>
      <c r="F59" s="243">
        <v>102.9</v>
      </c>
      <c r="G59" s="243">
        <v>102.9</v>
      </c>
      <c r="H59" s="243">
        <v>102.9</v>
      </c>
      <c r="I59" s="243">
        <v>102.9</v>
      </c>
      <c r="J59" s="243">
        <v>333.42</v>
      </c>
      <c r="K59" s="242">
        <f t="shared" si="3"/>
        <v>324.02332361516034</v>
      </c>
    </row>
    <row r="60" spans="1:11" ht="18.75">
      <c r="A60" s="271" t="s">
        <v>78</v>
      </c>
      <c r="B60" s="230" t="s">
        <v>79</v>
      </c>
      <c r="C60" s="243">
        <v>0</v>
      </c>
      <c r="D60" s="243">
        <v>0.5</v>
      </c>
      <c r="E60" s="243">
        <v>2.2</v>
      </c>
      <c r="F60" s="243">
        <v>0</v>
      </c>
      <c r="G60" s="243">
        <v>0</v>
      </c>
      <c r="H60" s="243">
        <v>0</v>
      </c>
      <c r="I60" s="243">
        <v>0.2</v>
      </c>
      <c r="J60" s="243">
        <v>0.13</v>
      </c>
      <c r="K60" s="242">
        <f t="shared" si="3"/>
        <v>65</v>
      </c>
    </row>
    <row r="61" spans="1:11" ht="18.75">
      <c r="A61" s="271" t="s">
        <v>80</v>
      </c>
      <c r="B61" s="163" t="s">
        <v>1039</v>
      </c>
      <c r="C61" s="243">
        <v>10.4</v>
      </c>
      <c r="D61" s="243">
        <v>55.6</v>
      </c>
      <c r="E61" s="243">
        <v>83.5</v>
      </c>
      <c r="F61" s="243">
        <v>0.2</v>
      </c>
      <c r="G61" s="243">
        <v>0.2</v>
      </c>
      <c r="H61" s="243">
        <v>0.2</v>
      </c>
      <c r="I61" s="243">
        <v>1911.1</v>
      </c>
      <c r="J61" s="243">
        <v>558.74</v>
      </c>
      <c r="K61" s="242">
        <f t="shared" si="3"/>
        <v>29.236565328868192</v>
      </c>
    </row>
    <row r="62" spans="1:11" ht="18.75">
      <c r="A62" s="271" t="s">
        <v>80</v>
      </c>
      <c r="B62" s="163" t="s">
        <v>1040</v>
      </c>
      <c r="C62" s="243">
        <f>6725.4-2009.1</f>
        <v>4716.299999999999</v>
      </c>
      <c r="D62" s="243">
        <v>5200.8</v>
      </c>
      <c r="E62" s="243">
        <v>1846.2</v>
      </c>
      <c r="F62" s="243">
        <v>1920.1</v>
      </c>
      <c r="G62" s="243">
        <v>1920.1</v>
      </c>
      <c r="H62" s="243">
        <v>1920.1</v>
      </c>
      <c r="I62" s="243">
        <v>9</v>
      </c>
      <c r="J62" s="243">
        <v>2.62</v>
      </c>
      <c r="K62" s="242">
        <f t="shared" si="3"/>
        <v>29.11111111111111</v>
      </c>
    </row>
    <row r="63" spans="1:11" ht="31.5">
      <c r="A63" s="161" t="s">
        <v>81</v>
      </c>
      <c r="B63" s="171" t="s">
        <v>82</v>
      </c>
      <c r="C63" s="242">
        <f>C65+C66</f>
        <v>320</v>
      </c>
      <c r="D63" s="242">
        <f aca="true" t="shared" si="32" ref="D63:J63">D65+D66</f>
        <v>2360.2</v>
      </c>
      <c r="E63" s="242">
        <f t="shared" si="32"/>
        <v>2412.9</v>
      </c>
      <c r="F63" s="242">
        <f t="shared" si="32"/>
        <v>320</v>
      </c>
      <c r="G63" s="242">
        <f t="shared" si="32"/>
        <v>340</v>
      </c>
      <c r="H63" s="242">
        <f t="shared" si="32"/>
        <v>360</v>
      </c>
      <c r="I63" s="242">
        <f t="shared" si="32"/>
        <v>320</v>
      </c>
      <c r="J63" s="242">
        <f t="shared" si="32"/>
        <v>503.64</v>
      </c>
      <c r="K63" s="242">
        <f t="shared" si="3"/>
        <v>157.3875</v>
      </c>
    </row>
    <row r="64" spans="1:11" ht="18.75">
      <c r="A64" s="161" t="s">
        <v>83</v>
      </c>
      <c r="B64" s="171" t="s">
        <v>84</v>
      </c>
      <c r="C64" s="242">
        <f>C65+C67</f>
        <v>320</v>
      </c>
      <c r="D64" s="242">
        <f aca="true" t="shared" si="33" ref="D64">D65</f>
        <v>172.6</v>
      </c>
      <c r="E64" s="242">
        <f>E65+E67</f>
        <v>2412.9</v>
      </c>
      <c r="F64" s="242">
        <f>F65+F67</f>
        <v>320</v>
      </c>
      <c r="G64" s="242">
        <f aca="true" t="shared" si="34" ref="G64">G65+G67</f>
        <v>340</v>
      </c>
      <c r="H64" s="242">
        <f aca="true" t="shared" si="35" ref="H64">H65+H67</f>
        <v>360</v>
      </c>
      <c r="I64" s="242">
        <f>I65</f>
        <v>320</v>
      </c>
      <c r="J64" s="242">
        <f>J65</f>
        <v>17.45</v>
      </c>
      <c r="K64" s="242">
        <f t="shared" si="3"/>
        <v>5.453125</v>
      </c>
    </row>
    <row r="65" spans="1:11" ht="31.5">
      <c r="A65" s="271" t="s">
        <v>85</v>
      </c>
      <c r="B65" s="163" t="s">
        <v>86</v>
      </c>
      <c r="C65" s="243">
        <v>320</v>
      </c>
      <c r="D65" s="243">
        <v>172.6</v>
      </c>
      <c r="E65" s="243">
        <v>212.9</v>
      </c>
      <c r="F65" s="243">
        <v>320</v>
      </c>
      <c r="G65" s="245">
        <v>340</v>
      </c>
      <c r="H65" s="245">
        <v>360</v>
      </c>
      <c r="I65" s="243">
        <v>320</v>
      </c>
      <c r="J65" s="243">
        <v>17.45</v>
      </c>
      <c r="K65" s="242">
        <f t="shared" si="3"/>
        <v>5.453125</v>
      </c>
    </row>
    <row r="66" spans="1:11" ht="18.75">
      <c r="A66" s="274" t="s">
        <v>899</v>
      </c>
      <c r="B66" s="237" t="s">
        <v>900</v>
      </c>
      <c r="C66" s="242">
        <f>C67</f>
        <v>0</v>
      </c>
      <c r="D66" s="242">
        <f>SUM(D67)</f>
        <v>2187.6</v>
      </c>
      <c r="E66" s="242">
        <f>SUM(E67)</f>
        <v>2200</v>
      </c>
      <c r="F66" s="242">
        <f aca="true" t="shared" si="36" ref="F66:J66">SUM(F67)</f>
        <v>0</v>
      </c>
      <c r="G66" s="242">
        <f t="shared" si="36"/>
        <v>0</v>
      </c>
      <c r="H66" s="242">
        <f t="shared" si="36"/>
        <v>0</v>
      </c>
      <c r="I66" s="242">
        <f t="shared" si="36"/>
        <v>0</v>
      </c>
      <c r="J66" s="242">
        <f t="shared" si="36"/>
        <v>486.19</v>
      </c>
      <c r="K66" s="242" t="s">
        <v>1036</v>
      </c>
    </row>
    <row r="67" spans="1:11" ht="18.75">
      <c r="A67" s="231" t="s">
        <v>888</v>
      </c>
      <c r="B67" s="47" t="s">
        <v>887</v>
      </c>
      <c r="C67" s="243">
        <v>0</v>
      </c>
      <c r="D67" s="243">
        <v>2187.6</v>
      </c>
      <c r="E67" s="243">
        <v>2200</v>
      </c>
      <c r="F67" s="243">
        <v>0</v>
      </c>
      <c r="G67" s="246">
        <v>0</v>
      </c>
      <c r="H67" s="246">
        <v>0</v>
      </c>
      <c r="I67" s="243">
        <v>0</v>
      </c>
      <c r="J67" s="243">
        <v>486.19</v>
      </c>
      <c r="K67" s="242" t="s">
        <v>1036</v>
      </c>
    </row>
    <row r="68" spans="1:11" ht="31.5">
      <c r="A68" s="161" t="s">
        <v>87</v>
      </c>
      <c r="B68" s="171" t="s">
        <v>88</v>
      </c>
      <c r="C68" s="242">
        <f>SUM(C69+C71)</f>
        <v>650</v>
      </c>
      <c r="D68" s="242">
        <f aca="true" t="shared" si="37" ref="D68">SUM(D69+D71)</f>
        <v>145.6</v>
      </c>
      <c r="E68" s="242">
        <f>SUM(E69+E71)</f>
        <v>754.5</v>
      </c>
      <c r="F68" s="242">
        <f>SUM(F69+F71)</f>
        <v>250</v>
      </c>
      <c r="G68" s="242">
        <f aca="true" t="shared" si="38" ref="G68:H68">SUM(G69+G71)</f>
        <v>250</v>
      </c>
      <c r="H68" s="242">
        <f t="shared" si="38"/>
        <v>250</v>
      </c>
      <c r="I68" s="242">
        <f>SUM(I69+I71)</f>
        <v>250</v>
      </c>
      <c r="J68" s="242">
        <v>0</v>
      </c>
      <c r="K68" s="242">
        <f t="shared" si="3"/>
        <v>0</v>
      </c>
    </row>
    <row r="69" spans="1:11" ht="78.75">
      <c r="A69" s="161" t="s">
        <v>89</v>
      </c>
      <c r="B69" s="171" t="s">
        <v>90</v>
      </c>
      <c r="C69" s="242">
        <f>C70</f>
        <v>500</v>
      </c>
      <c r="D69" s="242">
        <f aca="true" t="shared" si="39" ref="D69">D70</f>
        <v>141.1</v>
      </c>
      <c r="E69" s="242">
        <f>E70</f>
        <v>750</v>
      </c>
      <c r="F69" s="242">
        <f>F70</f>
        <v>235</v>
      </c>
      <c r="G69" s="242">
        <f aca="true" t="shared" si="40" ref="G69:H69">G70</f>
        <v>235</v>
      </c>
      <c r="H69" s="242">
        <f t="shared" si="40"/>
        <v>235</v>
      </c>
      <c r="I69" s="242">
        <f>I70</f>
        <v>235</v>
      </c>
      <c r="J69" s="242">
        <v>0</v>
      </c>
      <c r="K69" s="242">
        <f t="shared" si="3"/>
        <v>0</v>
      </c>
    </row>
    <row r="70" spans="1:11" ht="78.75">
      <c r="A70" s="271" t="s">
        <v>91</v>
      </c>
      <c r="B70" s="163" t="s">
        <v>782</v>
      </c>
      <c r="C70" s="243">
        <v>500</v>
      </c>
      <c r="D70" s="243">
        <v>141.1</v>
      </c>
      <c r="E70" s="243">
        <v>750</v>
      </c>
      <c r="F70" s="243">
        <v>235</v>
      </c>
      <c r="G70" s="245">
        <v>235</v>
      </c>
      <c r="H70" s="245">
        <v>235</v>
      </c>
      <c r="I70" s="243">
        <v>235</v>
      </c>
      <c r="J70" s="243">
        <v>0</v>
      </c>
      <c r="K70" s="242">
        <f t="shared" si="3"/>
        <v>0</v>
      </c>
    </row>
    <row r="71" spans="1:11" ht="31.5">
      <c r="A71" s="161" t="s">
        <v>92</v>
      </c>
      <c r="B71" s="171" t="s">
        <v>93</v>
      </c>
      <c r="C71" s="242">
        <f>SUM(C72)</f>
        <v>150</v>
      </c>
      <c r="D71" s="242">
        <f aca="true" t="shared" si="41" ref="D71">SUM(D72)</f>
        <v>4.5</v>
      </c>
      <c r="E71" s="242">
        <f>SUM(E72)</f>
        <v>4.5</v>
      </c>
      <c r="F71" s="242">
        <f>SUM(F72)</f>
        <v>15</v>
      </c>
      <c r="G71" s="242">
        <f aca="true" t="shared" si="42" ref="G71:H71">SUM(G72)</f>
        <v>15</v>
      </c>
      <c r="H71" s="242">
        <f t="shared" si="42"/>
        <v>15</v>
      </c>
      <c r="I71" s="242">
        <f>SUM(I72)</f>
        <v>15</v>
      </c>
      <c r="J71" s="242">
        <v>0</v>
      </c>
      <c r="K71" s="242">
        <f t="shared" si="3"/>
        <v>0</v>
      </c>
    </row>
    <row r="72" spans="1:11" ht="47.25">
      <c r="A72" s="271" t="s">
        <v>94</v>
      </c>
      <c r="B72" s="163" t="s">
        <v>95</v>
      </c>
      <c r="C72" s="243">
        <v>150</v>
      </c>
      <c r="D72" s="243">
        <v>4.5</v>
      </c>
      <c r="E72" s="243">
        <v>4.5</v>
      </c>
      <c r="F72" s="243">
        <v>15</v>
      </c>
      <c r="G72" s="245">
        <v>15</v>
      </c>
      <c r="H72" s="245">
        <v>15</v>
      </c>
      <c r="I72" s="243">
        <v>15</v>
      </c>
      <c r="J72" s="243">
        <v>0</v>
      </c>
      <c r="K72" s="242">
        <f t="shared" si="3"/>
        <v>0</v>
      </c>
    </row>
    <row r="73" spans="1:11" ht="18.75">
      <c r="A73" s="161" t="s">
        <v>96</v>
      </c>
      <c r="B73" s="171" t="s">
        <v>97</v>
      </c>
      <c r="C73" s="242">
        <f>C74+C79+C89+C87+C85+C77+C82</f>
        <v>2875.5</v>
      </c>
      <c r="D73" s="242">
        <f>D74+D79+D82+D89+D87+D85+D83+D77+D78</f>
        <v>1693.8000000000002</v>
      </c>
      <c r="E73" s="242">
        <f>E74+E79+E89+E87+E85+E77+E82</f>
        <v>3190.1</v>
      </c>
      <c r="F73" s="242">
        <f>F74+F79+F82+F89+F87+F85+F77+F83</f>
        <v>1993</v>
      </c>
      <c r="G73" s="242">
        <f>G74+G79+G82+G89+G87+G85+G77+G83</f>
        <v>2053</v>
      </c>
      <c r="H73" s="242">
        <f>H74+H79+H82+H89+H87+H85+H77+H83</f>
        <v>2058</v>
      </c>
      <c r="I73" s="242">
        <f>I74+I79+I82+I89+I87+I85+I77+I83</f>
        <v>1993</v>
      </c>
      <c r="J73" s="242">
        <f>J74+J79+J82+J78+J88+J87+J85+J77+J83</f>
        <v>622.9899999999999</v>
      </c>
      <c r="K73" s="242">
        <f t="shared" si="3"/>
        <v>31.258906171600596</v>
      </c>
    </row>
    <row r="74" spans="1:11" ht="31.5">
      <c r="A74" s="161" t="s">
        <v>98</v>
      </c>
      <c r="B74" s="171" t="s">
        <v>99</v>
      </c>
      <c r="C74" s="242">
        <f>C75+C76</f>
        <v>28</v>
      </c>
      <c r="D74" s="242">
        <f aca="true" t="shared" si="43" ref="D74">D75+D76</f>
        <v>62.8</v>
      </c>
      <c r="E74" s="242">
        <f>E75+E76</f>
        <v>65.39999999999999</v>
      </c>
      <c r="F74" s="242">
        <f>F75+F76</f>
        <v>27.5</v>
      </c>
      <c r="G74" s="242">
        <f aca="true" t="shared" si="44" ref="G74:H74">G75+G76</f>
        <v>27.5</v>
      </c>
      <c r="H74" s="242">
        <f t="shared" si="44"/>
        <v>27.5</v>
      </c>
      <c r="I74" s="242">
        <f>I75+I76</f>
        <v>27.5</v>
      </c>
      <c r="J74" s="242">
        <f>J75+J76</f>
        <v>22.53</v>
      </c>
      <c r="K74" s="242">
        <f t="shared" si="3"/>
        <v>81.92727272727272</v>
      </c>
    </row>
    <row r="75" spans="1:11" ht="63">
      <c r="A75" s="271" t="s">
        <v>100</v>
      </c>
      <c r="B75" s="163" t="s">
        <v>101</v>
      </c>
      <c r="C75" s="243">
        <v>24.4</v>
      </c>
      <c r="D75" s="243">
        <v>61.8</v>
      </c>
      <c r="E75" s="243">
        <v>61.8</v>
      </c>
      <c r="F75" s="243">
        <v>25.2</v>
      </c>
      <c r="G75" s="245">
        <v>25.2</v>
      </c>
      <c r="H75" s="245">
        <v>25.2</v>
      </c>
      <c r="I75" s="243">
        <v>25.2</v>
      </c>
      <c r="J75" s="243">
        <v>22.37</v>
      </c>
      <c r="K75" s="242">
        <f t="shared" si="3"/>
        <v>88.76984126984128</v>
      </c>
    </row>
    <row r="76" spans="1:11" ht="47.25">
      <c r="A76" s="271" t="s">
        <v>102</v>
      </c>
      <c r="B76" s="163" t="s">
        <v>783</v>
      </c>
      <c r="C76" s="243">
        <v>3.6</v>
      </c>
      <c r="D76" s="243">
        <v>1</v>
      </c>
      <c r="E76" s="243">
        <v>3.6</v>
      </c>
      <c r="F76" s="243">
        <v>2.3</v>
      </c>
      <c r="G76" s="245">
        <v>2.3</v>
      </c>
      <c r="H76" s="245">
        <v>2.3</v>
      </c>
      <c r="I76" s="243">
        <v>2.3</v>
      </c>
      <c r="J76" s="243">
        <v>0.16</v>
      </c>
      <c r="K76" s="242">
        <f t="shared" si="3"/>
        <v>6.956521739130435</v>
      </c>
    </row>
    <row r="77" spans="1:11" ht="63">
      <c r="A77" s="274" t="s">
        <v>903</v>
      </c>
      <c r="B77" s="237" t="s">
        <v>904</v>
      </c>
      <c r="C77" s="247">
        <f>C78</f>
        <v>0</v>
      </c>
      <c r="D77" s="242">
        <v>50</v>
      </c>
      <c r="E77" s="247">
        <v>50</v>
      </c>
      <c r="F77" s="242">
        <v>127.5</v>
      </c>
      <c r="G77" s="242">
        <v>127.5</v>
      </c>
      <c r="H77" s="242">
        <v>127.5</v>
      </c>
      <c r="I77" s="242">
        <v>127.5</v>
      </c>
      <c r="J77" s="242">
        <v>0</v>
      </c>
      <c r="K77" s="242">
        <f t="shared" si="3"/>
        <v>0</v>
      </c>
    </row>
    <row r="78" spans="1:11" ht="47.25">
      <c r="A78" s="274" t="s">
        <v>901</v>
      </c>
      <c r="B78" s="237" t="s">
        <v>902</v>
      </c>
      <c r="C78" s="247">
        <v>0</v>
      </c>
      <c r="D78" s="242">
        <v>358.7</v>
      </c>
      <c r="E78" s="247">
        <v>358.7</v>
      </c>
      <c r="F78" s="242">
        <v>0</v>
      </c>
      <c r="G78" s="247">
        <v>0</v>
      </c>
      <c r="H78" s="247">
        <v>0</v>
      </c>
      <c r="I78" s="242">
        <v>0</v>
      </c>
      <c r="J78" s="242">
        <v>79.56</v>
      </c>
      <c r="K78" s="242" t="s">
        <v>1036</v>
      </c>
    </row>
    <row r="79" spans="1:11" ht="94.5">
      <c r="A79" s="161" t="s">
        <v>103</v>
      </c>
      <c r="B79" s="171" t="s">
        <v>104</v>
      </c>
      <c r="C79" s="242">
        <f>C80+C81</f>
        <v>80</v>
      </c>
      <c r="D79" s="242">
        <f aca="true" t="shared" si="45" ref="D79">D80+D81</f>
        <v>5</v>
      </c>
      <c r="E79" s="242">
        <f>E80+E81</f>
        <v>80</v>
      </c>
      <c r="F79" s="242">
        <f>F80+F81</f>
        <v>45</v>
      </c>
      <c r="G79" s="242">
        <f aca="true" t="shared" si="46" ref="G79:H79">G80+G81</f>
        <v>55</v>
      </c>
      <c r="H79" s="242">
        <f t="shared" si="46"/>
        <v>60</v>
      </c>
      <c r="I79" s="242">
        <f>I80+I81</f>
        <v>45</v>
      </c>
      <c r="J79" s="242">
        <f>J80+J81</f>
        <v>10</v>
      </c>
      <c r="K79" s="242">
        <f t="shared" si="3"/>
        <v>22.22222222222222</v>
      </c>
    </row>
    <row r="80" spans="1:11" ht="31.5">
      <c r="A80" s="271" t="s">
        <v>105</v>
      </c>
      <c r="B80" s="163" t="s">
        <v>106</v>
      </c>
      <c r="C80" s="243">
        <v>50</v>
      </c>
      <c r="D80" s="243">
        <v>0</v>
      </c>
      <c r="E80" s="243">
        <v>50</v>
      </c>
      <c r="F80" s="243">
        <v>10</v>
      </c>
      <c r="G80" s="245">
        <v>15</v>
      </c>
      <c r="H80" s="245">
        <v>10</v>
      </c>
      <c r="I80" s="243">
        <v>10</v>
      </c>
      <c r="J80" s="243">
        <v>0</v>
      </c>
      <c r="K80" s="242">
        <f t="shared" si="3"/>
        <v>0</v>
      </c>
    </row>
    <row r="81" spans="1:11" ht="18.75">
      <c r="A81" s="271" t="s">
        <v>107</v>
      </c>
      <c r="B81" s="163" t="s">
        <v>108</v>
      </c>
      <c r="C81" s="243">
        <v>30</v>
      </c>
      <c r="D81" s="243">
        <v>5</v>
      </c>
      <c r="E81" s="243">
        <v>30</v>
      </c>
      <c r="F81" s="243">
        <v>35</v>
      </c>
      <c r="G81" s="245">
        <v>40</v>
      </c>
      <c r="H81" s="245">
        <v>50</v>
      </c>
      <c r="I81" s="243">
        <v>35</v>
      </c>
      <c r="J81" s="243">
        <v>10</v>
      </c>
      <c r="K81" s="242">
        <f t="shared" si="3"/>
        <v>28.57142857142857</v>
      </c>
    </row>
    <row r="82" spans="1:11" ht="47.25">
      <c r="A82" s="161" t="s">
        <v>109</v>
      </c>
      <c r="B82" s="171" t="s">
        <v>110</v>
      </c>
      <c r="C82" s="248">
        <v>2000</v>
      </c>
      <c r="D82" s="242">
        <v>484.8</v>
      </c>
      <c r="E82" s="248">
        <v>2000</v>
      </c>
      <c r="F82" s="242">
        <v>1200</v>
      </c>
      <c r="G82" s="242">
        <v>1200</v>
      </c>
      <c r="H82" s="242">
        <v>1200</v>
      </c>
      <c r="I82" s="242">
        <v>1200</v>
      </c>
      <c r="J82" s="242">
        <v>216.95</v>
      </c>
      <c r="K82" s="242">
        <f aca="true" t="shared" si="47" ref="K82:K145">SUM(J82/I82)*100</f>
        <v>18.079166666666666</v>
      </c>
    </row>
    <row r="83" spans="1:11" ht="63">
      <c r="A83" s="9" t="s">
        <v>905</v>
      </c>
      <c r="B83" s="237" t="s">
        <v>906</v>
      </c>
      <c r="C83" s="248">
        <f>C84</f>
        <v>0</v>
      </c>
      <c r="D83" s="242">
        <f>SUM(D84)</f>
        <v>15</v>
      </c>
      <c r="E83" s="248">
        <f>E84</f>
        <v>15</v>
      </c>
      <c r="F83" s="242">
        <f>F84</f>
        <v>50</v>
      </c>
      <c r="G83" s="242">
        <f aca="true" t="shared" si="48" ref="G83:H83">G84</f>
        <v>50</v>
      </c>
      <c r="H83" s="242">
        <f t="shared" si="48"/>
        <v>50</v>
      </c>
      <c r="I83" s="242">
        <f>I84</f>
        <v>50</v>
      </c>
      <c r="J83" s="242">
        <v>0</v>
      </c>
      <c r="K83" s="242">
        <f t="shared" si="47"/>
        <v>0</v>
      </c>
    </row>
    <row r="84" spans="1:11" ht="63">
      <c r="A84" s="10" t="s">
        <v>907</v>
      </c>
      <c r="B84" s="230" t="s">
        <v>908</v>
      </c>
      <c r="C84" s="249">
        <v>0</v>
      </c>
      <c r="D84" s="243">
        <v>15</v>
      </c>
      <c r="E84" s="249">
        <v>15</v>
      </c>
      <c r="F84" s="243">
        <v>50</v>
      </c>
      <c r="G84" s="250">
        <v>50</v>
      </c>
      <c r="H84" s="250">
        <v>50</v>
      </c>
      <c r="I84" s="243">
        <v>50</v>
      </c>
      <c r="J84" s="243">
        <v>0</v>
      </c>
      <c r="K84" s="242">
        <f t="shared" si="47"/>
        <v>0</v>
      </c>
    </row>
    <row r="85" spans="1:11" ht="31.5">
      <c r="A85" s="161" t="s">
        <v>111</v>
      </c>
      <c r="B85" s="171" t="s">
        <v>112</v>
      </c>
      <c r="C85" s="242">
        <f>C86</f>
        <v>5</v>
      </c>
      <c r="D85" s="242">
        <f aca="true" t="shared" si="49" ref="D85">D86</f>
        <v>232.2</v>
      </c>
      <c r="E85" s="242">
        <f>E86</f>
        <v>232.2</v>
      </c>
      <c r="F85" s="242">
        <f>F86</f>
        <v>5</v>
      </c>
      <c r="G85" s="242">
        <f aca="true" t="shared" si="50" ref="G85:H85">G86</f>
        <v>5</v>
      </c>
      <c r="H85" s="242">
        <f t="shared" si="50"/>
        <v>5</v>
      </c>
      <c r="I85" s="242">
        <f>I86</f>
        <v>5</v>
      </c>
      <c r="J85" s="242">
        <f>J86</f>
        <v>59.77</v>
      </c>
      <c r="K85" s="242">
        <f t="shared" si="47"/>
        <v>1195.4</v>
      </c>
    </row>
    <row r="86" spans="1:11" ht="31.5">
      <c r="A86" s="271" t="s">
        <v>113</v>
      </c>
      <c r="B86" s="163" t="s">
        <v>114</v>
      </c>
      <c r="C86" s="243">
        <v>5</v>
      </c>
      <c r="D86" s="243">
        <v>232.2</v>
      </c>
      <c r="E86" s="243">
        <v>232.2</v>
      </c>
      <c r="F86" s="243">
        <v>5</v>
      </c>
      <c r="G86" s="245">
        <v>5</v>
      </c>
      <c r="H86" s="245">
        <v>5</v>
      </c>
      <c r="I86" s="243">
        <v>5</v>
      </c>
      <c r="J86" s="243">
        <v>59.77</v>
      </c>
      <c r="K86" s="242">
        <f t="shared" si="47"/>
        <v>1195.4</v>
      </c>
    </row>
    <row r="87" spans="1:11" ht="63">
      <c r="A87" s="161" t="s">
        <v>115</v>
      </c>
      <c r="B87" s="171" t="s">
        <v>116</v>
      </c>
      <c r="C87" s="242">
        <v>215</v>
      </c>
      <c r="D87" s="242">
        <v>14</v>
      </c>
      <c r="E87" s="242">
        <v>215</v>
      </c>
      <c r="F87" s="242">
        <v>207</v>
      </c>
      <c r="G87" s="242">
        <v>207</v>
      </c>
      <c r="H87" s="242">
        <v>207</v>
      </c>
      <c r="I87" s="242">
        <v>207</v>
      </c>
      <c r="J87" s="242">
        <v>4.26</v>
      </c>
      <c r="K87" s="242">
        <f t="shared" si="47"/>
        <v>2.0579710144927534</v>
      </c>
    </row>
    <row r="88" spans="1:11" ht="31.5">
      <c r="A88" s="161" t="s">
        <v>117</v>
      </c>
      <c r="B88" s="171" t="s">
        <v>118</v>
      </c>
      <c r="C88" s="242">
        <f>C89</f>
        <v>547.5</v>
      </c>
      <c r="D88" s="242">
        <f aca="true" t="shared" si="51" ref="D88">D89</f>
        <v>471.3</v>
      </c>
      <c r="E88" s="242">
        <f>E89</f>
        <v>547.5</v>
      </c>
      <c r="F88" s="242">
        <f>F89</f>
        <v>331</v>
      </c>
      <c r="G88" s="242">
        <f aca="true" t="shared" si="52" ref="G88:H88">G89</f>
        <v>381</v>
      </c>
      <c r="H88" s="242">
        <f t="shared" si="52"/>
        <v>381</v>
      </c>
      <c r="I88" s="242">
        <f>I89</f>
        <v>331</v>
      </c>
      <c r="J88" s="242">
        <f>J89</f>
        <v>229.92</v>
      </c>
      <c r="K88" s="242">
        <f t="shared" si="47"/>
        <v>69.46223564954683</v>
      </c>
    </row>
    <row r="89" spans="1:11" ht="31.5">
      <c r="A89" s="271" t="s">
        <v>119</v>
      </c>
      <c r="B89" s="163" t="s">
        <v>120</v>
      </c>
      <c r="C89" s="243">
        <v>547.5</v>
      </c>
      <c r="D89" s="243">
        <v>471.3</v>
      </c>
      <c r="E89" s="243">
        <v>547.5</v>
      </c>
      <c r="F89" s="243">
        <v>331</v>
      </c>
      <c r="G89" s="245">
        <v>381</v>
      </c>
      <c r="H89" s="245">
        <v>381</v>
      </c>
      <c r="I89" s="243">
        <v>331</v>
      </c>
      <c r="J89" s="243">
        <v>229.92</v>
      </c>
      <c r="K89" s="242">
        <f t="shared" si="47"/>
        <v>69.46223564954683</v>
      </c>
    </row>
    <row r="90" spans="1:11" ht="18.75">
      <c r="A90" s="3" t="s">
        <v>909</v>
      </c>
      <c r="B90" s="237" t="s">
        <v>910</v>
      </c>
      <c r="C90" s="243">
        <v>0</v>
      </c>
      <c r="D90" s="242">
        <f>SUM(D93+D91)</f>
        <v>726.764</v>
      </c>
      <c r="E90" s="242">
        <f aca="true" t="shared" si="53" ref="E90:I90">SUM(E93+E91)</f>
        <v>359.4</v>
      </c>
      <c r="F90" s="242">
        <f t="shared" si="53"/>
        <v>0</v>
      </c>
      <c r="G90" s="242">
        <f t="shared" si="53"/>
        <v>0</v>
      </c>
      <c r="H90" s="242">
        <f t="shared" si="53"/>
        <v>0</v>
      </c>
      <c r="I90" s="242">
        <f t="shared" si="53"/>
        <v>0</v>
      </c>
      <c r="J90" s="242">
        <f>SUM(J93+J91)</f>
        <v>238.06</v>
      </c>
      <c r="K90" s="242" t="s">
        <v>1036</v>
      </c>
    </row>
    <row r="91" spans="1:11" ht="18.75">
      <c r="A91" s="2" t="s">
        <v>911</v>
      </c>
      <c r="B91" s="237" t="s">
        <v>912</v>
      </c>
      <c r="C91" s="243">
        <v>0</v>
      </c>
      <c r="D91" s="242">
        <f>SUM(D92)</f>
        <v>367.375</v>
      </c>
      <c r="E91" s="242">
        <f aca="true" t="shared" si="54" ref="E91:I91">SUM(E92)</f>
        <v>0</v>
      </c>
      <c r="F91" s="242">
        <f t="shared" si="54"/>
        <v>0</v>
      </c>
      <c r="G91" s="242">
        <f t="shared" si="54"/>
        <v>0</v>
      </c>
      <c r="H91" s="242">
        <f t="shared" si="54"/>
        <v>0</v>
      </c>
      <c r="I91" s="242">
        <f t="shared" si="54"/>
        <v>0</v>
      </c>
      <c r="J91" s="242">
        <v>0</v>
      </c>
      <c r="K91" s="242" t="s">
        <v>1036</v>
      </c>
    </row>
    <row r="92" spans="1:11" ht="18.75">
      <c r="A92" s="2" t="s">
        <v>913</v>
      </c>
      <c r="B92" s="230" t="s">
        <v>914</v>
      </c>
      <c r="C92" s="243">
        <v>0</v>
      </c>
      <c r="D92" s="243">
        <v>367.375</v>
      </c>
      <c r="E92" s="243">
        <v>0</v>
      </c>
      <c r="F92" s="243">
        <v>0</v>
      </c>
      <c r="G92" s="245">
        <v>0</v>
      </c>
      <c r="H92" s="245">
        <v>0</v>
      </c>
      <c r="I92" s="243">
        <v>0</v>
      </c>
      <c r="J92" s="243">
        <v>0</v>
      </c>
      <c r="K92" s="242" t="s">
        <v>1036</v>
      </c>
    </row>
    <row r="93" spans="1:11" ht="18.75">
      <c r="A93" s="3" t="s">
        <v>915</v>
      </c>
      <c r="B93" s="237" t="s">
        <v>916</v>
      </c>
      <c r="C93" s="243">
        <v>0</v>
      </c>
      <c r="D93" s="242">
        <f>SUM(D94)</f>
        <v>359.389</v>
      </c>
      <c r="E93" s="242">
        <f aca="true" t="shared" si="55" ref="E93:I93">SUM(E94)</f>
        <v>359.4</v>
      </c>
      <c r="F93" s="242">
        <f t="shared" si="55"/>
        <v>0</v>
      </c>
      <c r="G93" s="242">
        <f t="shared" si="55"/>
        <v>0</v>
      </c>
      <c r="H93" s="242">
        <f t="shared" si="55"/>
        <v>0</v>
      </c>
      <c r="I93" s="242">
        <f t="shared" si="55"/>
        <v>0</v>
      </c>
      <c r="J93" s="242">
        <f>SUM(J94)</f>
        <v>238.06</v>
      </c>
      <c r="K93" s="242" t="s">
        <v>1036</v>
      </c>
    </row>
    <row r="94" spans="1:11" ht="18.75">
      <c r="A94" s="2" t="s">
        <v>917</v>
      </c>
      <c r="B94" s="230" t="s">
        <v>918</v>
      </c>
      <c r="C94" s="243">
        <v>0</v>
      </c>
      <c r="D94" s="243">
        <v>359.389</v>
      </c>
      <c r="E94" s="243">
        <v>359.4</v>
      </c>
      <c r="F94" s="243">
        <v>0</v>
      </c>
      <c r="G94" s="245">
        <v>0</v>
      </c>
      <c r="H94" s="245">
        <v>0</v>
      </c>
      <c r="I94" s="243">
        <v>0</v>
      </c>
      <c r="J94" s="243">
        <v>238.06</v>
      </c>
      <c r="K94" s="242" t="s">
        <v>1036</v>
      </c>
    </row>
    <row r="95" spans="1:17" ht="18.75">
      <c r="A95" s="161" t="s">
        <v>121</v>
      </c>
      <c r="B95" s="162" t="s">
        <v>122</v>
      </c>
      <c r="C95" s="242" t="e">
        <f>C96</f>
        <v>#REF!</v>
      </c>
      <c r="D95" s="242" t="e">
        <f>D96+D151</f>
        <v>#REF!</v>
      </c>
      <c r="E95" s="242" t="e">
        <f>E96</f>
        <v>#REF!</v>
      </c>
      <c r="F95" s="242" t="e">
        <f>F96</f>
        <v>#REF!</v>
      </c>
      <c r="G95" s="242" t="e">
        <f aca="true" t="shared" si="56" ref="G95:H95">G96</f>
        <v>#REF!</v>
      </c>
      <c r="H95" s="242" t="e">
        <f t="shared" si="56"/>
        <v>#REF!</v>
      </c>
      <c r="I95" s="242">
        <f>SUM(I96+I151+I158)</f>
        <v>404989.7</v>
      </c>
      <c r="J95" s="242">
        <f>SUM(J96+J151+J158)</f>
        <v>219007.65872</v>
      </c>
      <c r="K95" s="242">
        <f t="shared" si="47"/>
        <v>54.07734041631183</v>
      </c>
      <c r="L95" s="139">
        <v>325561.8</v>
      </c>
      <c r="M95" s="139">
        <f>I95-L95</f>
        <v>79427.90000000002</v>
      </c>
      <c r="O95" s="128" t="s">
        <v>1005</v>
      </c>
      <c r="Q95" s="139">
        <f>I95-I98-I110</f>
        <v>220393.7</v>
      </c>
    </row>
    <row r="96" spans="1:16" ht="31.5">
      <c r="A96" s="161" t="s">
        <v>123</v>
      </c>
      <c r="B96" s="162" t="s">
        <v>124</v>
      </c>
      <c r="C96" s="242" t="e">
        <f aca="true" t="shared" si="57" ref="C96:H96">C97+C101+C124+C147</f>
        <v>#REF!</v>
      </c>
      <c r="D96" s="242" t="e">
        <f t="shared" si="57"/>
        <v>#REF!</v>
      </c>
      <c r="E96" s="242" t="e">
        <f t="shared" si="57"/>
        <v>#REF!</v>
      </c>
      <c r="F96" s="242" t="e">
        <f t="shared" si="57"/>
        <v>#REF!</v>
      </c>
      <c r="G96" s="242" t="e">
        <f t="shared" si="57"/>
        <v>#REF!</v>
      </c>
      <c r="H96" s="242" t="e">
        <f t="shared" si="57"/>
        <v>#REF!</v>
      </c>
      <c r="I96" s="242">
        <f>SUM(I97+I101+I124+I147)</f>
        <v>378917</v>
      </c>
      <c r="J96" s="242">
        <f>SUM(J97+J101+J124+J147)</f>
        <v>219733.83000000002</v>
      </c>
      <c r="K96" s="242">
        <f t="shared" si="47"/>
        <v>57.989963501241704</v>
      </c>
      <c r="O96" s="152" t="s">
        <v>1005</v>
      </c>
      <c r="P96" s="139"/>
    </row>
    <row r="97" spans="1:11" ht="18.75">
      <c r="A97" s="161" t="s">
        <v>125</v>
      </c>
      <c r="B97" s="172" t="s">
        <v>126</v>
      </c>
      <c r="C97" s="242">
        <f>C98</f>
        <v>105360</v>
      </c>
      <c r="D97" s="242">
        <f aca="true" t="shared" si="58" ref="D97">D98</f>
        <v>79011</v>
      </c>
      <c r="E97" s="242">
        <f>E98</f>
        <v>105360</v>
      </c>
      <c r="F97" s="242">
        <f>F98</f>
        <v>115839.7</v>
      </c>
      <c r="G97" s="242">
        <f aca="true" t="shared" si="59" ref="G97:H97">G98</f>
        <v>105360</v>
      </c>
      <c r="H97" s="242">
        <f t="shared" si="59"/>
        <v>105360</v>
      </c>
      <c r="I97" s="242">
        <f>I98</f>
        <v>112828</v>
      </c>
      <c r="J97" s="242">
        <f>J98</f>
        <v>56412</v>
      </c>
      <c r="K97" s="242">
        <f t="shared" si="47"/>
        <v>49.99822739036409</v>
      </c>
    </row>
    <row r="98" spans="1:13" ht="31.5">
      <c r="A98" s="161" t="s">
        <v>127</v>
      </c>
      <c r="B98" s="162" t="s">
        <v>128</v>
      </c>
      <c r="C98" s="242">
        <f>SUM(C99+C100)</f>
        <v>105360</v>
      </c>
      <c r="D98" s="242">
        <f aca="true" t="shared" si="60" ref="D98">SUM(D99+D100)</f>
        <v>79011</v>
      </c>
      <c r="E98" s="242">
        <f>SUM(E99+E100)</f>
        <v>105360</v>
      </c>
      <c r="F98" s="242">
        <f>SUM(F99+F100)</f>
        <v>115839.7</v>
      </c>
      <c r="G98" s="242">
        <f aca="true" t="shared" si="61" ref="G98:H98">SUM(G99+G100)</f>
        <v>105360</v>
      </c>
      <c r="H98" s="242">
        <f t="shared" si="61"/>
        <v>105360</v>
      </c>
      <c r="I98" s="242">
        <f>SUM(I99+I100)</f>
        <v>112828</v>
      </c>
      <c r="J98" s="242">
        <f>SUM(J99+J100)</f>
        <v>56412</v>
      </c>
      <c r="K98" s="242">
        <f t="shared" si="47"/>
        <v>49.99822739036409</v>
      </c>
      <c r="L98" s="152">
        <v>105360</v>
      </c>
      <c r="M98" s="139">
        <f>I98-L98</f>
        <v>7468</v>
      </c>
    </row>
    <row r="99" spans="1:11" ht="94.5">
      <c r="A99" s="164" t="s">
        <v>127</v>
      </c>
      <c r="B99" s="169" t="s">
        <v>129</v>
      </c>
      <c r="C99" s="243">
        <v>104300</v>
      </c>
      <c r="D99" s="243">
        <v>78219</v>
      </c>
      <c r="E99" s="243">
        <v>104300</v>
      </c>
      <c r="F99" s="243">
        <f>104300+28315-2567.5-18351+5224.9+38-9780.7+7561+40</f>
        <v>114779.7</v>
      </c>
      <c r="G99" s="243">
        <v>104300</v>
      </c>
      <c r="H99" s="243">
        <v>104300</v>
      </c>
      <c r="I99" s="243">
        <v>111781</v>
      </c>
      <c r="J99" s="243">
        <v>55890</v>
      </c>
      <c r="K99" s="242">
        <f t="shared" si="47"/>
        <v>49.99955269679104</v>
      </c>
    </row>
    <row r="100" spans="1:11" ht="94.5">
      <c r="A100" s="164" t="s">
        <v>127</v>
      </c>
      <c r="B100" s="169" t="s">
        <v>130</v>
      </c>
      <c r="C100" s="243">
        <v>1060</v>
      </c>
      <c r="D100" s="243">
        <v>792</v>
      </c>
      <c r="E100" s="243">
        <v>1060</v>
      </c>
      <c r="F100" s="243">
        <v>1060</v>
      </c>
      <c r="G100" s="243">
        <v>1060</v>
      </c>
      <c r="H100" s="243">
        <v>1060</v>
      </c>
      <c r="I100" s="243">
        <v>1047</v>
      </c>
      <c r="J100" s="243">
        <v>522</v>
      </c>
      <c r="K100" s="242">
        <f t="shared" si="47"/>
        <v>49.8567335243553</v>
      </c>
    </row>
    <row r="101" spans="1:17" ht="30" customHeight="1">
      <c r="A101" s="161" t="s">
        <v>131</v>
      </c>
      <c r="B101" s="162" t="s">
        <v>132</v>
      </c>
      <c r="C101" s="242" t="e">
        <f aca="true" t="shared" si="62" ref="C101:H101">C102+C104+C106+C108</f>
        <v>#REF!</v>
      </c>
      <c r="D101" s="242" t="e">
        <f t="shared" si="62"/>
        <v>#REF!</v>
      </c>
      <c r="E101" s="242" t="e">
        <f t="shared" si="62"/>
        <v>#REF!</v>
      </c>
      <c r="F101" s="242" t="e">
        <f t="shared" si="62"/>
        <v>#REF!</v>
      </c>
      <c r="G101" s="242" t="e">
        <f t="shared" si="62"/>
        <v>#REF!</v>
      </c>
      <c r="H101" s="242" t="e">
        <f t="shared" si="62"/>
        <v>#REF!</v>
      </c>
      <c r="I101" s="242">
        <f>I102+I106+I104+I108</f>
        <v>97056.70000000001</v>
      </c>
      <c r="J101" s="242">
        <f>J102+J106+J104+J108</f>
        <v>56673.14000000001</v>
      </c>
      <c r="K101" s="242">
        <f t="shared" si="47"/>
        <v>58.39178542027496</v>
      </c>
      <c r="L101" s="139">
        <v>48494.5</v>
      </c>
      <c r="M101" s="139">
        <f>I101-L101</f>
        <v>48562.20000000001</v>
      </c>
      <c r="N101" s="139"/>
      <c r="O101" s="152" t="s">
        <v>989</v>
      </c>
      <c r="Q101" s="139"/>
    </row>
    <row r="102" spans="1:15" ht="31.5">
      <c r="A102" s="173" t="s">
        <v>1011</v>
      </c>
      <c r="B102" s="162" t="s">
        <v>1020</v>
      </c>
      <c r="C102" s="242">
        <f>SUM(C103)</f>
        <v>319</v>
      </c>
      <c r="D102" s="242">
        <f aca="true" t="shared" si="63" ref="D102">SUM(D103)</f>
        <v>319</v>
      </c>
      <c r="E102" s="242">
        <f>SUM(E103)</f>
        <v>319</v>
      </c>
      <c r="F102" s="242">
        <f>SUM(F103)</f>
        <v>0</v>
      </c>
      <c r="G102" s="242">
        <f aca="true" t="shared" si="64" ref="G102:H102">SUM(G103)</f>
        <v>0</v>
      </c>
      <c r="H102" s="242">
        <f t="shared" si="64"/>
        <v>0</v>
      </c>
      <c r="I102" s="242">
        <f>SUM(I103)</f>
        <v>783.0999999999999</v>
      </c>
      <c r="J102" s="242">
        <f>SUM(J103)</f>
        <v>0</v>
      </c>
      <c r="K102" s="242">
        <f t="shared" si="47"/>
        <v>0</v>
      </c>
      <c r="O102" s="174" t="s">
        <v>987</v>
      </c>
    </row>
    <row r="103" spans="1:11" s="174" customFormat="1" ht="110.25">
      <c r="A103" s="305" t="s">
        <v>1011</v>
      </c>
      <c r="B103" s="169" t="s">
        <v>992</v>
      </c>
      <c r="C103" s="243">
        <v>319</v>
      </c>
      <c r="D103" s="243">
        <v>319</v>
      </c>
      <c r="E103" s="243">
        <v>319</v>
      </c>
      <c r="F103" s="243">
        <v>0</v>
      </c>
      <c r="G103" s="243">
        <v>0</v>
      </c>
      <c r="H103" s="243">
        <v>0</v>
      </c>
      <c r="I103" s="243">
        <v>783.0999999999999</v>
      </c>
      <c r="J103" s="243">
        <v>0</v>
      </c>
      <c r="K103" s="242">
        <f t="shared" si="47"/>
        <v>0</v>
      </c>
    </row>
    <row r="104" spans="1:11" ht="18.75">
      <c r="A104" s="173" t="s">
        <v>785</v>
      </c>
      <c r="B104" s="162" t="s">
        <v>784</v>
      </c>
      <c r="C104" s="242">
        <f>SUM(C105)</f>
        <v>3.5</v>
      </c>
      <c r="D104" s="242">
        <f aca="true" t="shared" si="65" ref="D104">SUM(D105)</f>
        <v>3.5</v>
      </c>
      <c r="E104" s="242">
        <f>SUM(E105)</f>
        <v>3.5</v>
      </c>
      <c r="F104" s="242">
        <f>SUM(F105)</f>
        <v>0</v>
      </c>
      <c r="G104" s="242">
        <f aca="true" t="shared" si="66" ref="G104:H104">SUM(G105)</f>
        <v>0</v>
      </c>
      <c r="H104" s="242">
        <f t="shared" si="66"/>
        <v>0</v>
      </c>
      <c r="I104" s="242">
        <f>SUM(I105)</f>
        <v>3</v>
      </c>
      <c r="J104" s="242">
        <v>0</v>
      </c>
      <c r="K104" s="242">
        <f t="shared" si="47"/>
        <v>0</v>
      </c>
    </row>
    <row r="105" spans="1:11" s="174" customFormat="1" ht="78.75">
      <c r="A105" s="305" t="s">
        <v>785</v>
      </c>
      <c r="B105" s="169" t="s">
        <v>983</v>
      </c>
      <c r="C105" s="243">
        <v>3.5</v>
      </c>
      <c r="D105" s="243">
        <v>3.5</v>
      </c>
      <c r="E105" s="243">
        <v>3.5</v>
      </c>
      <c r="F105" s="243">
        <v>0</v>
      </c>
      <c r="G105" s="243">
        <v>0</v>
      </c>
      <c r="H105" s="243">
        <v>0</v>
      </c>
      <c r="I105" s="243">
        <v>3</v>
      </c>
      <c r="J105" s="243">
        <v>0</v>
      </c>
      <c r="K105" s="242">
        <f t="shared" si="47"/>
        <v>0</v>
      </c>
    </row>
    <row r="106" spans="1:15" ht="47.25">
      <c r="A106" s="173" t="s">
        <v>787</v>
      </c>
      <c r="B106" s="162" t="s">
        <v>786</v>
      </c>
      <c r="C106" s="242">
        <f>SUM(C107)</f>
        <v>1406.9</v>
      </c>
      <c r="D106" s="242">
        <f aca="true" t="shared" si="67" ref="D106">SUM(D107)</f>
        <v>1406.9</v>
      </c>
      <c r="E106" s="242">
        <f>SUM(E107)</f>
        <v>1406.9</v>
      </c>
      <c r="F106" s="242">
        <f>SUM(F107)</f>
        <v>0</v>
      </c>
      <c r="G106" s="242">
        <f aca="true" t="shared" si="68" ref="G106:H106">SUM(G107)</f>
        <v>0</v>
      </c>
      <c r="H106" s="242">
        <f t="shared" si="68"/>
        <v>0</v>
      </c>
      <c r="I106" s="242">
        <f>SUM(I107)</f>
        <v>1525.2</v>
      </c>
      <c r="J106" s="242">
        <v>0</v>
      </c>
      <c r="K106" s="242">
        <f t="shared" si="47"/>
        <v>0</v>
      </c>
      <c r="O106" s="174" t="s">
        <v>1009</v>
      </c>
    </row>
    <row r="107" spans="1:11" s="174" customFormat="1" ht="110.25">
      <c r="A107" s="305" t="s">
        <v>787</v>
      </c>
      <c r="B107" s="169" t="s">
        <v>941</v>
      </c>
      <c r="C107" s="243">
        <v>1406.9</v>
      </c>
      <c r="D107" s="243">
        <v>1406.9</v>
      </c>
      <c r="E107" s="243">
        <v>1406.9</v>
      </c>
      <c r="F107" s="243">
        <v>0</v>
      </c>
      <c r="G107" s="243">
        <v>0</v>
      </c>
      <c r="H107" s="243">
        <v>0</v>
      </c>
      <c r="I107" s="243">
        <f>1387.9+137.3</f>
        <v>1525.2</v>
      </c>
      <c r="J107" s="243">
        <v>0</v>
      </c>
      <c r="K107" s="242">
        <f t="shared" si="47"/>
        <v>0</v>
      </c>
    </row>
    <row r="108" spans="1:17" s="287" customFormat="1" ht="18.75">
      <c r="A108" s="323" t="s">
        <v>133</v>
      </c>
      <c r="B108" s="162" t="s">
        <v>134</v>
      </c>
      <c r="C108" s="242" t="e">
        <f>SUM(C110+C111+C112+C113+C116+C117+#REF!+C118+#REF!+#REF!+#REF!+C119+#REF!+#REF!+#REF!+#REF!+#REF!+#REF!)</f>
        <v>#REF!</v>
      </c>
      <c r="D108" s="242" t="e">
        <f>SUM(D110+D111+D112+D113+D116+D117+#REF!+D118+#REF!+#REF!+#REF!+D119+#REF!+#REF!+#REF!+#REF!+#REF!+#REF!)</f>
        <v>#REF!</v>
      </c>
      <c r="E108" s="242" t="e">
        <f>SUM(E110+E111+E112+E113+E116+E117+#REF!+E118+#REF!+#REF!+#REF!+E119+#REF!+#REF!+#REF!+#REF!+#REF!+#REF!)</f>
        <v>#REF!</v>
      </c>
      <c r="F108" s="242" t="e">
        <f>SUM(F110+F111+F112+F113+F116+F117+#REF!+F118+#REF!+#REF!+#REF!+F119+#REF!+#REF!+#REF!+#REF!+#REF!+#REF!)</f>
        <v>#REF!</v>
      </c>
      <c r="G108" s="242" t="e">
        <f>SUM(G110+G111+G112+G113+G116+G117+#REF!+G118+#REF!+#REF!+#REF!+G119+#REF!+#REF!+#REF!+#REF!+#REF!+#REF!)</f>
        <v>#REF!</v>
      </c>
      <c r="H108" s="242" t="e">
        <f>SUM(H110+H111+H112+H113+H116+H117+#REF!+H118+#REF!+#REF!+#REF!+H119+#REF!+#REF!+#REF!+#REF!+#REF!+#REF!)</f>
        <v>#REF!</v>
      </c>
      <c r="I108" s="286">
        <f>SUM(I110+I111+I112+I113+I116+I117+I118+I119+I120+I121+I122+I123)</f>
        <v>94745.40000000001</v>
      </c>
      <c r="J108" s="286">
        <f>SUM(J110+J111+J112+J113+J116+J117+J118+J119+J120+J121+J122+J123)</f>
        <v>56673.14000000001</v>
      </c>
      <c r="K108" s="242">
        <f t="shared" si="47"/>
        <v>59.81624437703572</v>
      </c>
      <c r="O108" s="287" t="s">
        <v>1010</v>
      </c>
      <c r="Q108" s="288"/>
    </row>
    <row r="109" spans="1:11" ht="18.75">
      <c r="A109" s="324"/>
      <c r="B109" s="169" t="s">
        <v>135</v>
      </c>
      <c r="C109" s="243"/>
      <c r="D109" s="243"/>
      <c r="E109" s="243"/>
      <c r="F109" s="243"/>
      <c r="G109" s="243"/>
      <c r="H109" s="243"/>
      <c r="I109" s="243"/>
      <c r="J109" s="243"/>
      <c r="K109" s="242"/>
    </row>
    <row r="110" spans="1:11" ht="141.75">
      <c r="A110" s="324"/>
      <c r="B110" s="169" t="s">
        <v>936</v>
      </c>
      <c r="C110" s="243">
        <v>18292</v>
      </c>
      <c r="D110" s="243">
        <v>13716</v>
      </c>
      <c r="E110" s="243">
        <v>18292</v>
      </c>
      <c r="F110" s="243">
        <v>18292</v>
      </c>
      <c r="G110" s="243">
        <v>18292</v>
      </c>
      <c r="H110" s="243">
        <v>18292</v>
      </c>
      <c r="I110" s="243">
        <f>55654+16114</f>
        <v>71768</v>
      </c>
      <c r="J110" s="243">
        <v>35880</v>
      </c>
      <c r="K110" s="242">
        <f t="shared" si="47"/>
        <v>49.994426485341656</v>
      </c>
    </row>
    <row r="111" spans="1:11" ht="78.75">
      <c r="A111" s="324"/>
      <c r="B111" s="163" t="s">
        <v>950</v>
      </c>
      <c r="C111" s="243">
        <v>177.3</v>
      </c>
      <c r="D111" s="243">
        <v>0</v>
      </c>
      <c r="E111" s="243">
        <v>177.3</v>
      </c>
      <c r="F111" s="243">
        <v>177.3</v>
      </c>
      <c r="G111" s="243">
        <v>177.3</v>
      </c>
      <c r="H111" s="243">
        <v>177.3</v>
      </c>
      <c r="I111" s="243">
        <v>158.5</v>
      </c>
      <c r="J111" s="243">
        <v>177.3</v>
      </c>
      <c r="K111" s="242">
        <f t="shared" si="47"/>
        <v>111.86119873817036</v>
      </c>
    </row>
    <row r="112" spans="1:11" ht="94.5">
      <c r="A112" s="324"/>
      <c r="B112" s="175" t="s">
        <v>799</v>
      </c>
      <c r="C112" s="251">
        <v>1303.8</v>
      </c>
      <c r="D112" s="251">
        <v>1303.8</v>
      </c>
      <c r="E112" s="251">
        <v>1303.8</v>
      </c>
      <c r="F112" s="251">
        <v>1303.8</v>
      </c>
      <c r="G112" s="251">
        <v>1303.8</v>
      </c>
      <c r="H112" s="251">
        <v>1303.8</v>
      </c>
      <c r="I112" s="251">
        <v>1303.8</v>
      </c>
      <c r="J112" s="251">
        <v>748.04</v>
      </c>
      <c r="K112" s="242">
        <f t="shared" si="47"/>
        <v>57.37383034207701</v>
      </c>
    </row>
    <row r="113" spans="1:15" ht="63">
      <c r="A113" s="324"/>
      <c r="B113" s="176" t="s">
        <v>938</v>
      </c>
      <c r="C113" s="252">
        <f>SUM(C114:C115)</f>
        <v>72</v>
      </c>
      <c r="D113" s="252">
        <f>SUM(D114:D115)</f>
        <v>20</v>
      </c>
      <c r="E113" s="252">
        <f>SUM(E114:E115)</f>
        <v>72</v>
      </c>
      <c r="F113" s="252">
        <f>SUM(F114:F115)</f>
        <v>72</v>
      </c>
      <c r="G113" s="252">
        <f aca="true" t="shared" si="69" ref="G113:H113">SUM(G114:G115)</f>
        <v>72</v>
      </c>
      <c r="H113" s="252">
        <f t="shared" si="69"/>
        <v>72</v>
      </c>
      <c r="I113" s="252">
        <f>SUM(I114:I115)</f>
        <v>50</v>
      </c>
      <c r="J113" s="252">
        <v>0</v>
      </c>
      <c r="K113" s="242">
        <f t="shared" si="47"/>
        <v>0</v>
      </c>
      <c r="O113" s="177"/>
    </row>
    <row r="114" spans="1:20" s="177" customFormat="1" ht="94.5" customHeight="1">
      <c r="A114" s="324"/>
      <c r="B114" s="194" t="s">
        <v>788</v>
      </c>
      <c r="C114" s="253">
        <v>32</v>
      </c>
      <c r="D114" s="253">
        <v>0</v>
      </c>
      <c r="E114" s="253">
        <v>32</v>
      </c>
      <c r="F114" s="253">
        <v>32</v>
      </c>
      <c r="G114" s="253">
        <v>32</v>
      </c>
      <c r="H114" s="253">
        <v>32</v>
      </c>
      <c r="I114" s="253">
        <v>0</v>
      </c>
      <c r="J114" s="253">
        <v>0</v>
      </c>
      <c r="K114" s="242" t="s">
        <v>1036</v>
      </c>
      <c r="T114" s="152"/>
    </row>
    <row r="115" spans="1:20" s="177" customFormat="1" ht="110.25">
      <c r="A115" s="324"/>
      <c r="B115" s="195" t="s">
        <v>982</v>
      </c>
      <c r="C115" s="254">
        <v>40</v>
      </c>
      <c r="D115" s="254">
        <v>20</v>
      </c>
      <c r="E115" s="254">
        <v>40</v>
      </c>
      <c r="F115" s="254">
        <v>40</v>
      </c>
      <c r="G115" s="254">
        <v>40</v>
      </c>
      <c r="H115" s="254">
        <v>40</v>
      </c>
      <c r="I115" s="254">
        <v>50</v>
      </c>
      <c r="J115" s="254">
        <v>0</v>
      </c>
      <c r="K115" s="242">
        <f t="shared" si="47"/>
        <v>0</v>
      </c>
      <c r="T115" s="152"/>
    </row>
    <row r="116" spans="1:11" ht="78.75">
      <c r="A116" s="324"/>
      <c r="B116" s="163" t="s">
        <v>136</v>
      </c>
      <c r="C116" s="243">
        <v>1293.6</v>
      </c>
      <c r="D116" s="243">
        <v>580</v>
      </c>
      <c r="E116" s="243">
        <v>1293.6</v>
      </c>
      <c r="F116" s="243">
        <v>1293.6</v>
      </c>
      <c r="G116" s="243">
        <v>1293.6</v>
      </c>
      <c r="H116" s="243">
        <v>1293.6</v>
      </c>
      <c r="I116" s="243">
        <v>1293.6</v>
      </c>
      <c r="J116" s="243">
        <v>768</v>
      </c>
      <c r="K116" s="242">
        <f t="shared" si="47"/>
        <v>59.36920222634509</v>
      </c>
    </row>
    <row r="117" spans="1:11" ht="78.75">
      <c r="A117" s="324"/>
      <c r="B117" s="163" t="s">
        <v>939</v>
      </c>
      <c r="C117" s="243">
        <v>450</v>
      </c>
      <c r="D117" s="243">
        <v>280</v>
      </c>
      <c r="E117" s="243">
        <v>450</v>
      </c>
      <c r="F117" s="243">
        <v>450</v>
      </c>
      <c r="G117" s="243">
        <v>450</v>
      </c>
      <c r="H117" s="243">
        <v>450</v>
      </c>
      <c r="I117" s="243">
        <v>510</v>
      </c>
      <c r="J117" s="243">
        <v>255</v>
      </c>
      <c r="K117" s="242">
        <f t="shared" si="47"/>
        <v>50</v>
      </c>
    </row>
    <row r="118" spans="1:11" ht="94.5">
      <c r="A118" s="324"/>
      <c r="B118" s="163" t="s">
        <v>940</v>
      </c>
      <c r="C118" s="243">
        <v>488.7</v>
      </c>
      <c r="D118" s="243">
        <v>288.3</v>
      </c>
      <c r="E118" s="243">
        <v>488.7</v>
      </c>
      <c r="F118" s="243">
        <v>488.7</v>
      </c>
      <c r="G118" s="243">
        <v>488.7</v>
      </c>
      <c r="H118" s="243">
        <v>488.7</v>
      </c>
      <c r="I118" s="243">
        <v>488.7</v>
      </c>
      <c r="J118" s="243">
        <v>342.3</v>
      </c>
      <c r="K118" s="242">
        <f t="shared" si="47"/>
        <v>70.04297114794352</v>
      </c>
    </row>
    <row r="119" spans="1:15" ht="94.5">
      <c r="A119" s="324"/>
      <c r="B119" s="163" t="s">
        <v>957</v>
      </c>
      <c r="C119" s="243">
        <v>0.5</v>
      </c>
      <c r="D119" s="243">
        <v>0.5</v>
      </c>
      <c r="E119" s="243">
        <v>0.5</v>
      </c>
      <c r="F119" s="243">
        <v>0</v>
      </c>
      <c r="G119" s="243">
        <v>0</v>
      </c>
      <c r="H119" s="243">
        <v>0</v>
      </c>
      <c r="I119" s="243">
        <v>16042</v>
      </c>
      <c r="J119" s="243">
        <v>16042</v>
      </c>
      <c r="K119" s="242">
        <f t="shared" si="47"/>
        <v>100</v>
      </c>
      <c r="O119" s="152" t="s">
        <v>988</v>
      </c>
    </row>
    <row r="120" spans="1:11" ht="78.75">
      <c r="A120" s="324"/>
      <c r="B120" s="276" t="s">
        <v>973</v>
      </c>
      <c r="C120" s="243"/>
      <c r="D120" s="243"/>
      <c r="E120" s="243"/>
      <c r="F120" s="243"/>
      <c r="G120" s="243"/>
      <c r="H120" s="243"/>
      <c r="I120" s="243">
        <f>1915.9+255</f>
        <v>2170.9</v>
      </c>
      <c r="J120" s="243">
        <v>2170.9</v>
      </c>
      <c r="K120" s="242">
        <f t="shared" si="47"/>
        <v>100</v>
      </c>
    </row>
    <row r="121" spans="1:11" ht="94.5">
      <c r="A121" s="324"/>
      <c r="B121" s="276" t="s">
        <v>977</v>
      </c>
      <c r="C121" s="243"/>
      <c r="D121" s="243"/>
      <c r="E121" s="243"/>
      <c r="F121" s="243"/>
      <c r="G121" s="243"/>
      <c r="H121" s="243"/>
      <c r="I121" s="243">
        <v>289.6</v>
      </c>
      <c r="J121" s="243">
        <v>289.6</v>
      </c>
      <c r="K121" s="242">
        <f t="shared" si="47"/>
        <v>100</v>
      </c>
    </row>
    <row r="122" spans="1:11" ht="78.75">
      <c r="A122" s="324"/>
      <c r="B122" s="276" t="s">
        <v>984</v>
      </c>
      <c r="C122" s="243"/>
      <c r="D122" s="243"/>
      <c r="E122" s="243"/>
      <c r="F122" s="243"/>
      <c r="G122" s="243"/>
      <c r="H122" s="243"/>
      <c r="I122" s="243">
        <v>0.3</v>
      </c>
      <c r="J122" s="243">
        <v>0</v>
      </c>
      <c r="K122" s="242">
        <f t="shared" si="47"/>
        <v>0</v>
      </c>
    </row>
    <row r="123" spans="1:15" s="284" customFormat="1" ht="47.25">
      <c r="A123" s="325"/>
      <c r="B123" s="276" t="s">
        <v>990</v>
      </c>
      <c r="C123" s="303">
        <v>0</v>
      </c>
      <c r="D123" s="303">
        <v>0</v>
      </c>
      <c r="E123" s="303">
        <v>0</v>
      </c>
      <c r="F123" s="303">
        <f aca="true" t="shared" si="70" ref="F123:G123">SUM(E123-D123)</f>
        <v>0</v>
      </c>
      <c r="G123" s="303">
        <f t="shared" si="70"/>
        <v>0</v>
      </c>
      <c r="H123" s="303">
        <f aca="true" t="shared" si="71" ref="H123">SUM(G123-F123)</f>
        <v>0</v>
      </c>
      <c r="I123" s="303">
        <v>670</v>
      </c>
      <c r="J123" s="243">
        <v>0</v>
      </c>
      <c r="K123" s="242">
        <f t="shared" si="47"/>
        <v>0</v>
      </c>
      <c r="O123" s="284" t="s">
        <v>991</v>
      </c>
    </row>
    <row r="124" spans="1:13" ht="18.75">
      <c r="A124" s="161" t="s">
        <v>137</v>
      </c>
      <c r="B124" s="171" t="s">
        <v>138</v>
      </c>
      <c r="C124" s="242">
        <f aca="true" t="shared" si="72" ref="C124:H124">C145+C125</f>
        <v>153786.49999999997</v>
      </c>
      <c r="D124" s="242">
        <f t="shared" si="72"/>
        <v>126329.75700000001</v>
      </c>
      <c r="E124" s="242">
        <f t="shared" si="72"/>
        <v>153786.49999999997</v>
      </c>
      <c r="F124" s="242">
        <f t="shared" si="72"/>
        <v>151654.49999999997</v>
      </c>
      <c r="G124" s="242">
        <f t="shared" si="72"/>
        <v>151654.49999999997</v>
      </c>
      <c r="H124" s="242">
        <f t="shared" si="72"/>
        <v>151654.49999999997</v>
      </c>
      <c r="I124" s="242">
        <f>I145+I125+I143+I141</f>
        <v>158313.2</v>
      </c>
      <c r="J124" s="242">
        <f>J145+J125+J143+J141</f>
        <v>101515.98999999998</v>
      </c>
      <c r="K124" s="242">
        <f t="shared" si="47"/>
        <v>64.12351591655022</v>
      </c>
      <c r="L124" s="152">
        <v>153786.5</v>
      </c>
      <c r="M124" s="139">
        <f>I124-L124</f>
        <v>4526.700000000012</v>
      </c>
    </row>
    <row r="125" spans="1:11" ht="31.5">
      <c r="A125" s="161" t="s">
        <v>139</v>
      </c>
      <c r="B125" s="171" t="s">
        <v>140</v>
      </c>
      <c r="C125" s="242">
        <f>C126</f>
        <v>153084.69999999998</v>
      </c>
      <c r="D125" s="242">
        <f aca="true" t="shared" si="73" ref="D125">D126</f>
        <v>125634.50700000001</v>
      </c>
      <c r="E125" s="242">
        <f>E126</f>
        <v>153084.69999999998</v>
      </c>
      <c r="F125" s="242">
        <f>F126</f>
        <v>150952.69999999998</v>
      </c>
      <c r="G125" s="242">
        <f aca="true" t="shared" si="74" ref="G125:H125">G126</f>
        <v>150952.69999999998</v>
      </c>
      <c r="H125" s="242">
        <f t="shared" si="74"/>
        <v>150952.69999999998</v>
      </c>
      <c r="I125" s="242">
        <f>I126</f>
        <v>157165.1</v>
      </c>
      <c r="J125" s="242">
        <f>J126</f>
        <v>101019.98999999998</v>
      </c>
      <c r="K125" s="242">
        <f t="shared" si="47"/>
        <v>64.27635015661872</v>
      </c>
    </row>
    <row r="126" spans="1:11" ht="31.5">
      <c r="A126" s="323" t="s">
        <v>141</v>
      </c>
      <c r="B126" s="163" t="s">
        <v>142</v>
      </c>
      <c r="C126" s="243">
        <f aca="true" t="shared" si="75" ref="C126:J126">SUM(C128+C129+C130+C131+C132+C133+C134+C137+C138+C139+C140)</f>
        <v>153084.69999999998</v>
      </c>
      <c r="D126" s="243">
        <f t="shared" si="75"/>
        <v>125634.50700000001</v>
      </c>
      <c r="E126" s="243">
        <f t="shared" si="75"/>
        <v>153084.69999999998</v>
      </c>
      <c r="F126" s="243">
        <f t="shared" si="75"/>
        <v>150952.69999999998</v>
      </c>
      <c r="G126" s="243">
        <f t="shared" si="75"/>
        <v>150952.69999999998</v>
      </c>
      <c r="H126" s="243">
        <f t="shared" si="75"/>
        <v>150952.69999999998</v>
      </c>
      <c r="I126" s="243">
        <f t="shared" si="75"/>
        <v>157165.1</v>
      </c>
      <c r="J126" s="243">
        <f t="shared" si="75"/>
        <v>101019.98999999998</v>
      </c>
      <c r="K126" s="242">
        <f t="shared" si="47"/>
        <v>64.27635015661872</v>
      </c>
    </row>
    <row r="127" spans="1:11" ht="18.75">
      <c r="A127" s="324"/>
      <c r="B127" s="163" t="s">
        <v>143</v>
      </c>
      <c r="C127" s="243"/>
      <c r="D127" s="243"/>
      <c r="E127" s="243"/>
      <c r="F127" s="243"/>
      <c r="G127" s="243"/>
      <c r="H127" s="243"/>
      <c r="I127" s="243"/>
      <c r="J127" s="243"/>
      <c r="K127" s="242"/>
    </row>
    <row r="128" spans="1:11" ht="110.25">
      <c r="A128" s="324"/>
      <c r="B128" s="175" t="s">
        <v>800</v>
      </c>
      <c r="C128" s="252">
        <v>79753.6</v>
      </c>
      <c r="D128" s="252">
        <v>66712.5</v>
      </c>
      <c r="E128" s="252">
        <v>79753.6</v>
      </c>
      <c r="F128" s="252">
        <v>79753.6</v>
      </c>
      <c r="G128" s="252">
        <v>79753.6</v>
      </c>
      <c r="H128" s="252">
        <v>79753.6</v>
      </c>
      <c r="I128" s="252">
        <v>79406.8</v>
      </c>
      <c r="J128" s="252">
        <v>58590.74</v>
      </c>
      <c r="K128" s="242">
        <f t="shared" si="47"/>
        <v>73.78554481480175</v>
      </c>
    </row>
    <row r="129" spans="1:11" ht="78.75">
      <c r="A129" s="324"/>
      <c r="B129" s="163" t="s">
        <v>144</v>
      </c>
      <c r="C129" s="243">
        <f>58518.6-2198.6</f>
        <v>56320</v>
      </c>
      <c r="D129" s="243">
        <v>46863</v>
      </c>
      <c r="E129" s="243">
        <f>58518.6-2198.6</f>
        <v>56320</v>
      </c>
      <c r="F129" s="243">
        <f>58518.6-2198.6</f>
        <v>56320</v>
      </c>
      <c r="G129" s="243">
        <f aca="true" t="shared" si="76" ref="G129:H129">58518.6-2198.6</f>
        <v>56320</v>
      </c>
      <c r="H129" s="243">
        <f t="shared" si="76"/>
        <v>56320</v>
      </c>
      <c r="I129" s="243">
        <v>62045.6</v>
      </c>
      <c r="J129" s="243">
        <v>34021</v>
      </c>
      <c r="K129" s="242">
        <f t="shared" si="47"/>
        <v>54.832252407906445</v>
      </c>
    </row>
    <row r="130" spans="1:11" ht="110.25">
      <c r="A130" s="324"/>
      <c r="B130" s="163" t="s">
        <v>789</v>
      </c>
      <c r="C130" s="243">
        <v>4932.5</v>
      </c>
      <c r="D130" s="243">
        <v>3043.057</v>
      </c>
      <c r="E130" s="243">
        <v>4932.5</v>
      </c>
      <c r="F130" s="243">
        <v>4932.5</v>
      </c>
      <c r="G130" s="243">
        <v>4932.5</v>
      </c>
      <c r="H130" s="243">
        <v>4932.5</v>
      </c>
      <c r="I130" s="243">
        <f>4932.5+171.6</f>
        <v>5104.1</v>
      </c>
      <c r="J130" s="243">
        <v>2882.37</v>
      </c>
      <c r="K130" s="242">
        <f t="shared" si="47"/>
        <v>56.47166003800865</v>
      </c>
    </row>
    <row r="131" spans="1:11" ht="110.25">
      <c r="A131" s="324"/>
      <c r="B131" s="163" t="s">
        <v>790</v>
      </c>
      <c r="C131" s="243">
        <v>1507.8</v>
      </c>
      <c r="D131" s="243">
        <v>1075.1</v>
      </c>
      <c r="E131" s="243">
        <v>1507.8</v>
      </c>
      <c r="F131" s="243">
        <v>1507.8</v>
      </c>
      <c r="G131" s="243">
        <v>1507.8</v>
      </c>
      <c r="H131" s="243">
        <v>1507.8</v>
      </c>
      <c r="I131" s="243">
        <v>1507.8</v>
      </c>
      <c r="J131" s="243">
        <v>758.75</v>
      </c>
      <c r="K131" s="242">
        <f t="shared" si="47"/>
        <v>50.32166069770527</v>
      </c>
    </row>
    <row r="132" spans="1:11" ht="110.25">
      <c r="A132" s="324"/>
      <c r="B132" s="163" t="s">
        <v>145</v>
      </c>
      <c r="C132" s="243">
        <v>1752.9</v>
      </c>
      <c r="D132" s="243">
        <v>1279.5</v>
      </c>
      <c r="E132" s="243">
        <v>1752.9</v>
      </c>
      <c r="F132" s="243">
        <v>1752.9</v>
      </c>
      <c r="G132" s="243">
        <v>1752.9</v>
      </c>
      <c r="H132" s="243">
        <v>1752.9</v>
      </c>
      <c r="I132" s="243">
        <v>1752.9</v>
      </c>
      <c r="J132" s="243">
        <v>935.4</v>
      </c>
      <c r="K132" s="242">
        <f t="shared" si="47"/>
        <v>53.362998459695355</v>
      </c>
    </row>
    <row r="133" spans="1:11" ht="110.25">
      <c r="A133" s="324"/>
      <c r="B133" s="163" t="s">
        <v>146</v>
      </c>
      <c r="C133" s="243">
        <v>1281.4</v>
      </c>
      <c r="D133" s="243">
        <v>838.6</v>
      </c>
      <c r="E133" s="243">
        <v>1281.4</v>
      </c>
      <c r="F133" s="243">
        <v>1281.4</v>
      </c>
      <c r="G133" s="243">
        <v>1281.4</v>
      </c>
      <c r="H133" s="243">
        <v>1281.4</v>
      </c>
      <c r="I133" s="243">
        <f>1326.4-425.1</f>
        <v>901.3000000000001</v>
      </c>
      <c r="J133" s="243">
        <v>267.9</v>
      </c>
      <c r="K133" s="242">
        <f t="shared" si="47"/>
        <v>29.723732386552754</v>
      </c>
    </row>
    <row r="134" spans="1:11" ht="47.25">
      <c r="A134" s="324"/>
      <c r="B134" s="163" t="s">
        <v>147</v>
      </c>
      <c r="C134" s="243">
        <f>SUM(C135:C136)</f>
        <v>3148.5</v>
      </c>
      <c r="D134" s="243">
        <f aca="true" t="shared" si="77" ref="D134">SUM(D135:D136)</f>
        <v>2267.6</v>
      </c>
      <c r="E134" s="243">
        <f>SUM(E135:E136)</f>
        <v>3148.5</v>
      </c>
      <c r="F134" s="243">
        <f>SUM(F135:F136)</f>
        <v>3148.5</v>
      </c>
      <c r="G134" s="243">
        <f aca="true" t="shared" si="78" ref="G134:H134">SUM(G135:G136)</f>
        <v>3148.5</v>
      </c>
      <c r="H134" s="243">
        <f t="shared" si="78"/>
        <v>3148.5</v>
      </c>
      <c r="I134" s="243">
        <f>SUM(I135:I136)</f>
        <v>3148.7</v>
      </c>
      <c r="J134" s="243">
        <f>SUM(J135:J136)</f>
        <v>1490.6</v>
      </c>
      <c r="K134" s="242">
        <f t="shared" si="47"/>
        <v>47.34017213453171</v>
      </c>
    </row>
    <row r="135" spans="1:11" ht="31.5">
      <c r="A135" s="324"/>
      <c r="B135" s="178" t="s">
        <v>791</v>
      </c>
      <c r="C135" s="254">
        <v>2510</v>
      </c>
      <c r="D135" s="254">
        <v>1832.3</v>
      </c>
      <c r="E135" s="254">
        <v>2510</v>
      </c>
      <c r="F135" s="254">
        <v>2510</v>
      </c>
      <c r="G135" s="254">
        <v>2510</v>
      </c>
      <c r="H135" s="254">
        <v>2510</v>
      </c>
      <c r="I135" s="254">
        <f>2510+0.2</f>
        <v>2510.2</v>
      </c>
      <c r="J135" s="254">
        <v>1228.2</v>
      </c>
      <c r="K135" s="242">
        <f t="shared" si="47"/>
        <v>48.92837224125568</v>
      </c>
    </row>
    <row r="136" spans="1:11" ht="31.5">
      <c r="A136" s="324"/>
      <c r="B136" s="178" t="s">
        <v>792</v>
      </c>
      <c r="C136" s="254">
        <v>638.5</v>
      </c>
      <c r="D136" s="254">
        <v>435.3</v>
      </c>
      <c r="E136" s="254">
        <v>638.5</v>
      </c>
      <c r="F136" s="254">
        <v>638.5</v>
      </c>
      <c r="G136" s="254">
        <v>638.5</v>
      </c>
      <c r="H136" s="254">
        <v>638.5</v>
      </c>
      <c r="I136" s="254">
        <v>638.5</v>
      </c>
      <c r="J136" s="254">
        <v>262.4</v>
      </c>
      <c r="K136" s="242">
        <f t="shared" si="47"/>
        <v>41.096319498825366</v>
      </c>
    </row>
    <row r="137" spans="1:11" ht="126">
      <c r="A137" s="324"/>
      <c r="B137" s="163" t="s">
        <v>937</v>
      </c>
      <c r="C137" s="243">
        <v>263.3</v>
      </c>
      <c r="D137" s="243">
        <v>123.8</v>
      </c>
      <c r="E137" s="243">
        <v>263.3</v>
      </c>
      <c r="F137" s="243">
        <v>263.3</v>
      </c>
      <c r="G137" s="243">
        <v>263.3</v>
      </c>
      <c r="H137" s="243">
        <v>263.3</v>
      </c>
      <c r="I137" s="243">
        <v>273.7</v>
      </c>
      <c r="J137" s="243">
        <v>119.2</v>
      </c>
      <c r="K137" s="242">
        <f t="shared" si="47"/>
        <v>43.55133357690903</v>
      </c>
    </row>
    <row r="138" spans="1:11" ht="126">
      <c r="A138" s="324"/>
      <c r="B138" s="163" t="s">
        <v>148</v>
      </c>
      <c r="C138" s="243">
        <v>886.5</v>
      </c>
      <c r="D138" s="243">
        <v>623.2</v>
      </c>
      <c r="E138" s="243">
        <v>886.5</v>
      </c>
      <c r="F138" s="243">
        <v>886.5</v>
      </c>
      <c r="G138" s="243">
        <v>886.5</v>
      </c>
      <c r="H138" s="243">
        <v>886.5</v>
      </c>
      <c r="I138" s="243">
        <f>886.5+55.5</f>
        <v>942</v>
      </c>
      <c r="J138" s="243">
        <v>647.03</v>
      </c>
      <c r="K138" s="242">
        <f t="shared" si="47"/>
        <v>68.6868365180467</v>
      </c>
    </row>
    <row r="139" spans="1:11" ht="47.25">
      <c r="A139" s="324"/>
      <c r="B139" s="163" t="s">
        <v>149</v>
      </c>
      <c r="C139" s="243">
        <v>1106.2</v>
      </c>
      <c r="D139" s="243">
        <v>676.15</v>
      </c>
      <c r="E139" s="243">
        <v>1106.2</v>
      </c>
      <c r="F139" s="243">
        <v>1106.2</v>
      </c>
      <c r="G139" s="243">
        <v>1106.2</v>
      </c>
      <c r="H139" s="243">
        <v>1106.2</v>
      </c>
      <c r="I139" s="243">
        <v>1106.2</v>
      </c>
      <c r="J139" s="243">
        <v>331</v>
      </c>
      <c r="K139" s="242">
        <f t="shared" si="47"/>
        <v>29.92225637316941</v>
      </c>
    </row>
    <row r="140" spans="1:11" ht="32.25" customHeight="1">
      <c r="A140" s="325"/>
      <c r="B140" s="163" t="s">
        <v>793</v>
      </c>
      <c r="C140" s="243">
        <v>2132</v>
      </c>
      <c r="D140" s="243">
        <v>2132</v>
      </c>
      <c r="E140" s="243">
        <v>2132</v>
      </c>
      <c r="F140" s="243">
        <v>0</v>
      </c>
      <c r="G140" s="243">
        <v>0</v>
      </c>
      <c r="H140" s="243">
        <v>0</v>
      </c>
      <c r="I140" s="243">
        <v>976</v>
      </c>
      <c r="J140" s="243">
        <v>976</v>
      </c>
      <c r="K140" s="242">
        <f t="shared" si="47"/>
        <v>100</v>
      </c>
    </row>
    <row r="141" spans="1:11" s="287" customFormat="1" ht="63">
      <c r="A141" s="277" t="s">
        <v>958</v>
      </c>
      <c r="B141" s="278" t="s">
        <v>959</v>
      </c>
      <c r="C141" s="242"/>
      <c r="D141" s="242"/>
      <c r="E141" s="242"/>
      <c r="F141" s="242"/>
      <c r="G141" s="242"/>
      <c r="H141" s="242"/>
      <c r="I141" s="242">
        <f>SUM(I142)</f>
        <v>378.5</v>
      </c>
      <c r="J141" s="242">
        <f>SUM(J142)</f>
        <v>0</v>
      </c>
      <c r="K141" s="242">
        <f t="shared" si="47"/>
        <v>0</v>
      </c>
    </row>
    <row r="142" spans="1:11" ht="63">
      <c r="A142" s="18" t="s">
        <v>960</v>
      </c>
      <c r="B142" s="279" t="s">
        <v>961</v>
      </c>
      <c r="C142" s="243"/>
      <c r="D142" s="243"/>
      <c r="E142" s="243"/>
      <c r="F142" s="243"/>
      <c r="G142" s="243"/>
      <c r="H142" s="243"/>
      <c r="I142" s="243">
        <v>378.5</v>
      </c>
      <c r="J142" s="243">
        <v>0</v>
      </c>
      <c r="K142" s="242">
        <f t="shared" si="47"/>
        <v>0</v>
      </c>
    </row>
    <row r="143" spans="1:11" ht="32.25" customHeight="1">
      <c r="A143" s="179" t="s">
        <v>944</v>
      </c>
      <c r="B143" s="171" t="s">
        <v>945</v>
      </c>
      <c r="C143" s="242"/>
      <c r="D143" s="242"/>
      <c r="E143" s="242"/>
      <c r="F143" s="242"/>
      <c r="G143" s="242"/>
      <c r="H143" s="242"/>
      <c r="I143" s="242">
        <f>I144</f>
        <v>96.2</v>
      </c>
      <c r="J143" s="242">
        <f>J144</f>
        <v>41.2</v>
      </c>
      <c r="K143" s="242">
        <f t="shared" si="47"/>
        <v>42.82744282744283</v>
      </c>
    </row>
    <row r="144" spans="1:11" ht="32.25" customHeight="1">
      <c r="A144" s="273" t="s">
        <v>942</v>
      </c>
      <c r="B144" s="163" t="s">
        <v>943</v>
      </c>
      <c r="C144" s="243"/>
      <c r="D144" s="243"/>
      <c r="E144" s="243"/>
      <c r="F144" s="243"/>
      <c r="G144" s="243"/>
      <c r="H144" s="243"/>
      <c r="I144" s="243">
        <v>96.2</v>
      </c>
      <c r="J144" s="243">
        <v>41.2</v>
      </c>
      <c r="K144" s="242">
        <f t="shared" si="47"/>
        <v>42.82744282744283</v>
      </c>
    </row>
    <row r="145" spans="1:11" ht="31.5">
      <c r="A145" s="161" t="s">
        <v>150</v>
      </c>
      <c r="B145" s="171" t="s">
        <v>151</v>
      </c>
      <c r="C145" s="242">
        <f>C146</f>
        <v>701.8</v>
      </c>
      <c r="D145" s="242">
        <f aca="true" t="shared" si="79" ref="D145">D146</f>
        <v>695.25</v>
      </c>
      <c r="E145" s="242">
        <f>E146</f>
        <v>701.8</v>
      </c>
      <c r="F145" s="242">
        <f>F146</f>
        <v>701.8</v>
      </c>
      <c r="G145" s="242">
        <f aca="true" t="shared" si="80" ref="G145:H145">G146</f>
        <v>701.8</v>
      </c>
      <c r="H145" s="242">
        <f t="shared" si="80"/>
        <v>701.8</v>
      </c>
      <c r="I145" s="242">
        <f>I146</f>
        <v>673.4</v>
      </c>
      <c r="J145" s="242">
        <f>J146</f>
        <v>454.8</v>
      </c>
      <c r="K145" s="242">
        <f t="shared" si="47"/>
        <v>67.53786753786754</v>
      </c>
    </row>
    <row r="146" spans="1:11" ht="31.5">
      <c r="A146" s="271" t="s">
        <v>152</v>
      </c>
      <c r="B146" s="163" t="s">
        <v>153</v>
      </c>
      <c r="C146" s="243">
        <v>701.8</v>
      </c>
      <c r="D146" s="243">
        <v>695.25</v>
      </c>
      <c r="E146" s="243">
        <v>701.8</v>
      </c>
      <c r="F146" s="243">
        <v>701.8</v>
      </c>
      <c r="G146" s="243">
        <v>701.8</v>
      </c>
      <c r="H146" s="243">
        <v>701.8</v>
      </c>
      <c r="I146" s="243">
        <v>673.4</v>
      </c>
      <c r="J146" s="243">
        <v>454.8</v>
      </c>
      <c r="K146" s="242">
        <f aca="true" t="shared" si="81" ref="K146:K161">SUM(J146/I146)*100</f>
        <v>67.53786753786754</v>
      </c>
    </row>
    <row r="147" spans="1:11" ht="18.75">
      <c r="A147" s="161" t="s">
        <v>154</v>
      </c>
      <c r="B147" s="171" t="s">
        <v>155</v>
      </c>
      <c r="C147" s="242" t="e">
        <f>SUM(#REF!+C148)</f>
        <v>#REF!</v>
      </c>
      <c r="D147" s="242" t="e">
        <f>SUM(#REF!+D148)</f>
        <v>#REF!</v>
      </c>
      <c r="E147" s="242" t="e">
        <f>SUM(#REF!+E148)</f>
        <v>#REF!</v>
      </c>
      <c r="F147" s="242" t="e">
        <f>SUM(#REF!+F148)</f>
        <v>#REF!</v>
      </c>
      <c r="G147" s="242" t="e">
        <f>SUM(#REF!+G148)</f>
        <v>#REF!</v>
      </c>
      <c r="H147" s="242" t="e">
        <f>SUM(#REF!+H148)</f>
        <v>#REF!</v>
      </c>
      <c r="I147" s="242">
        <f>SUM(I148)</f>
        <v>10719.099999999999</v>
      </c>
      <c r="J147" s="242">
        <f>SUM(J148)</f>
        <v>5132.7</v>
      </c>
      <c r="K147" s="242">
        <f t="shared" si="81"/>
        <v>47.88368426453714</v>
      </c>
    </row>
    <row r="148" spans="1:11" ht="18.75">
      <c r="A148" s="161" t="s">
        <v>156</v>
      </c>
      <c r="B148" s="171" t="s">
        <v>157</v>
      </c>
      <c r="C148" s="242">
        <f aca="true" t="shared" si="82" ref="C148:J148">SUM(C149:C150)</f>
        <v>10920.8</v>
      </c>
      <c r="D148" s="242">
        <f t="shared" si="82"/>
        <v>7284.7</v>
      </c>
      <c r="E148" s="242">
        <f t="shared" si="82"/>
        <v>10920.8</v>
      </c>
      <c r="F148" s="242">
        <f t="shared" si="82"/>
        <v>10920.8</v>
      </c>
      <c r="G148" s="242">
        <f t="shared" si="82"/>
        <v>10920.8</v>
      </c>
      <c r="H148" s="242">
        <f t="shared" si="82"/>
        <v>10920.8</v>
      </c>
      <c r="I148" s="242">
        <f t="shared" si="82"/>
        <v>10719.099999999999</v>
      </c>
      <c r="J148" s="242">
        <f t="shared" si="82"/>
        <v>5132.7</v>
      </c>
      <c r="K148" s="242">
        <f t="shared" si="81"/>
        <v>47.88368426453714</v>
      </c>
    </row>
    <row r="149" spans="1:11" ht="110.25">
      <c r="A149" s="322" t="s">
        <v>158</v>
      </c>
      <c r="B149" s="180" t="s">
        <v>979</v>
      </c>
      <c r="C149" s="255">
        <v>9227.5</v>
      </c>
      <c r="D149" s="255">
        <v>6274.7</v>
      </c>
      <c r="E149" s="255">
        <v>9227.5</v>
      </c>
      <c r="F149" s="255">
        <v>9227.5</v>
      </c>
      <c r="G149" s="255">
        <v>9227.5</v>
      </c>
      <c r="H149" s="255">
        <v>9227.5</v>
      </c>
      <c r="I149" s="255">
        <f>9227.5-157.2</f>
        <v>9070.3</v>
      </c>
      <c r="J149" s="255">
        <v>4337.2</v>
      </c>
      <c r="K149" s="242">
        <f t="shared" si="81"/>
        <v>47.81760250487856</v>
      </c>
    </row>
    <row r="150" spans="1:11" ht="126">
      <c r="A150" s="322"/>
      <c r="B150" s="180" t="s">
        <v>980</v>
      </c>
      <c r="C150" s="255">
        <v>1693.3</v>
      </c>
      <c r="D150" s="255">
        <v>1010</v>
      </c>
      <c r="E150" s="255">
        <v>1693.3</v>
      </c>
      <c r="F150" s="255">
        <v>1693.3</v>
      </c>
      <c r="G150" s="255">
        <v>1693.3</v>
      </c>
      <c r="H150" s="255">
        <v>1693.3</v>
      </c>
      <c r="I150" s="255">
        <f>1693.3-44.5</f>
        <v>1648.8</v>
      </c>
      <c r="J150" s="255">
        <v>795.5</v>
      </c>
      <c r="K150" s="242">
        <f t="shared" si="81"/>
        <v>48.24721009218826</v>
      </c>
    </row>
    <row r="151" spans="1:11" ht="18.75">
      <c r="A151" s="20" t="s">
        <v>962</v>
      </c>
      <c r="B151" s="280" t="s">
        <v>963</v>
      </c>
      <c r="C151" s="281">
        <v>0</v>
      </c>
      <c r="D151" s="281">
        <f>SUM(D155)</f>
        <v>-1324.9</v>
      </c>
      <c r="E151" s="281">
        <f>SUM(E155)</f>
        <v>-1324.9</v>
      </c>
      <c r="F151" s="281">
        <f aca="true" t="shared" si="83" ref="F151:H151">SUM(F155)</f>
        <v>0</v>
      </c>
      <c r="G151" s="281">
        <f t="shared" si="83"/>
        <v>0</v>
      </c>
      <c r="H151" s="281">
        <f t="shared" si="83"/>
        <v>0</v>
      </c>
      <c r="I151" s="281">
        <f>SUM(I152)</f>
        <v>26072.7</v>
      </c>
      <c r="J151" s="281">
        <f>SUM(J152)</f>
        <v>0</v>
      </c>
      <c r="K151" s="242">
        <f t="shared" si="81"/>
        <v>0</v>
      </c>
    </row>
    <row r="152" spans="1:11" ht="18.75">
      <c r="A152" s="20" t="s">
        <v>964</v>
      </c>
      <c r="B152" s="280" t="s">
        <v>965</v>
      </c>
      <c r="C152" s="281"/>
      <c r="D152" s="281"/>
      <c r="E152" s="281"/>
      <c r="F152" s="281"/>
      <c r="G152" s="281"/>
      <c r="H152" s="281"/>
      <c r="I152" s="281">
        <f>SUM(I153)</f>
        <v>26072.7</v>
      </c>
      <c r="J152" s="281">
        <f>SUM(J153)</f>
        <v>0</v>
      </c>
      <c r="K152" s="242">
        <f t="shared" si="81"/>
        <v>0</v>
      </c>
    </row>
    <row r="153" spans="1:15" ht="18.75">
      <c r="A153" s="319" t="s">
        <v>966</v>
      </c>
      <c r="B153" s="285" t="s">
        <v>965</v>
      </c>
      <c r="C153" s="281"/>
      <c r="D153" s="281"/>
      <c r="E153" s="281"/>
      <c r="F153" s="281"/>
      <c r="G153" s="281"/>
      <c r="H153" s="281"/>
      <c r="I153" s="281">
        <f>SUM(I155:I157)</f>
        <v>26072.7</v>
      </c>
      <c r="J153" s="281">
        <f>SUM(J155:J157)</f>
        <v>0</v>
      </c>
      <c r="K153" s="242">
        <f t="shared" si="81"/>
        <v>0</v>
      </c>
      <c r="O153" s="152" t="s">
        <v>1006</v>
      </c>
    </row>
    <row r="154" spans="1:11" ht="18.75">
      <c r="A154" s="320"/>
      <c r="B154" s="285" t="s">
        <v>135</v>
      </c>
      <c r="C154" s="281"/>
      <c r="D154" s="281"/>
      <c r="E154" s="281"/>
      <c r="F154" s="281"/>
      <c r="G154" s="281"/>
      <c r="H154" s="281"/>
      <c r="I154" s="281"/>
      <c r="J154" s="242"/>
      <c r="K154" s="242"/>
    </row>
    <row r="155" spans="1:11" ht="18.75">
      <c r="A155" s="320"/>
      <c r="B155" s="282" t="s">
        <v>1003</v>
      </c>
      <c r="C155" s="243">
        <v>0</v>
      </c>
      <c r="D155" s="243">
        <v>-1324.9</v>
      </c>
      <c r="E155" s="243">
        <v>-1324.9</v>
      </c>
      <c r="F155" s="243">
        <v>0</v>
      </c>
      <c r="G155" s="243">
        <v>0</v>
      </c>
      <c r="H155" s="243">
        <v>0</v>
      </c>
      <c r="I155" s="243">
        <v>20000</v>
      </c>
      <c r="J155" s="243">
        <v>0</v>
      </c>
      <c r="K155" s="242">
        <f t="shared" si="81"/>
        <v>0</v>
      </c>
    </row>
    <row r="156" spans="1:11" ht="63">
      <c r="A156" s="320"/>
      <c r="B156" s="282" t="s">
        <v>1004</v>
      </c>
      <c r="C156" s="283">
        <v>0</v>
      </c>
      <c r="D156" s="283">
        <v>-1324.9</v>
      </c>
      <c r="E156" s="283">
        <v>-1324.9</v>
      </c>
      <c r="F156" s="283">
        <v>0</v>
      </c>
      <c r="G156" s="283">
        <v>0</v>
      </c>
      <c r="H156" s="283">
        <v>0</v>
      </c>
      <c r="I156" s="243">
        <v>2967.2</v>
      </c>
      <c r="J156" s="243">
        <v>0</v>
      </c>
      <c r="K156" s="242">
        <f t="shared" si="81"/>
        <v>0</v>
      </c>
    </row>
    <row r="157" spans="1:11" ht="18.75">
      <c r="A157" s="321"/>
      <c r="B157" s="282" t="s">
        <v>1002</v>
      </c>
      <c r="C157" s="283">
        <v>0</v>
      </c>
      <c r="D157" s="283">
        <v>-1324.9</v>
      </c>
      <c r="E157" s="283">
        <v>-1324.9</v>
      </c>
      <c r="F157" s="283">
        <v>0</v>
      </c>
      <c r="G157" s="283">
        <v>0</v>
      </c>
      <c r="H157" s="283">
        <v>0</v>
      </c>
      <c r="I157" s="243">
        <v>3105.5</v>
      </c>
      <c r="J157" s="243">
        <v>0</v>
      </c>
      <c r="K157" s="242">
        <f t="shared" si="81"/>
        <v>0</v>
      </c>
    </row>
    <row r="158" spans="1:11" s="287" customFormat="1" ht="31.5">
      <c r="A158" s="310" t="s">
        <v>1041</v>
      </c>
      <c r="B158" s="311" t="s">
        <v>1042</v>
      </c>
      <c r="C158" s="312">
        <f>SUM(C159)</f>
        <v>0</v>
      </c>
      <c r="D158" s="312">
        <f>SUM(D159)</f>
        <v>-1324.9</v>
      </c>
      <c r="E158" s="313" t="s">
        <v>1036</v>
      </c>
      <c r="F158" s="317"/>
      <c r="G158" s="317"/>
      <c r="H158" s="317"/>
      <c r="I158" s="281">
        <f>SUM(I159)</f>
        <v>0</v>
      </c>
      <c r="J158" s="281">
        <f>SUM(J159)</f>
        <v>-726.17128</v>
      </c>
      <c r="K158" s="242" t="s">
        <v>1036</v>
      </c>
    </row>
    <row r="159" spans="1:11" ht="47.25">
      <c r="A159" s="307" t="s">
        <v>1043</v>
      </c>
      <c r="B159" s="314" t="s">
        <v>1044</v>
      </c>
      <c r="C159" s="315">
        <v>0</v>
      </c>
      <c r="D159" s="315">
        <v>-1324.9</v>
      </c>
      <c r="E159" s="316" t="s">
        <v>1036</v>
      </c>
      <c r="F159" s="292"/>
      <c r="G159" s="292"/>
      <c r="H159" s="292"/>
      <c r="I159" s="255">
        <v>0</v>
      </c>
      <c r="J159" s="255">
        <v>-726.17128</v>
      </c>
      <c r="K159" s="242" t="s">
        <v>1036</v>
      </c>
    </row>
    <row r="160" spans="1:11" ht="18.75" hidden="1">
      <c r="A160" s="306"/>
      <c r="B160" s="309"/>
      <c r="C160" s="292"/>
      <c r="D160" s="292"/>
      <c r="E160" s="292"/>
      <c r="F160" s="292"/>
      <c r="G160" s="292"/>
      <c r="H160" s="292"/>
      <c r="I160" s="255"/>
      <c r="J160" s="255"/>
      <c r="K160" s="242"/>
    </row>
    <row r="161" spans="1:20" ht="18.75">
      <c r="A161" s="271"/>
      <c r="B161" s="308" t="s">
        <v>159</v>
      </c>
      <c r="C161" s="281" t="e">
        <f aca="true" t="shared" si="84" ref="C161:H161">SUM(C95+C18+C151)</f>
        <v>#REF!</v>
      </c>
      <c r="D161" s="281" t="e">
        <f t="shared" si="84"/>
        <v>#REF!</v>
      </c>
      <c r="E161" s="281" t="e">
        <f t="shared" si="84"/>
        <v>#REF!</v>
      </c>
      <c r="F161" s="281" t="e">
        <f t="shared" si="84"/>
        <v>#REF!</v>
      </c>
      <c r="G161" s="281" t="e">
        <f t="shared" si="84"/>
        <v>#REF!</v>
      </c>
      <c r="H161" s="281" t="e">
        <f t="shared" si="84"/>
        <v>#REF!</v>
      </c>
      <c r="I161" s="281">
        <f>SUM(I18+I95)</f>
        <v>678306.1000000001</v>
      </c>
      <c r="J161" s="281">
        <f>SUM(J18+J95)</f>
        <v>360014.88988000003</v>
      </c>
      <c r="K161" s="242">
        <f t="shared" si="81"/>
        <v>53.0755789871269</v>
      </c>
      <c r="O161" s="152" t="s">
        <v>1005</v>
      </c>
      <c r="P161" s="139"/>
      <c r="T161" s="139">
        <f>I95-I98-I110</f>
        <v>220393.7</v>
      </c>
    </row>
    <row r="163" ht="15">
      <c r="J163" s="139"/>
    </row>
  </sheetData>
  <mergeCells count="7">
    <mergeCell ref="A13:K13"/>
    <mergeCell ref="A12:K12"/>
    <mergeCell ref="A153:A157"/>
    <mergeCell ref="A149:A150"/>
    <mergeCell ref="A126:A140"/>
    <mergeCell ref="A108:A123"/>
    <mergeCell ref="A14:K14"/>
  </mergeCells>
  <printOptions/>
  <pageMargins left="0.3937007874015748" right="0.3937007874015748" top="1.1811023622047245" bottom="0.3937007874015748" header="0.31496062992125984" footer="0.31496062992125984"/>
  <pageSetup fitToHeight="6" fitToWidth="1" horizontalDpi="600" verticalDpi="600" orientation="portrait" paperSize="9" scale="62" r:id="rId1"/>
  <ignoredErrors>
    <ignoredError sqref="I5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SheetLayoutView="100" workbookViewId="0" topLeftCell="A1">
      <selection activeCell="I6" sqref="I6"/>
    </sheetView>
  </sheetViews>
  <sheetFormatPr defaultColWidth="9.140625" defaultRowHeight="15"/>
  <cols>
    <col min="1" max="1" width="69.57421875" style="0" customWidth="1"/>
    <col min="2" max="2" width="4.57421875" style="0" customWidth="1"/>
    <col min="3" max="3" width="6.140625" style="0" customWidth="1"/>
    <col min="4" max="4" width="13.8515625" style="0" hidden="1" customWidth="1"/>
    <col min="5" max="5" width="16.00390625" style="0" hidden="1" customWidth="1"/>
    <col min="6" max="6" width="11.421875" style="0" hidden="1" customWidth="1"/>
    <col min="7" max="7" width="12.421875" style="0" hidden="1" customWidth="1"/>
    <col min="8" max="8" width="13.28125" style="0" hidden="1" customWidth="1"/>
    <col min="9" max="9" width="14.00390625" style="0" customWidth="1"/>
    <col min="10" max="10" width="16.140625" style="0" customWidth="1"/>
    <col min="11" max="11" width="13.00390625" style="0" customWidth="1"/>
  </cols>
  <sheetData>
    <row r="1" spans="1:10" ht="18.75">
      <c r="A1" s="12"/>
      <c r="B1" s="181"/>
      <c r="C1" s="12"/>
      <c r="J1" s="343" t="s">
        <v>1025</v>
      </c>
    </row>
    <row r="2" spans="1:10" ht="18.75">
      <c r="A2" s="12"/>
      <c r="B2" s="181"/>
      <c r="C2" s="12"/>
      <c r="J2" s="343" t="s">
        <v>1045</v>
      </c>
    </row>
    <row r="3" spans="1:11" ht="18.75">
      <c r="A3" s="12"/>
      <c r="B3" s="181"/>
      <c r="C3" s="12"/>
      <c r="J3" s="343" t="s">
        <v>1026</v>
      </c>
      <c r="K3" s="268"/>
    </row>
    <row r="4" spans="1:10" ht="18.75">
      <c r="A4" s="297"/>
      <c r="B4" s="297"/>
      <c r="C4" s="297"/>
      <c r="D4" s="297"/>
      <c r="E4" s="297"/>
      <c r="F4" s="297"/>
      <c r="G4" s="297"/>
      <c r="H4" s="297"/>
      <c r="J4" s="343" t="s">
        <v>1046</v>
      </c>
    </row>
    <row r="5" spans="1:10" ht="18.75">
      <c r="A5" s="297"/>
      <c r="B5" s="297"/>
      <c r="C5" s="297"/>
      <c r="D5" s="297"/>
      <c r="E5" s="297"/>
      <c r="F5" s="297"/>
      <c r="G5" s="297"/>
      <c r="H5" s="297"/>
      <c r="J5" s="343" t="s">
        <v>1047</v>
      </c>
    </row>
    <row r="6" spans="1:10" ht="16.5">
      <c r="A6" s="297"/>
      <c r="B6" s="297"/>
      <c r="C6" s="297"/>
      <c r="D6" s="297"/>
      <c r="E6" s="297"/>
      <c r="F6" s="297"/>
      <c r="G6" s="297"/>
      <c r="H6" s="297"/>
      <c r="I6" s="296"/>
      <c r="J6" s="296"/>
    </row>
    <row r="7" spans="1:11" ht="16.5">
      <c r="A7" s="326" t="s">
        <v>1021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</row>
    <row r="8" spans="1:11" ht="16.5">
      <c r="A8" s="326" t="s">
        <v>756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</row>
    <row r="9" spans="1:11" ht="16.5">
      <c r="A9" s="326" t="s">
        <v>1022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</row>
    <row r="10" spans="2:11" ht="15.75">
      <c r="B10" s="111"/>
      <c r="C10" s="111"/>
      <c r="D10" s="112" t="s">
        <v>1</v>
      </c>
      <c r="I10" s="258"/>
      <c r="J10" s="258"/>
      <c r="K10" s="258"/>
    </row>
    <row r="11" spans="1:11" ht="66" customHeight="1">
      <c r="A11" s="113" t="s">
        <v>757</v>
      </c>
      <c r="B11" s="113" t="s">
        <v>758</v>
      </c>
      <c r="C11" s="113" t="s">
        <v>759</v>
      </c>
      <c r="D11" s="77" t="s">
        <v>4</v>
      </c>
      <c r="E11" s="226" t="s">
        <v>880</v>
      </c>
      <c r="F11" s="240" t="s">
        <v>885</v>
      </c>
      <c r="G11" s="226" t="s">
        <v>881</v>
      </c>
      <c r="H11" s="226" t="s">
        <v>882</v>
      </c>
      <c r="I11" s="226" t="s">
        <v>1023</v>
      </c>
      <c r="J11" s="290" t="s">
        <v>1027</v>
      </c>
      <c r="K11" s="290" t="s">
        <v>1024</v>
      </c>
    </row>
    <row r="12" spans="1:11" ht="15.75">
      <c r="A12" s="49" t="s">
        <v>169</v>
      </c>
      <c r="B12" s="25" t="s">
        <v>170</v>
      </c>
      <c r="C12" s="114"/>
      <c r="D12" s="115">
        <f>D13+D14+D15+D16+D18</f>
        <v>118780.09999999998</v>
      </c>
      <c r="E12" s="115">
        <f aca="true" t="shared" si="0" ref="E12:I12">E13+E14+E15+E16+E18</f>
        <v>108948.27960784313</v>
      </c>
      <c r="F12" s="115">
        <f t="shared" si="0"/>
        <v>137733.8</v>
      </c>
      <c r="G12" s="115">
        <f t="shared" si="0"/>
        <v>138680.9</v>
      </c>
      <c r="H12" s="115">
        <f t="shared" si="0"/>
        <v>139391.69999999998</v>
      </c>
      <c r="I12" s="115">
        <f t="shared" si="0"/>
        <v>137266.3</v>
      </c>
      <c r="J12" s="115">
        <f aca="true" t="shared" si="1" ref="J12">J13+J14+J15+J16+J18</f>
        <v>71523.2</v>
      </c>
      <c r="K12" s="115">
        <f>J12/I12*100</f>
        <v>52.105433015969695</v>
      </c>
    </row>
    <row r="13" spans="1:11" ht="31.5">
      <c r="A13" s="33" t="s">
        <v>628</v>
      </c>
      <c r="B13" s="21" t="s">
        <v>170</v>
      </c>
      <c r="C13" s="21" t="s">
        <v>265</v>
      </c>
      <c r="D13" s="28">
        <f>'ПРил.№3 Рд,пр, ЦС,ВР'!F13</f>
        <v>4133.6</v>
      </c>
      <c r="E13" s="28">
        <f>'ПРил.№3 Рд,пр, ЦС,ВР'!G13</f>
        <v>4411.6</v>
      </c>
      <c r="F13" s="28">
        <f>'ПРил.№3 Рд,пр, ЦС,ВР'!H13</f>
        <v>4342.8</v>
      </c>
      <c r="G13" s="28">
        <f>'ПРил.№3 Рд,пр, ЦС,ВР'!I13</f>
        <v>4342.8</v>
      </c>
      <c r="H13" s="28">
        <f>'ПРил.№3 Рд,пр, ЦС,ВР'!J13</f>
        <v>4342.8</v>
      </c>
      <c r="I13" s="28">
        <f>'ПРил.№3 Рд,пр, ЦС,ВР'!K13</f>
        <v>4342.8</v>
      </c>
      <c r="J13" s="28">
        <f>'ПРил.№3 Рд,пр, ЦС,ВР'!L13</f>
        <v>2836.4</v>
      </c>
      <c r="K13" s="301">
        <f aca="true" t="shared" si="2" ref="K13:K52">J13/I13*100</f>
        <v>65.31270148291425</v>
      </c>
    </row>
    <row r="14" spans="1:11" ht="47.25">
      <c r="A14" s="33" t="s">
        <v>631</v>
      </c>
      <c r="B14" s="21" t="s">
        <v>170</v>
      </c>
      <c r="C14" s="21" t="s">
        <v>267</v>
      </c>
      <c r="D14" s="28">
        <f>'ПРил.№3 Рд,пр, ЦС,ВР'!F21</f>
        <v>1138.7</v>
      </c>
      <c r="E14" s="28">
        <f>'ПРил.№3 Рд,пр, ЦС,ВР'!G21</f>
        <v>1302.7</v>
      </c>
      <c r="F14" s="28">
        <f>'ПРил.№3 Рд,пр, ЦС,ВР'!H21</f>
        <v>1049.5</v>
      </c>
      <c r="G14" s="28">
        <f>'ПРил.№3 Рд,пр, ЦС,ВР'!I21</f>
        <v>1049.5</v>
      </c>
      <c r="H14" s="28">
        <f>'ПРил.№3 Рд,пр, ЦС,ВР'!J21</f>
        <v>1049.5</v>
      </c>
      <c r="I14" s="28">
        <f>'ПРил.№3 Рд,пр, ЦС,ВР'!K21</f>
        <v>1049.5</v>
      </c>
      <c r="J14" s="28">
        <f>'ПРил.№3 Рд,пр, ЦС,ВР'!L21</f>
        <v>779</v>
      </c>
      <c r="K14" s="301">
        <f t="shared" si="2"/>
        <v>74.22582181991424</v>
      </c>
    </row>
    <row r="15" spans="1:11" ht="47.25">
      <c r="A15" s="26" t="s">
        <v>201</v>
      </c>
      <c r="B15" s="21" t="s">
        <v>170</v>
      </c>
      <c r="C15" s="21" t="s">
        <v>202</v>
      </c>
      <c r="D15" s="28">
        <f>'ПРил.№3 Рд,пр, ЦС,ВР'!F31</f>
        <v>62597.19999999999</v>
      </c>
      <c r="E15" s="28">
        <f>'ПРил.№3 Рд,пр, ЦС,ВР'!G31</f>
        <v>59087.51960784313</v>
      </c>
      <c r="F15" s="28">
        <f>'ПРил.№3 Рд,пр, ЦС,ВР'!H31</f>
        <v>60573.200000000004</v>
      </c>
      <c r="G15" s="28">
        <f>'ПРил.№3 Рд,пр, ЦС,ВР'!I31</f>
        <v>60922.1</v>
      </c>
      <c r="H15" s="28">
        <f>'ПРил.№3 Рд,пр, ЦС,ВР'!J31</f>
        <v>61133.4</v>
      </c>
      <c r="I15" s="28">
        <f>'ПРил.№3 Рд,пр, ЦС,ВР'!K31</f>
        <v>62620.4</v>
      </c>
      <c r="J15" s="28">
        <f>'ПРил.№3 Рд,пр, ЦС,ВР'!L31</f>
        <v>30995.000000000004</v>
      </c>
      <c r="K15" s="301">
        <f t="shared" si="2"/>
        <v>49.496649654106335</v>
      </c>
    </row>
    <row r="16" spans="1:11" ht="31.5">
      <c r="A16" s="26" t="s">
        <v>171</v>
      </c>
      <c r="B16" s="21" t="s">
        <v>170</v>
      </c>
      <c r="C16" s="21" t="s">
        <v>172</v>
      </c>
      <c r="D16" s="28">
        <f>'ПРил.№3 Рд,пр, ЦС,ВР'!F56</f>
        <v>16933.86</v>
      </c>
      <c r="E16" s="28">
        <f>'ПРил.№3 Рд,пр, ЦС,ВР'!G56</f>
        <v>16560.6</v>
      </c>
      <c r="F16" s="28">
        <f>'ПРил.№3 Рд,пр, ЦС,ВР'!H56</f>
        <v>20031.6</v>
      </c>
      <c r="G16" s="28">
        <f>'ПРил.№3 Рд,пр, ЦС,ВР'!I56</f>
        <v>20031.6</v>
      </c>
      <c r="H16" s="28">
        <f>'ПРил.№3 Рд,пр, ЦС,ВР'!J56</f>
        <v>20031.6</v>
      </c>
      <c r="I16" s="28">
        <f>'ПРил.№3 Рд,пр, ЦС,ВР'!K56</f>
        <v>17015.4</v>
      </c>
      <c r="J16" s="28">
        <f>'ПРил.№3 Рд,пр, ЦС,ВР'!L56</f>
        <v>7393.2</v>
      </c>
      <c r="K16" s="301">
        <f t="shared" si="2"/>
        <v>43.45005113015268</v>
      </c>
    </row>
    <row r="17" spans="1:11" ht="15.75" hidden="1">
      <c r="A17" s="26" t="s">
        <v>760</v>
      </c>
      <c r="B17" s="21" t="s">
        <v>170</v>
      </c>
      <c r="C17" s="21" t="s">
        <v>544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301" t="e">
        <f t="shared" si="2"/>
        <v>#DIV/0!</v>
      </c>
    </row>
    <row r="18" spans="1:11" ht="15.75">
      <c r="A18" s="116" t="s">
        <v>191</v>
      </c>
      <c r="B18" s="21" t="s">
        <v>170</v>
      </c>
      <c r="C18" s="21" t="s">
        <v>192</v>
      </c>
      <c r="D18" s="28">
        <f>'ПРил.№3 Рд,пр, ЦС,ВР'!F74</f>
        <v>33976.74</v>
      </c>
      <c r="E18" s="28">
        <f>'ПРил.№3 Рд,пр, ЦС,ВР'!G74</f>
        <v>27585.86</v>
      </c>
      <c r="F18" s="28">
        <f>'ПРил.№3 Рд,пр, ЦС,ВР'!H74</f>
        <v>51736.7</v>
      </c>
      <c r="G18" s="28">
        <f>'ПРил.№3 Рд,пр, ЦС,ВР'!I74</f>
        <v>52334.9</v>
      </c>
      <c r="H18" s="28">
        <f>'ПРил.№3 Рд,пр, ЦС,ВР'!J74</f>
        <v>52834.4</v>
      </c>
      <c r="I18" s="28">
        <f>'ПРил.№3 Рд,пр, ЦС,ВР'!K74</f>
        <v>52238.2</v>
      </c>
      <c r="J18" s="28">
        <f>'ПРил.№3 Рд,пр, ЦС,ВР'!L74</f>
        <v>29519.600000000002</v>
      </c>
      <c r="K18" s="301">
        <f t="shared" si="2"/>
        <v>56.50960408283594</v>
      </c>
    </row>
    <row r="19" spans="1:11" ht="15.75" hidden="1">
      <c r="A19" s="20" t="s">
        <v>264</v>
      </c>
      <c r="B19" s="25" t="s">
        <v>265</v>
      </c>
      <c r="C19" s="21"/>
      <c r="D19" s="46">
        <f>D20</f>
        <v>0</v>
      </c>
      <c r="E19" s="46">
        <f aca="true" t="shared" si="3" ref="E19:J19">E20</f>
        <v>0</v>
      </c>
      <c r="F19" s="46">
        <f t="shared" si="3"/>
        <v>322.9</v>
      </c>
      <c r="G19" s="46">
        <f t="shared" si="3"/>
        <v>22.3</v>
      </c>
      <c r="H19" s="46">
        <f t="shared" si="3"/>
        <v>22.3</v>
      </c>
      <c r="I19" s="46">
        <f t="shared" si="3"/>
        <v>0</v>
      </c>
      <c r="J19" s="46">
        <f t="shared" si="3"/>
        <v>0</v>
      </c>
      <c r="K19" s="115" t="e">
        <f t="shared" si="2"/>
        <v>#DIV/0!</v>
      </c>
    </row>
    <row r="20" spans="1:11" ht="15.75" hidden="1">
      <c r="A20" s="26" t="s">
        <v>270</v>
      </c>
      <c r="B20" s="21" t="s">
        <v>265</v>
      </c>
      <c r="C20" s="21" t="s">
        <v>271</v>
      </c>
      <c r="D20" s="28">
        <f>'ПРил.№3 Рд,пр, ЦС,ВР'!F208</f>
        <v>0</v>
      </c>
      <c r="E20" s="28">
        <f>'ПРил.№3 Рд,пр, ЦС,ВР'!G208</f>
        <v>0</v>
      </c>
      <c r="F20" s="28">
        <f>'ПРил.№3 Рд,пр, ЦС,ВР'!H208</f>
        <v>322.9</v>
      </c>
      <c r="G20" s="28">
        <f>'ПРил.№3 Рд,пр, ЦС,ВР'!I208</f>
        <v>22.3</v>
      </c>
      <c r="H20" s="28">
        <f>'ПРил.№3 Рд,пр, ЦС,ВР'!J208</f>
        <v>22.3</v>
      </c>
      <c r="I20" s="28">
        <f>'ПРил.№3 Рд,пр, ЦС,ВР'!K208</f>
        <v>0</v>
      </c>
      <c r="J20" s="28">
        <f>'ПРил.№3 Рд,пр, ЦС,ВР'!L208</f>
        <v>0</v>
      </c>
      <c r="K20" s="115" t="e">
        <f t="shared" si="2"/>
        <v>#DIV/0!</v>
      </c>
    </row>
    <row r="21" spans="1:11" ht="18" customHeight="1">
      <c r="A21" s="36" t="s">
        <v>274</v>
      </c>
      <c r="B21" s="25" t="s">
        <v>267</v>
      </c>
      <c r="C21" s="25"/>
      <c r="D21" s="46">
        <f>D22</f>
        <v>7209.400000000001</v>
      </c>
      <c r="E21" s="46">
        <f aca="true" t="shared" si="4" ref="E21:J21">E22</f>
        <v>5540.366666666667</v>
      </c>
      <c r="F21" s="46">
        <f t="shared" si="4"/>
        <v>10330.9</v>
      </c>
      <c r="G21" s="46">
        <f t="shared" si="4"/>
        <v>8923.6</v>
      </c>
      <c r="H21" s="46">
        <f t="shared" si="4"/>
        <v>8970.1</v>
      </c>
      <c r="I21" s="46">
        <f t="shared" si="4"/>
        <v>9234.4</v>
      </c>
      <c r="J21" s="46">
        <f t="shared" si="4"/>
        <v>2740.2999999999997</v>
      </c>
      <c r="K21" s="115">
        <f t="shared" si="2"/>
        <v>29.67491120159404</v>
      </c>
    </row>
    <row r="22" spans="1:11" ht="31.5">
      <c r="A22" s="33" t="s">
        <v>275</v>
      </c>
      <c r="B22" s="21" t="s">
        <v>267</v>
      </c>
      <c r="C22" s="21" t="s">
        <v>271</v>
      </c>
      <c r="D22" s="28">
        <f>'ПРил.№3 Рд,пр, ЦС,ВР'!F215</f>
        <v>7209.400000000001</v>
      </c>
      <c r="E22" s="28">
        <f>'ПРил.№3 Рд,пр, ЦС,ВР'!G215</f>
        <v>5540.366666666667</v>
      </c>
      <c r="F22" s="28">
        <f>'ПРил.№3 Рд,пр, ЦС,ВР'!H215</f>
        <v>10330.9</v>
      </c>
      <c r="G22" s="28">
        <f>'ПРил.№3 Рд,пр, ЦС,ВР'!I215</f>
        <v>8923.6</v>
      </c>
      <c r="H22" s="28">
        <f>'ПРил.№3 Рд,пр, ЦС,ВР'!J215</f>
        <v>8970.1</v>
      </c>
      <c r="I22" s="28">
        <f>'ПРил.№3 Рд,пр, ЦС,ВР'!K215</f>
        <v>9234.4</v>
      </c>
      <c r="J22" s="28">
        <f>'ПРил.№3 Рд,пр, ЦС,ВР'!L215</f>
        <v>2740.2999999999997</v>
      </c>
      <c r="K22" s="301">
        <f t="shared" si="2"/>
        <v>29.67491120159404</v>
      </c>
    </row>
    <row r="23" spans="1:11" ht="15.75">
      <c r="A23" s="49" t="s">
        <v>284</v>
      </c>
      <c r="B23" s="25" t="s">
        <v>202</v>
      </c>
      <c r="C23" s="25"/>
      <c r="D23" s="46">
        <f>D24+D25+D26+D27</f>
        <v>20153.2</v>
      </c>
      <c r="E23" s="46">
        <f aca="true" t="shared" si="5" ref="E23:I23">E24+E25+E26+E27</f>
        <v>20153.2</v>
      </c>
      <c r="F23" s="46">
        <f t="shared" si="5"/>
        <v>20153.2</v>
      </c>
      <c r="G23" s="46">
        <f t="shared" si="5"/>
        <v>20793.2</v>
      </c>
      <c r="H23" s="46">
        <f t="shared" si="5"/>
        <v>20793.2</v>
      </c>
      <c r="I23" s="46">
        <f t="shared" si="5"/>
        <v>12224.5</v>
      </c>
      <c r="J23" s="46">
        <f aca="true" t="shared" si="6" ref="J23">J24+J25+J26+J27</f>
        <v>3370.2</v>
      </c>
      <c r="K23" s="115">
        <f t="shared" si="2"/>
        <v>27.569225735203894</v>
      </c>
    </row>
    <row r="24" spans="1:11" ht="15.75">
      <c r="A24" s="117" t="s">
        <v>285</v>
      </c>
      <c r="B24" s="21" t="s">
        <v>202</v>
      </c>
      <c r="C24" s="21" t="s">
        <v>286</v>
      </c>
      <c r="D24" s="28">
        <f>'ПРил.№3 Рд,пр, ЦС,ВР'!F233</f>
        <v>450</v>
      </c>
      <c r="E24" s="28">
        <f>'ПРил.№3 Рд,пр, ЦС,ВР'!G233</f>
        <v>450</v>
      </c>
      <c r="F24" s="28">
        <f>'ПРил.№3 Рд,пр, ЦС,ВР'!H233</f>
        <v>450</v>
      </c>
      <c r="G24" s="28">
        <f>'ПРил.№3 Рд,пр, ЦС,ВР'!I233</f>
        <v>550</v>
      </c>
      <c r="H24" s="28">
        <f>'ПРил.№3 Рд,пр, ЦС,ВР'!J233</f>
        <v>550</v>
      </c>
      <c r="I24" s="28">
        <f>'ПРил.№3 Рд,пр, ЦС,ВР'!K233</f>
        <v>919.6</v>
      </c>
      <c r="J24" s="28">
        <f>'ПРил.№3 Рд,пр, ЦС,ВР'!L233</f>
        <v>555.6</v>
      </c>
      <c r="K24" s="301">
        <f t="shared" si="2"/>
        <v>60.41757285776425</v>
      </c>
    </row>
    <row r="25" spans="1:11" ht="15.75">
      <c r="A25" s="116" t="s">
        <v>558</v>
      </c>
      <c r="B25" s="21" t="s">
        <v>202</v>
      </c>
      <c r="C25" s="21" t="s">
        <v>351</v>
      </c>
      <c r="D25" s="28">
        <f>'ПРил.№3 Рд,пр, ЦС,ВР'!F249</f>
        <v>3207.7</v>
      </c>
      <c r="E25" s="28">
        <f>'ПРил.№3 Рд,пр, ЦС,ВР'!G249</f>
        <v>3207.7</v>
      </c>
      <c r="F25" s="28">
        <f>'ПРил.№3 Рд,пр, ЦС,ВР'!H249</f>
        <v>3207.7</v>
      </c>
      <c r="G25" s="28">
        <f>'ПРил.№3 Рд,пр, ЦС,ВР'!I249</f>
        <v>3207.7</v>
      </c>
      <c r="H25" s="28">
        <f>'ПРил.№3 Рд,пр, ЦС,ВР'!J249</f>
        <v>3207.7</v>
      </c>
      <c r="I25" s="28">
        <f>'ПРил.№3 Рд,пр, ЦС,ВР'!K249</f>
        <v>3258.3</v>
      </c>
      <c r="J25" s="28">
        <f>'ПРил.№3 Рд,пр, ЦС,ВР'!L249</f>
        <v>1349.6</v>
      </c>
      <c r="K25" s="301">
        <f t="shared" si="2"/>
        <v>41.42037258693183</v>
      </c>
    </row>
    <row r="26" spans="1:11" ht="15.75">
      <c r="A26" s="116" t="s">
        <v>561</v>
      </c>
      <c r="B26" s="21" t="s">
        <v>202</v>
      </c>
      <c r="C26" s="21" t="s">
        <v>271</v>
      </c>
      <c r="D26" s="28">
        <f>'ПРил.№3 Рд,пр, ЦС,ВР'!F255</f>
        <v>15124.1</v>
      </c>
      <c r="E26" s="28">
        <f>'ПРил.№3 Рд,пр, ЦС,ВР'!G255</f>
        <v>15124.1</v>
      </c>
      <c r="F26" s="28">
        <f>'ПРил.№3 Рд,пр, ЦС,ВР'!H255</f>
        <v>15124.1</v>
      </c>
      <c r="G26" s="28">
        <f>'ПРил.№3 Рд,пр, ЦС,ВР'!I255</f>
        <v>15124.1</v>
      </c>
      <c r="H26" s="28">
        <f>'ПРил.№3 Рд,пр, ЦС,ВР'!J255</f>
        <v>15124.1</v>
      </c>
      <c r="I26" s="28">
        <f>'ПРил.№3 Рд,пр, ЦС,ВР'!K255</f>
        <v>6895.3</v>
      </c>
      <c r="J26" s="28">
        <f>'ПРил.№3 Рд,пр, ЦС,ВР'!L255</f>
        <v>1240.1</v>
      </c>
      <c r="K26" s="301">
        <f t="shared" si="2"/>
        <v>17.98471422563195</v>
      </c>
    </row>
    <row r="27" spans="1:11" ht="15.75">
      <c r="A27" s="118" t="s">
        <v>289</v>
      </c>
      <c r="B27" s="21" t="s">
        <v>202</v>
      </c>
      <c r="C27" s="21" t="s">
        <v>290</v>
      </c>
      <c r="D27" s="28">
        <f>'ПРил.№3 Рд,пр, ЦС,ВР'!F262</f>
        <v>1371.3999999999999</v>
      </c>
      <c r="E27" s="28">
        <f>'ПРил.№3 Рд,пр, ЦС,ВР'!G262</f>
        <v>1371.3999999999999</v>
      </c>
      <c r="F27" s="28">
        <f>'ПРил.№3 Рд,пр, ЦС,ВР'!H262</f>
        <v>1371.3999999999999</v>
      </c>
      <c r="G27" s="28">
        <f>'ПРил.№3 Рд,пр, ЦС,ВР'!I262</f>
        <v>1911.3999999999999</v>
      </c>
      <c r="H27" s="28">
        <f>'ПРил.№3 Рд,пр, ЦС,ВР'!J262</f>
        <v>1911.3999999999999</v>
      </c>
      <c r="I27" s="28">
        <f>'ПРил.№3 Рд,пр, ЦС,ВР'!K262</f>
        <v>1151.3</v>
      </c>
      <c r="J27" s="28">
        <f>'ПРил.№3 Рд,пр, ЦС,ВР'!L262</f>
        <v>224.89999999999998</v>
      </c>
      <c r="K27" s="301">
        <f t="shared" si="2"/>
        <v>19.534439329453658</v>
      </c>
    </row>
    <row r="28" spans="1:11" ht="15.75">
      <c r="A28" s="49" t="s">
        <v>443</v>
      </c>
      <c r="B28" s="25" t="s">
        <v>286</v>
      </c>
      <c r="C28" s="25"/>
      <c r="D28" s="46">
        <f>SUM(D29:D32)</f>
        <v>109165.59999999999</v>
      </c>
      <c r="E28" s="46">
        <f aca="true" t="shared" si="7" ref="E28:H28">SUM(E29:E32)</f>
        <v>90925.80588235294</v>
      </c>
      <c r="F28" s="46">
        <f t="shared" si="7"/>
        <v>65675</v>
      </c>
      <c r="G28" s="46">
        <f t="shared" si="7"/>
        <v>65971.9</v>
      </c>
      <c r="H28" s="46">
        <f t="shared" si="7"/>
        <v>67991.9</v>
      </c>
      <c r="I28" s="46">
        <f>SUM(I29:I32)</f>
        <v>115443.78</v>
      </c>
      <c r="J28" s="46">
        <f aca="true" t="shared" si="8" ref="J28">SUM(J29:J32)</f>
        <v>36018.5</v>
      </c>
      <c r="K28" s="115">
        <f t="shared" si="2"/>
        <v>31.2000352032825</v>
      </c>
    </row>
    <row r="29" spans="1:11" ht="15.75">
      <c r="A29" s="117" t="s">
        <v>444</v>
      </c>
      <c r="B29" s="21" t="s">
        <v>286</v>
      </c>
      <c r="C29" s="21" t="s">
        <v>170</v>
      </c>
      <c r="D29" s="28">
        <f>'ПРил.№3 Рд,пр, ЦС,ВР'!F278</f>
        <v>8865.2</v>
      </c>
      <c r="E29" s="28">
        <f>'ПРил.№3 Рд,пр, ЦС,ВР'!G278</f>
        <v>8757.6</v>
      </c>
      <c r="F29" s="28">
        <f>'ПРил.№3 Рд,пр, ЦС,ВР'!H278</f>
        <v>8964.4</v>
      </c>
      <c r="G29" s="28">
        <f>'ПРил.№3 Рд,пр, ЦС,ВР'!I278</f>
        <v>8964.4</v>
      </c>
      <c r="H29" s="28">
        <f>'ПРил.№3 Рд,пр, ЦС,ВР'!J278</f>
        <v>8964.4</v>
      </c>
      <c r="I29" s="28">
        <f>'ПРил.№3 Рд,пр, ЦС,ВР'!K278</f>
        <v>7821.7</v>
      </c>
      <c r="J29" s="28">
        <f>'ПРил.№3 Рд,пр, ЦС,ВР'!L278</f>
        <v>3263.2</v>
      </c>
      <c r="K29" s="301">
        <f t="shared" si="2"/>
        <v>41.71983072733549</v>
      </c>
    </row>
    <row r="30" spans="1:11" ht="15.75">
      <c r="A30" s="117" t="s">
        <v>570</v>
      </c>
      <c r="B30" s="21" t="s">
        <v>286</v>
      </c>
      <c r="C30" s="21" t="s">
        <v>265</v>
      </c>
      <c r="D30" s="28">
        <f>'ПРил.№3 Рд,пр, ЦС,ВР'!F297</f>
        <v>53711.1</v>
      </c>
      <c r="E30" s="28">
        <f>'ПРил.№3 Рд,пр, ЦС,ВР'!G297</f>
        <v>44351.4</v>
      </c>
      <c r="F30" s="28">
        <f>'ПРил.№3 Рд,пр, ЦС,ВР'!H297</f>
        <v>12383.3</v>
      </c>
      <c r="G30" s="28">
        <f>'ПРил.№3 Рд,пр, ЦС,ВР'!I297</f>
        <v>12383.3</v>
      </c>
      <c r="H30" s="28">
        <f>'ПРил.№3 Рд,пр, ЦС,ВР'!J297</f>
        <v>12383.3</v>
      </c>
      <c r="I30" s="28">
        <f>'ПРил.№3 Рд,пр, ЦС,ВР'!K297</f>
        <v>61109.799999999996</v>
      </c>
      <c r="J30" s="28">
        <f>'ПРил.№3 Рд,пр, ЦС,ВР'!L297</f>
        <v>18912.399999999998</v>
      </c>
      <c r="K30" s="301">
        <f t="shared" si="2"/>
        <v>30.94822761651977</v>
      </c>
    </row>
    <row r="31" spans="1:11" ht="15.75">
      <c r="A31" s="116" t="s">
        <v>594</v>
      </c>
      <c r="B31" s="21" t="s">
        <v>286</v>
      </c>
      <c r="C31" s="21" t="s">
        <v>267</v>
      </c>
      <c r="D31" s="28">
        <f>'ПРил.№3 Рд,пр, ЦС,ВР'!F358</f>
        <v>25464.6</v>
      </c>
      <c r="E31" s="28">
        <f>'ПРил.№3 Рд,пр, ЦС,ВР'!G358</f>
        <v>16228</v>
      </c>
      <c r="F31" s="28">
        <f>'ПРил.№3 Рд,пр, ЦС,ВР'!H358</f>
        <v>19935.4</v>
      </c>
      <c r="G31" s="28">
        <f>'ПРил.№3 Рд,пр, ЦС,ВР'!I358</f>
        <v>20104</v>
      </c>
      <c r="H31" s="28">
        <f>'ПРил.№3 Рд,пр, ЦС,ВР'!J358</f>
        <v>22018.100000000002</v>
      </c>
      <c r="I31" s="28">
        <f>'ПРил.№3 Рд,пр, ЦС,ВР'!K358</f>
        <v>26098.479999999996</v>
      </c>
      <c r="J31" s="28">
        <f>'ПРил.№3 Рд,пр, ЦС,ВР'!L358</f>
        <v>3206.2999999999997</v>
      </c>
      <c r="K31" s="301">
        <f t="shared" si="2"/>
        <v>12.285389800478802</v>
      </c>
    </row>
    <row r="32" spans="1:11" ht="15.75">
      <c r="A32" s="26" t="s">
        <v>622</v>
      </c>
      <c r="B32" s="21" t="s">
        <v>286</v>
      </c>
      <c r="C32" s="21" t="s">
        <v>286</v>
      </c>
      <c r="D32" s="28">
        <f>'ПРил.№3 Рд,пр, ЦС,ВР'!F418</f>
        <v>21124.699999999997</v>
      </c>
      <c r="E32" s="28">
        <f>'ПРил.№3 Рд,пр, ЦС,ВР'!G418</f>
        <v>21588.805882352943</v>
      </c>
      <c r="F32" s="28">
        <f>'ПРил.№3 Рд,пр, ЦС,ВР'!H418</f>
        <v>24391.9</v>
      </c>
      <c r="G32" s="28">
        <f>'ПРил.№3 Рд,пр, ЦС,ВР'!I418</f>
        <v>24520.199999999997</v>
      </c>
      <c r="H32" s="28">
        <f>'ПРил.№3 Рд,пр, ЦС,ВР'!J418</f>
        <v>24626.1</v>
      </c>
      <c r="I32" s="28">
        <f>'ПРил.№3 Рд,пр, ЦС,ВР'!K418</f>
        <v>20413.8</v>
      </c>
      <c r="J32" s="28">
        <f>'ПРил.№3 Рд,пр, ЦС,ВР'!L418</f>
        <v>10636.6</v>
      </c>
      <c r="K32" s="301">
        <f t="shared" si="2"/>
        <v>52.10494861319304</v>
      </c>
    </row>
    <row r="33" spans="1:11" ht="15.75">
      <c r="A33" s="49" t="s">
        <v>315</v>
      </c>
      <c r="B33" s="25" t="s">
        <v>316</v>
      </c>
      <c r="C33" s="25"/>
      <c r="D33" s="46">
        <f>SUM(D34:D38)</f>
        <v>290484.6</v>
      </c>
      <c r="E33" s="46">
        <f aca="true" t="shared" si="9" ref="E33:I33">SUM(E34:E38)</f>
        <v>286378.9</v>
      </c>
      <c r="F33" s="46">
        <f t="shared" si="9"/>
        <v>351290</v>
      </c>
      <c r="G33" s="46">
        <f t="shared" si="9"/>
        <v>343706.89999999997</v>
      </c>
      <c r="H33" s="46">
        <f t="shared" si="9"/>
        <v>337520.6</v>
      </c>
      <c r="I33" s="46">
        <f t="shared" si="9"/>
        <v>296515</v>
      </c>
      <c r="J33" s="46">
        <f aca="true" t="shared" si="10" ref="J33">SUM(J34:J38)</f>
        <v>189479.8</v>
      </c>
      <c r="K33" s="115">
        <f t="shared" si="2"/>
        <v>63.90226464091192</v>
      </c>
    </row>
    <row r="34" spans="1:11" ht="15.75">
      <c r="A34" s="116" t="s">
        <v>457</v>
      </c>
      <c r="B34" s="21" t="s">
        <v>316</v>
      </c>
      <c r="C34" s="21" t="s">
        <v>170</v>
      </c>
      <c r="D34" s="28">
        <f>'ПРил.№3 Рд,пр, ЦС,ВР'!F438</f>
        <v>84659.4</v>
      </c>
      <c r="E34" s="28">
        <f>'ПРил.№3 Рд,пр, ЦС,ВР'!G438</f>
        <v>85381.2</v>
      </c>
      <c r="F34" s="28">
        <f>'ПРил.№3 Рд,пр, ЦС,ВР'!H438</f>
        <v>122402.5</v>
      </c>
      <c r="G34" s="28">
        <f>'ПРил.№3 Рд,пр, ЦС,ВР'!I438</f>
        <v>117666.8</v>
      </c>
      <c r="H34" s="28">
        <f>'ПРил.№3 Рд,пр, ЦС,ВР'!J438</f>
        <v>112203.8</v>
      </c>
      <c r="I34" s="28">
        <f>'ПРил.№3 Рд,пр, ЦС,ВР'!K438</f>
        <v>92076.5</v>
      </c>
      <c r="J34" s="28">
        <f>'ПРил.№3 Рд,пр, ЦС,ВР'!L438</f>
        <v>54246</v>
      </c>
      <c r="K34" s="301">
        <f t="shared" si="2"/>
        <v>58.914055160654456</v>
      </c>
    </row>
    <row r="35" spans="1:11" ht="15.75">
      <c r="A35" s="116" t="s">
        <v>478</v>
      </c>
      <c r="B35" s="21" t="s">
        <v>316</v>
      </c>
      <c r="C35" s="21" t="s">
        <v>265</v>
      </c>
      <c r="D35" s="28">
        <f>'ПРил.№3 Рд,пр, ЦС,ВР'!F483</f>
        <v>130684.4</v>
      </c>
      <c r="E35" s="28">
        <f>'ПРил.№3 Рд,пр, ЦС,ВР'!G483</f>
        <v>129899.26666666666</v>
      </c>
      <c r="F35" s="28">
        <f>'ПРил.№3 Рд,пр, ЦС,ВР'!H483</f>
        <v>135586.40000000002</v>
      </c>
      <c r="G35" s="28">
        <f>'ПРил.№3 Рд,пр, ЦС,ВР'!I483</f>
        <v>132510.3</v>
      </c>
      <c r="H35" s="28">
        <f>'ПРил.№3 Рд,пр, ЦС,ВР'!J483</f>
        <v>131125.7</v>
      </c>
      <c r="I35" s="28">
        <f>'ПРил.№3 Рд,пр, ЦС,ВР'!K483</f>
        <v>127073.4</v>
      </c>
      <c r="J35" s="28">
        <f>'ПРил.№3 Рд,пр, ЦС,ВР'!L483</f>
        <v>89327.3</v>
      </c>
      <c r="K35" s="301">
        <f t="shared" si="2"/>
        <v>70.29582902479984</v>
      </c>
    </row>
    <row r="36" spans="1:11" ht="15.75">
      <c r="A36" s="116" t="s">
        <v>317</v>
      </c>
      <c r="B36" s="21" t="s">
        <v>316</v>
      </c>
      <c r="C36" s="21" t="s">
        <v>267</v>
      </c>
      <c r="D36" s="28">
        <f>'ПРил.№3 Рд,пр, ЦС,ВР'!F560</f>
        <v>52029.9</v>
      </c>
      <c r="E36" s="28">
        <f>'ПРил.№3 Рд,пр, ЦС,ВР'!G560</f>
        <v>47647.13333333334</v>
      </c>
      <c r="F36" s="28">
        <f>'ПРил.№3 Рд,пр, ЦС,ВР'!H560</f>
        <v>67974.7</v>
      </c>
      <c r="G36" s="28">
        <f>'ПРил.№3 Рд,пр, ЦС,ВР'!I560</f>
        <v>68080.09999999999</v>
      </c>
      <c r="H36" s="28">
        <f>'ПРил.№3 Рд,пр, ЦС,ВР'!J560</f>
        <v>68616.79999999999</v>
      </c>
      <c r="I36" s="28">
        <f>'ПРил.№3 Рд,пр, ЦС,ВР'!K560</f>
        <v>53801.799999999996</v>
      </c>
      <c r="J36" s="28">
        <f>'ПРил.№3 Рд,пр, ЦС,ВР'!L560</f>
        <v>31885.6</v>
      </c>
      <c r="K36" s="301">
        <f t="shared" si="2"/>
        <v>59.26493165656168</v>
      </c>
    </row>
    <row r="37" spans="1:11" ht="15.75">
      <c r="A37" s="116" t="s">
        <v>519</v>
      </c>
      <c r="B37" s="21" t="s">
        <v>316</v>
      </c>
      <c r="C37" s="21" t="s">
        <v>316</v>
      </c>
      <c r="D37" s="28">
        <f>'ПРил.№3 Рд,пр, ЦС,ВР'!F630</f>
        <v>4788.6</v>
      </c>
      <c r="E37" s="28">
        <f>'ПРил.№3 Рд,пр, ЦС,ВР'!G630</f>
        <v>4788.6</v>
      </c>
      <c r="F37" s="28">
        <f>'ПРил.№3 Рд,пр, ЦС,ВР'!H630</f>
        <v>5474.8</v>
      </c>
      <c r="G37" s="28">
        <f>'ПРил.№3 Рд,пр, ЦС,ВР'!I630</f>
        <v>5474.8</v>
      </c>
      <c r="H37" s="28">
        <f>'ПРил.№3 Рд,пр, ЦС,ВР'!J630</f>
        <v>5474.8</v>
      </c>
      <c r="I37" s="28">
        <f>'ПРил.№3 Рд,пр, ЦС,ВР'!K630</f>
        <v>4887.8</v>
      </c>
      <c r="J37" s="28">
        <f>'ПРил.№3 Рд,пр, ЦС,ВР'!L630</f>
        <v>4026</v>
      </c>
      <c r="K37" s="301">
        <f t="shared" si="2"/>
        <v>82.3683456769917</v>
      </c>
    </row>
    <row r="38" spans="1:11" ht="15.75">
      <c r="A38" s="116" t="s">
        <v>347</v>
      </c>
      <c r="B38" s="21" t="s">
        <v>316</v>
      </c>
      <c r="C38" s="21" t="s">
        <v>271</v>
      </c>
      <c r="D38" s="28">
        <f>'ПРил.№3 Рд,пр, ЦС,ВР'!F641</f>
        <v>18322.300000000003</v>
      </c>
      <c r="E38" s="28">
        <f>'ПРил.№3 Рд,пр, ЦС,ВР'!G641</f>
        <v>18662.7</v>
      </c>
      <c r="F38" s="28">
        <f>'ПРил.№3 Рд,пр, ЦС,ВР'!H641</f>
        <v>19851.600000000002</v>
      </c>
      <c r="G38" s="28">
        <f>'ПРил.№3 Рд,пр, ЦС,ВР'!I641</f>
        <v>19974.9</v>
      </c>
      <c r="H38" s="28">
        <f>'ПРил.№3 Рд,пр, ЦС,ВР'!J641</f>
        <v>20099.5</v>
      </c>
      <c r="I38" s="28">
        <f>'ПРил.№3 Рд,пр, ЦС,ВР'!K641</f>
        <v>18675.5</v>
      </c>
      <c r="J38" s="28">
        <f>'ПРил.№3 Рд,пр, ЦС,ВР'!L641</f>
        <v>9994.9</v>
      </c>
      <c r="K38" s="301">
        <f t="shared" si="2"/>
        <v>53.51878129099622</v>
      </c>
    </row>
    <row r="39" spans="1:11" ht="15.75">
      <c r="A39" s="119" t="s">
        <v>350</v>
      </c>
      <c r="B39" s="25" t="s">
        <v>351</v>
      </c>
      <c r="C39" s="21"/>
      <c r="D39" s="46">
        <f>D40+D41</f>
        <v>61699.8</v>
      </c>
      <c r="E39" s="46">
        <f aca="true" t="shared" si="11" ref="E39:I39">E40+E41</f>
        <v>62134.1843137255</v>
      </c>
      <c r="F39" s="46">
        <f t="shared" si="11"/>
        <v>72053.1</v>
      </c>
      <c r="G39" s="46">
        <f t="shared" si="11"/>
        <v>73293.1</v>
      </c>
      <c r="H39" s="46">
        <f t="shared" si="11"/>
        <v>74048.9</v>
      </c>
      <c r="I39" s="46">
        <f t="shared" si="11"/>
        <v>59918.1</v>
      </c>
      <c r="J39" s="46">
        <f aca="true" t="shared" si="12" ref="J39">J40+J41</f>
        <v>30066.300000000003</v>
      </c>
      <c r="K39" s="115">
        <f t="shared" si="2"/>
        <v>50.17899432725671</v>
      </c>
    </row>
    <row r="40" spans="1:11" ht="15.75">
      <c r="A40" s="118" t="s">
        <v>352</v>
      </c>
      <c r="B40" s="21" t="s">
        <v>351</v>
      </c>
      <c r="C40" s="21" t="s">
        <v>170</v>
      </c>
      <c r="D40" s="28">
        <f>'ПРил.№3 Рд,пр, ЦС,ВР'!F674</f>
        <v>44421.00000000001</v>
      </c>
      <c r="E40" s="28">
        <f>'ПРил.№3 Рд,пр, ЦС,ВР'!G674</f>
        <v>44421.00000000001</v>
      </c>
      <c r="F40" s="28">
        <f>'ПРил.№3 Рд,пр, ЦС,ВР'!H674</f>
        <v>52460.700000000004</v>
      </c>
      <c r="G40" s="28">
        <f>'ПРил.№3 Рд,пр, ЦС,ВР'!I674</f>
        <v>53585</v>
      </c>
      <c r="H40" s="28">
        <f>'ПРил.№3 Рд,пр, ЦС,ВР'!J674</f>
        <v>54232.700000000004</v>
      </c>
      <c r="I40" s="28">
        <f>'ПРил.№3 Рд,пр, ЦС,ВР'!K674</f>
        <v>43285.7</v>
      </c>
      <c r="J40" s="28">
        <f>'ПРил.№3 Рд,пр, ЦС,ВР'!L674</f>
        <v>21639.2</v>
      </c>
      <c r="K40" s="301">
        <f t="shared" si="2"/>
        <v>49.99156765398273</v>
      </c>
    </row>
    <row r="41" spans="1:11" ht="15.75">
      <c r="A41" s="118" t="s">
        <v>385</v>
      </c>
      <c r="B41" s="21" t="s">
        <v>351</v>
      </c>
      <c r="C41" s="21" t="s">
        <v>202</v>
      </c>
      <c r="D41" s="28">
        <f>'ПРил.№3 Рд,пр, ЦС,ВР'!F765</f>
        <v>17278.8</v>
      </c>
      <c r="E41" s="28">
        <f>'ПРил.№3 Рд,пр, ЦС,ВР'!G765</f>
        <v>17713.18431372549</v>
      </c>
      <c r="F41" s="28">
        <f>'ПРил.№3 Рд,пр, ЦС,ВР'!H765</f>
        <v>19592.4</v>
      </c>
      <c r="G41" s="28">
        <f>'ПРил.№3 Рд,пр, ЦС,ВР'!I765</f>
        <v>19708.1</v>
      </c>
      <c r="H41" s="28">
        <f>'ПРил.№3 Рд,пр, ЦС,ВР'!J765</f>
        <v>19816.199999999997</v>
      </c>
      <c r="I41" s="28">
        <f>'ПРил.№3 Рд,пр, ЦС,ВР'!K765</f>
        <v>16632.4</v>
      </c>
      <c r="J41" s="28">
        <f>'ПРил.№3 Рд,пр, ЦС,ВР'!L765</f>
        <v>8427.1</v>
      </c>
      <c r="K41" s="301">
        <f t="shared" si="2"/>
        <v>50.66677088093119</v>
      </c>
    </row>
    <row r="42" spans="1:11" ht="15.75">
      <c r="A42" s="49" t="s">
        <v>295</v>
      </c>
      <c r="B42" s="25" t="s">
        <v>296</v>
      </c>
      <c r="C42" s="25"/>
      <c r="D42" s="46">
        <f>D43+D44+D45+D46</f>
        <v>16937</v>
      </c>
      <c r="E42" s="46">
        <f aca="true" t="shared" si="13" ref="E42:I42">E43+E44+E45+E46</f>
        <v>16927</v>
      </c>
      <c r="F42" s="46">
        <f t="shared" si="13"/>
        <v>17517.8</v>
      </c>
      <c r="G42" s="46">
        <f t="shared" si="13"/>
        <v>17632.8</v>
      </c>
      <c r="H42" s="46">
        <f t="shared" si="13"/>
        <v>17677.8</v>
      </c>
      <c r="I42" s="46">
        <f t="shared" si="13"/>
        <v>17226.8</v>
      </c>
      <c r="J42" s="46">
        <f aca="true" t="shared" si="14" ref="J42">J43+J44+J45+J46</f>
        <v>7191.5</v>
      </c>
      <c r="K42" s="115">
        <f t="shared" si="2"/>
        <v>41.746000417953425</v>
      </c>
    </row>
    <row r="43" spans="1:11" ht="15.75">
      <c r="A43" s="116" t="s">
        <v>297</v>
      </c>
      <c r="B43" s="21" t="s">
        <v>296</v>
      </c>
      <c r="C43" s="21" t="s">
        <v>170</v>
      </c>
      <c r="D43" s="28">
        <f>'ПРил.№3 Рд,пр, ЦС,ВР'!F796</f>
        <v>9066.4</v>
      </c>
      <c r="E43" s="28">
        <f>'ПРил.№3 Рд,пр, ЦС,ВР'!G796</f>
        <v>9066.4</v>
      </c>
      <c r="F43" s="28">
        <f>'ПРил.№3 Рд,пр, ЦС,ВР'!H796</f>
        <v>9066.5</v>
      </c>
      <c r="G43" s="28">
        <f>'ПРил.№3 Рд,пр, ЦС,ВР'!I796</f>
        <v>9066.5</v>
      </c>
      <c r="H43" s="28">
        <f>'ПРил.№3 Рд,пр, ЦС,ВР'!J796</f>
        <v>9066.5</v>
      </c>
      <c r="I43" s="28">
        <f>'ПРил.№3 Рд,пр, ЦС,ВР'!K796</f>
        <v>9066.4</v>
      </c>
      <c r="J43" s="28">
        <f>'ПРил.№3 Рд,пр, ЦС,ВР'!L796</f>
        <v>4536.8</v>
      </c>
      <c r="K43" s="301">
        <f t="shared" si="2"/>
        <v>50.03970705020736</v>
      </c>
    </row>
    <row r="44" spans="1:11" ht="15.75">
      <c r="A44" s="26" t="s">
        <v>304</v>
      </c>
      <c r="B44" s="21" t="s">
        <v>296</v>
      </c>
      <c r="C44" s="21" t="s">
        <v>267</v>
      </c>
      <c r="D44" s="28">
        <f>'ПРил.№3 Рд,пр, ЦС,ВР'!F802</f>
        <v>4635</v>
      </c>
      <c r="E44" s="28">
        <f>'ПРил.№3 Рд,пр, ЦС,ВР'!G802</f>
        <v>4625</v>
      </c>
      <c r="F44" s="28">
        <f>'ПРил.№3 Рд,пр, ЦС,ВР'!H802</f>
        <v>5195</v>
      </c>
      <c r="G44" s="28">
        <f>'ПРил.№3 Рд,пр, ЦС,ВР'!I802</f>
        <v>5310</v>
      </c>
      <c r="H44" s="28">
        <f>'ПРил.№3 Рд,пр, ЦС,ВР'!J802</f>
        <v>5355</v>
      </c>
      <c r="I44" s="28">
        <f>'ПРил.№3 Рд,пр, ЦС,ВР'!K802</f>
        <v>4546.1</v>
      </c>
      <c r="J44" s="28">
        <f>'ПРил.№3 Рд,пр, ЦС,ВР'!L802</f>
        <v>1267.7</v>
      </c>
      <c r="K44" s="301">
        <f t="shared" si="2"/>
        <v>27.885440267482014</v>
      </c>
    </row>
    <row r="45" spans="1:11" ht="15.75">
      <c r="A45" s="118" t="s">
        <v>453</v>
      </c>
      <c r="B45" s="21" t="s">
        <v>296</v>
      </c>
      <c r="C45" s="21" t="s">
        <v>202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f>'ПРил.№3 Рд,пр, ЦС,ВР'!K880</f>
        <v>378.5</v>
      </c>
      <c r="J45" s="28">
        <f>'ПРил.№3 Рд,пр, ЦС,ВР'!L880</f>
        <v>0</v>
      </c>
      <c r="K45" s="301">
        <f t="shared" si="2"/>
        <v>0</v>
      </c>
    </row>
    <row r="46" spans="1:11" ht="15.75">
      <c r="A46" s="26" t="s">
        <v>310</v>
      </c>
      <c r="B46" s="21" t="s">
        <v>296</v>
      </c>
      <c r="C46" s="21" t="s">
        <v>172</v>
      </c>
      <c r="D46" s="28">
        <f>'ПРил.№3 Рд,пр, ЦС,ВР'!F888</f>
        <v>3235.6000000000004</v>
      </c>
      <c r="E46" s="28">
        <f>'ПРил.№3 Рд,пр, ЦС,ВР'!G888</f>
        <v>3235.6000000000004</v>
      </c>
      <c r="F46" s="28">
        <f>'ПРил.№3 Рд,пр, ЦС,ВР'!H888</f>
        <v>3256.3000000000006</v>
      </c>
      <c r="G46" s="28">
        <f>'ПРил.№3 Рд,пр, ЦС,ВР'!I888</f>
        <v>3256.3000000000006</v>
      </c>
      <c r="H46" s="28">
        <f>'ПРил.№3 Рд,пр, ЦС,ВР'!J888</f>
        <v>3256.3000000000006</v>
      </c>
      <c r="I46" s="28">
        <f>'ПРил.№3 Рд,пр, ЦС,ВР'!K888</f>
        <v>3235.8</v>
      </c>
      <c r="J46" s="28">
        <f>'ПРил.№3 Рд,пр, ЦС,ВР'!L888</f>
        <v>1386.9999999999998</v>
      </c>
      <c r="K46" s="301">
        <f t="shared" si="2"/>
        <v>42.86420668768155</v>
      </c>
    </row>
    <row r="47" spans="1:11" ht="15.75">
      <c r="A47" s="119" t="s">
        <v>543</v>
      </c>
      <c r="B47" s="25" t="s">
        <v>544</v>
      </c>
      <c r="C47" s="21"/>
      <c r="D47" s="46">
        <f>D48+D49</f>
        <v>34702.7</v>
      </c>
      <c r="E47" s="46">
        <f aca="true" t="shared" si="15" ref="E47:I47">E48+E49</f>
        <v>40816.8</v>
      </c>
      <c r="F47" s="46">
        <f t="shared" si="15"/>
        <v>64029.6</v>
      </c>
      <c r="G47" s="46">
        <f t="shared" si="15"/>
        <v>65815.3</v>
      </c>
      <c r="H47" s="46">
        <f t="shared" si="15"/>
        <v>66895.9</v>
      </c>
      <c r="I47" s="46">
        <f t="shared" si="15"/>
        <v>53159.8</v>
      </c>
      <c r="J47" s="46">
        <f aca="true" t="shared" si="16" ref="J47">J48+J49</f>
        <v>24741.6</v>
      </c>
      <c r="K47" s="115">
        <f t="shared" si="2"/>
        <v>46.541935823686316</v>
      </c>
    </row>
    <row r="48" spans="1:11" ht="15.75">
      <c r="A48" s="118" t="s">
        <v>545</v>
      </c>
      <c r="B48" s="21" t="s">
        <v>544</v>
      </c>
      <c r="C48" s="21" t="s">
        <v>170</v>
      </c>
      <c r="D48" s="28">
        <f>'ПРил.№3 Рд,пр, ЦС,ВР'!F901</f>
        <v>23173.9</v>
      </c>
      <c r="E48" s="28">
        <f>'ПРил.№3 Рд,пр, ЦС,ВР'!G901</f>
        <v>28397</v>
      </c>
      <c r="F48" s="28">
        <f>'ПРил.№3 Рд,пр, ЦС,ВР'!H901</f>
        <v>52737</v>
      </c>
      <c r="G48" s="28">
        <f>'ПРил.№3 Рд,пр, ЦС,ВР'!I901</f>
        <v>54355.7</v>
      </c>
      <c r="H48" s="28">
        <f>'ПРил.№3 Рд,пр, ЦС,ВР'!J901</f>
        <v>55263.1</v>
      </c>
      <c r="I48" s="28">
        <f>'ПРил.№3 Рд,пр, ЦС,ВР'!K901</f>
        <v>42347.5</v>
      </c>
      <c r="J48" s="28">
        <f>'ПРил.№3 Рд,пр, ЦС,ВР'!L901</f>
        <v>19348</v>
      </c>
      <c r="K48" s="301">
        <f t="shared" si="2"/>
        <v>45.688647499852415</v>
      </c>
    </row>
    <row r="49" spans="1:11" ht="15.75">
      <c r="A49" s="118" t="s">
        <v>553</v>
      </c>
      <c r="B49" s="21" t="s">
        <v>544</v>
      </c>
      <c r="C49" s="21" t="s">
        <v>286</v>
      </c>
      <c r="D49" s="28">
        <f>'ПРил.№3 Рд,пр, ЦС,ВР'!F928</f>
        <v>11528.8</v>
      </c>
      <c r="E49" s="28">
        <f>'ПРил.№3 Рд,пр, ЦС,ВР'!G928</f>
        <v>12419.8</v>
      </c>
      <c r="F49" s="28">
        <f>'ПРил.№3 Рд,пр, ЦС,ВР'!H928</f>
        <v>11292.6</v>
      </c>
      <c r="G49" s="28">
        <f>'ПРил.№3 Рд,пр, ЦС,ВР'!I928</f>
        <v>11459.6</v>
      </c>
      <c r="H49" s="28">
        <f>'ПРил.№3 Рд,пр, ЦС,ВР'!J928</f>
        <v>11632.800000000001</v>
      </c>
      <c r="I49" s="28">
        <f>'ПРил.№3 Рд,пр, ЦС,ВР'!K928</f>
        <v>10812.3</v>
      </c>
      <c r="J49" s="28">
        <f>'ПРил.№3 Рд,пр, ЦС,ВР'!L928</f>
        <v>5393.599999999999</v>
      </c>
      <c r="K49" s="301">
        <f t="shared" si="2"/>
        <v>49.88392848885066</v>
      </c>
    </row>
    <row r="50" spans="1:11" ht="15.75">
      <c r="A50" s="20" t="s">
        <v>635</v>
      </c>
      <c r="B50" s="25" t="s">
        <v>290</v>
      </c>
      <c r="C50" s="21"/>
      <c r="D50" s="46">
        <f>D51</f>
        <v>6309.8</v>
      </c>
      <c r="E50" s="46">
        <f aca="true" t="shared" si="17" ref="E50:J50">E51</f>
        <v>6309.8</v>
      </c>
      <c r="F50" s="46">
        <f t="shared" si="17"/>
        <v>8181.700000000001</v>
      </c>
      <c r="G50" s="46">
        <f t="shared" si="17"/>
        <v>8258.7</v>
      </c>
      <c r="H50" s="46">
        <f t="shared" si="17"/>
        <v>8332.7</v>
      </c>
      <c r="I50" s="46">
        <f t="shared" si="17"/>
        <v>6283.5</v>
      </c>
      <c r="J50" s="46">
        <f t="shared" si="17"/>
        <v>2876.6000000000004</v>
      </c>
      <c r="K50" s="115">
        <f t="shared" si="2"/>
        <v>45.78021803135196</v>
      </c>
    </row>
    <row r="51" spans="1:11" ht="15.75">
      <c r="A51" s="33" t="s">
        <v>636</v>
      </c>
      <c r="B51" s="21" t="s">
        <v>290</v>
      </c>
      <c r="C51" s="21" t="s">
        <v>265</v>
      </c>
      <c r="D51" s="28">
        <f>'ПРил.№3 Рд,пр, ЦС,ВР'!F952</f>
        <v>6309.8</v>
      </c>
      <c r="E51" s="28">
        <f>'ПРил.№3 Рд,пр, ЦС,ВР'!G952</f>
        <v>6309.8</v>
      </c>
      <c r="F51" s="28">
        <f>'ПРил.№3 Рд,пр, ЦС,ВР'!H952</f>
        <v>8181.700000000001</v>
      </c>
      <c r="G51" s="28">
        <f>'ПРил.№3 Рд,пр, ЦС,ВР'!I952</f>
        <v>8258.7</v>
      </c>
      <c r="H51" s="28">
        <f>'ПРил.№3 Рд,пр, ЦС,ВР'!J952</f>
        <v>8332.7</v>
      </c>
      <c r="I51" s="28">
        <f>'ПРил.№3 Рд,пр, ЦС,ВР'!K952</f>
        <v>6283.5</v>
      </c>
      <c r="J51" s="28">
        <f>'ПРил.№3 Рд,пр, ЦС,ВР'!L952</f>
        <v>2876.6000000000004</v>
      </c>
      <c r="K51" s="301">
        <f t="shared" si="2"/>
        <v>45.78021803135196</v>
      </c>
    </row>
    <row r="52" spans="1:11" ht="15.75">
      <c r="A52" s="114" t="s">
        <v>761</v>
      </c>
      <c r="B52" s="25"/>
      <c r="C52" s="25"/>
      <c r="D52" s="46">
        <f>D12+D21+D23+D28+D33+D39+D42+D47+D50+D19</f>
        <v>665442.2</v>
      </c>
      <c r="E52" s="46">
        <f aca="true" t="shared" si="18" ref="E52:I52">E12+E21+E23+E28+E33+E39+E42+E47+E50+E19</f>
        <v>638134.3364705883</v>
      </c>
      <c r="F52" s="46">
        <f t="shared" si="18"/>
        <v>747288</v>
      </c>
      <c r="G52" s="46">
        <f t="shared" si="18"/>
        <v>743098.7000000001</v>
      </c>
      <c r="H52" s="46">
        <f t="shared" si="18"/>
        <v>741645.1000000001</v>
      </c>
      <c r="I52" s="46">
        <f t="shared" si="18"/>
        <v>707272.18</v>
      </c>
      <c r="J52" s="46">
        <f aca="true" t="shared" si="19" ref="J52">J12+J21+J23+J28+J33+J39+J42+J47+J50+J19</f>
        <v>368007.99999999994</v>
      </c>
      <c r="K52" s="115">
        <f t="shared" si="2"/>
        <v>52.03201969572731</v>
      </c>
    </row>
    <row r="53" spans="4:11" ht="15" hidden="1">
      <c r="D53">
        <f>'Прил.№4 ведомств.'!G1120</f>
        <v>665442.2</v>
      </c>
      <c r="E53">
        <f>'Прил.№4 ведомств.'!I1120</f>
        <v>638134.3364705882</v>
      </c>
      <c r="F53">
        <f>'Прил.№4 ведомств.'!J1120</f>
        <v>747927.9999999999</v>
      </c>
      <c r="G53">
        <f>'Прил.№4 ведомств.'!K1120</f>
        <v>743098.7000000001</v>
      </c>
      <c r="H53">
        <f>'Прил.№4 ведомств.'!L1120</f>
        <v>741645.1</v>
      </c>
      <c r="I53">
        <f>'Прил.№4 ведомств.'!M1120</f>
        <v>707272.18</v>
      </c>
      <c r="J53">
        <f>'Прил.№4 ведомств.'!N1120</f>
        <v>368007.99999999994</v>
      </c>
      <c r="K53">
        <f>'Прил.№4 ведомств.'!O1120</f>
        <v>52.03201969572731</v>
      </c>
    </row>
    <row r="54" spans="4:11" ht="15" hidden="1">
      <c r="D54" s="23">
        <f>D53-D52</f>
        <v>0</v>
      </c>
      <c r="E54" s="23">
        <f aca="true" t="shared" si="20" ref="E54:I54">E53-E52</f>
        <v>0</v>
      </c>
      <c r="F54" s="23">
        <f t="shared" si="20"/>
        <v>639.9999999998836</v>
      </c>
      <c r="G54" s="23">
        <f t="shared" si="20"/>
        <v>0</v>
      </c>
      <c r="H54" s="23">
        <f t="shared" si="20"/>
        <v>0</v>
      </c>
      <c r="I54" s="23">
        <f t="shared" si="20"/>
        <v>0</v>
      </c>
      <c r="J54" s="23">
        <f aca="true" t="shared" si="21" ref="J54:K54">J53-J52</f>
        <v>0</v>
      </c>
      <c r="K54" s="23">
        <f t="shared" si="21"/>
        <v>0</v>
      </c>
    </row>
    <row r="55" spans="9:11" ht="15">
      <c r="I55">
        <v>665442.2</v>
      </c>
      <c r="J55">
        <v>665442.2</v>
      </c>
      <c r="K55">
        <v>665442.2</v>
      </c>
    </row>
    <row r="56" spans="9:11" ht="15">
      <c r="I56" s="23">
        <f>I52-I55</f>
        <v>41829.9800000001</v>
      </c>
      <c r="J56" s="23">
        <f aca="true" t="shared" si="22" ref="J56:K56">J52-J55</f>
        <v>-297434.2</v>
      </c>
      <c r="K56" s="23">
        <f t="shared" si="22"/>
        <v>-665390.1679803042</v>
      </c>
    </row>
    <row r="60" spans="9:11" ht="15">
      <c r="I60">
        <f>164414.9-112075.6</f>
        <v>52339.29999999999</v>
      </c>
      <c r="J60">
        <f aca="true" t="shared" si="23" ref="J60:K60">164414.9-112075.6</f>
        <v>52339.29999999999</v>
      </c>
      <c r="K60">
        <f t="shared" si="23"/>
        <v>52339.29999999999</v>
      </c>
    </row>
  </sheetData>
  <mergeCells count="3">
    <mergeCell ref="A7:K7"/>
    <mergeCell ref="A8:K8"/>
    <mergeCell ref="A9:K9"/>
  </mergeCells>
  <printOptions/>
  <pageMargins left="1.1811023622047245" right="0.3937007874015748" top="0.7480314960629921" bottom="0.3937007874015748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64"/>
  <sheetViews>
    <sheetView view="pageBreakPreview" zoomScaleSheetLayoutView="100" workbookViewId="0" topLeftCell="A1">
      <selection activeCell="L1" sqref="L1:L5"/>
    </sheetView>
  </sheetViews>
  <sheetFormatPr defaultColWidth="9.140625" defaultRowHeight="15"/>
  <cols>
    <col min="1" max="1" width="52.28125" style="0" customWidth="1"/>
    <col min="2" max="2" width="5.8515625" style="0" customWidth="1"/>
    <col min="3" max="3" width="5.421875" style="0" customWidth="1"/>
    <col min="4" max="4" width="15.8515625" style="0" customWidth="1"/>
    <col min="5" max="5" width="7.140625" style="0" customWidth="1"/>
    <col min="6" max="6" width="11.7109375" style="0" hidden="1" customWidth="1"/>
    <col min="7" max="7" width="12.00390625" style="0" hidden="1" customWidth="1"/>
    <col min="8" max="8" width="10.8515625" style="0" hidden="1" customWidth="1"/>
    <col min="9" max="9" width="12.28125" style="0" hidden="1" customWidth="1"/>
    <col min="10" max="10" width="11.7109375" style="0" hidden="1" customWidth="1"/>
    <col min="11" max="13" width="14.28125" style="0" customWidth="1"/>
  </cols>
  <sheetData>
    <row r="1" spans="1:12" ht="18.75">
      <c r="A1" s="58"/>
      <c r="B1" s="29"/>
      <c r="C1" s="29"/>
      <c r="D1" s="181"/>
      <c r="F1" s="29"/>
      <c r="L1" s="343" t="s">
        <v>1030</v>
      </c>
    </row>
    <row r="2" spans="1:12" ht="18.75">
      <c r="A2" s="58"/>
      <c r="B2" s="29"/>
      <c r="C2" s="29"/>
      <c r="D2" s="181"/>
      <c r="F2" s="60"/>
      <c r="L2" s="343" t="s">
        <v>1045</v>
      </c>
    </row>
    <row r="3" spans="1:12" ht="18.75">
      <c r="A3" s="58"/>
      <c r="B3" s="29"/>
      <c r="C3" s="29"/>
      <c r="E3" s="268"/>
      <c r="F3" s="60"/>
      <c r="L3" s="343" t="s">
        <v>1026</v>
      </c>
    </row>
    <row r="4" spans="1:12" ht="18.75">
      <c r="A4" s="58"/>
      <c r="B4" s="29"/>
      <c r="C4" s="29"/>
      <c r="E4" s="268"/>
      <c r="F4" s="60"/>
      <c r="L4" s="343" t="s">
        <v>1046</v>
      </c>
    </row>
    <row r="5" spans="1:12" ht="18.75">
      <c r="A5" s="58"/>
      <c r="B5" s="29"/>
      <c r="C5" s="29"/>
      <c r="E5" s="268"/>
      <c r="F5" s="60"/>
      <c r="L5" s="343" t="s">
        <v>1047</v>
      </c>
    </row>
    <row r="6" spans="1:6" ht="15">
      <c r="A6" s="58"/>
      <c r="B6" s="29"/>
      <c r="C6" s="29"/>
      <c r="D6" s="29"/>
      <c r="E6" s="29"/>
      <c r="F6" s="58"/>
    </row>
    <row r="7" spans="1:13" ht="63.75" customHeight="1">
      <c r="A7" s="327" t="s">
        <v>1029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</row>
    <row r="8" spans="1:13" ht="15.75">
      <c r="A8" s="58"/>
      <c r="B8" s="29"/>
      <c r="C8" s="29"/>
      <c r="D8" s="29"/>
      <c r="E8" s="29"/>
      <c r="F8" s="61" t="s">
        <v>1</v>
      </c>
      <c r="K8" s="258"/>
      <c r="L8" s="258"/>
      <c r="M8" s="258"/>
    </row>
    <row r="9" spans="1:13" ht="30" customHeight="1">
      <c r="A9" s="328" t="s">
        <v>646</v>
      </c>
      <c r="B9" s="330" t="s">
        <v>164</v>
      </c>
      <c r="C9" s="330" t="s">
        <v>165</v>
      </c>
      <c r="D9" s="330" t="s">
        <v>166</v>
      </c>
      <c r="E9" s="330" t="s">
        <v>167</v>
      </c>
      <c r="F9" s="332" t="s">
        <v>4</v>
      </c>
      <c r="G9" s="332" t="s">
        <v>880</v>
      </c>
      <c r="H9" s="332" t="s">
        <v>885</v>
      </c>
      <c r="I9" s="332" t="s">
        <v>881</v>
      </c>
      <c r="J9" s="332" t="s">
        <v>882</v>
      </c>
      <c r="K9" s="332" t="s">
        <v>1023</v>
      </c>
      <c r="L9" s="332" t="s">
        <v>1027</v>
      </c>
      <c r="M9" s="332" t="s">
        <v>1024</v>
      </c>
    </row>
    <row r="10" spans="1:13" ht="36" customHeight="1">
      <c r="A10" s="329"/>
      <c r="B10" s="331"/>
      <c r="C10" s="331"/>
      <c r="D10" s="331"/>
      <c r="E10" s="331"/>
      <c r="F10" s="333"/>
      <c r="G10" s="333"/>
      <c r="H10" s="333"/>
      <c r="I10" s="333"/>
      <c r="J10" s="333"/>
      <c r="K10" s="333"/>
      <c r="L10" s="333"/>
      <c r="M10" s="333"/>
    </row>
    <row r="11" spans="1:13" ht="15.75">
      <c r="A11" s="6">
        <v>1</v>
      </c>
      <c r="B11" s="2">
        <v>2</v>
      </c>
      <c r="C11" s="2">
        <v>3</v>
      </c>
      <c r="D11" s="2">
        <v>4</v>
      </c>
      <c r="E11" s="2">
        <v>5</v>
      </c>
      <c r="F11" s="62">
        <v>6</v>
      </c>
      <c r="G11" s="62">
        <v>7</v>
      </c>
      <c r="H11" s="62">
        <v>6</v>
      </c>
      <c r="I11" s="62">
        <v>9</v>
      </c>
      <c r="J11" s="62">
        <v>10</v>
      </c>
      <c r="K11" s="62">
        <v>6</v>
      </c>
      <c r="L11" s="62">
        <v>7</v>
      </c>
      <c r="M11" s="62">
        <v>8</v>
      </c>
    </row>
    <row r="12" spans="1:13" ht="15.75">
      <c r="A12" s="43" t="s">
        <v>169</v>
      </c>
      <c r="B12" s="8" t="s">
        <v>170</v>
      </c>
      <c r="C12" s="8"/>
      <c r="D12" s="8"/>
      <c r="E12" s="8"/>
      <c r="F12" s="4">
        <f aca="true" t="shared" si="0" ref="F12:K12">F13+F21+F31+F56+F74</f>
        <v>118780.09999999998</v>
      </c>
      <c r="G12" s="4">
        <f t="shared" si="0"/>
        <v>108948.27960784313</v>
      </c>
      <c r="H12" s="4">
        <f t="shared" si="0"/>
        <v>137733.8</v>
      </c>
      <c r="I12" s="4">
        <f t="shared" si="0"/>
        <v>138680.9</v>
      </c>
      <c r="J12" s="4">
        <f t="shared" si="0"/>
        <v>139391.69999999998</v>
      </c>
      <c r="K12" s="4">
        <f t="shared" si="0"/>
        <v>137266.3</v>
      </c>
      <c r="L12" s="4">
        <f aca="true" t="shared" si="1" ref="L12">L13+L21+L31+L56+L74</f>
        <v>71523.2</v>
      </c>
      <c r="M12" s="4">
        <f>L12/K12*100</f>
        <v>52.105433015969695</v>
      </c>
    </row>
    <row r="13" spans="1:13" ht="47.25">
      <c r="A13" s="43" t="s">
        <v>628</v>
      </c>
      <c r="B13" s="8" t="s">
        <v>170</v>
      </c>
      <c r="C13" s="8" t="s">
        <v>265</v>
      </c>
      <c r="D13" s="8"/>
      <c r="E13" s="8"/>
      <c r="F13" s="4">
        <f>F14</f>
        <v>4133.6</v>
      </c>
      <c r="G13" s="4">
        <f aca="true" t="shared" si="2" ref="G13:L15">G14</f>
        <v>4411.6</v>
      </c>
      <c r="H13" s="4">
        <f t="shared" si="2"/>
        <v>4342.8</v>
      </c>
      <c r="I13" s="4">
        <f t="shared" si="2"/>
        <v>4342.8</v>
      </c>
      <c r="J13" s="4">
        <f t="shared" si="2"/>
        <v>4342.8</v>
      </c>
      <c r="K13" s="4">
        <f t="shared" si="2"/>
        <v>4342.8</v>
      </c>
      <c r="L13" s="4">
        <f t="shared" si="2"/>
        <v>2836.4</v>
      </c>
      <c r="M13" s="4">
        <f aca="true" t="shared" si="3" ref="M13:M76">L13/K13*100</f>
        <v>65.31270148291425</v>
      </c>
    </row>
    <row r="14" spans="1:13" ht="15.75">
      <c r="A14" s="31" t="s">
        <v>173</v>
      </c>
      <c r="B14" s="42" t="s">
        <v>170</v>
      </c>
      <c r="C14" s="42" t="s">
        <v>265</v>
      </c>
      <c r="D14" s="42" t="s">
        <v>174</v>
      </c>
      <c r="E14" s="42"/>
      <c r="F14" s="7">
        <f>F15</f>
        <v>4133.6</v>
      </c>
      <c r="G14" s="7">
        <f t="shared" si="2"/>
        <v>4411.6</v>
      </c>
      <c r="H14" s="7">
        <f t="shared" si="2"/>
        <v>4342.8</v>
      </c>
      <c r="I14" s="7">
        <f t="shared" si="2"/>
        <v>4342.8</v>
      </c>
      <c r="J14" s="7">
        <f t="shared" si="2"/>
        <v>4342.8</v>
      </c>
      <c r="K14" s="7">
        <f t="shared" si="2"/>
        <v>4342.8</v>
      </c>
      <c r="L14" s="7">
        <f t="shared" si="2"/>
        <v>2836.4</v>
      </c>
      <c r="M14" s="7">
        <f t="shared" si="3"/>
        <v>65.31270148291425</v>
      </c>
    </row>
    <row r="15" spans="1:13" ht="31.5">
      <c r="A15" s="31" t="s">
        <v>175</v>
      </c>
      <c r="B15" s="42" t="s">
        <v>170</v>
      </c>
      <c r="C15" s="42" t="s">
        <v>265</v>
      </c>
      <c r="D15" s="42" t="s">
        <v>176</v>
      </c>
      <c r="E15" s="42"/>
      <c r="F15" s="7">
        <f>F16</f>
        <v>4133.6</v>
      </c>
      <c r="G15" s="7">
        <f t="shared" si="2"/>
        <v>4411.6</v>
      </c>
      <c r="H15" s="7">
        <f t="shared" si="2"/>
        <v>4342.8</v>
      </c>
      <c r="I15" s="7">
        <f t="shared" si="2"/>
        <v>4342.8</v>
      </c>
      <c r="J15" s="7">
        <f t="shared" si="2"/>
        <v>4342.8</v>
      </c>
      <c r="K15" s="7">
        <f t="shared" si="2"/>
        <v>4342.8</v>
      </c>
      <c r="L15" s="7">
        <f t="shared" si="2"/>
        <v>2836.4</v>
      </c>
      <c r="M15" s="7">
        <f t="shared" si="3"/>
        <v>65.31270148291425</v>
      </c>
    </row>
    <row r="16" spans="1:13" ht="31.5">
      <c r="A16" s="31" t="s">
        <v>629</v>
      </c>
      <c r="B16" s="42" t="s">
        <v>170</v>
      </c>
      <c r="C16" s="42" t="s">
        <v>265</v>
      </c>
      <c r="D16" s="42" t="s">
        <v>630</v>
      </c>
      <c r="E16" s="42"/>
      <c r="F16" s="7">
        <f>F17+F19</f>
        <v>4133.6</v>
      </c>
      <c r="G16" s="7">
        <f>G17+G19</f>
        <v>4411.6</v>
      </c>
      <c r="H16" s="7">
        <f aca="true" t="shared" si="4" ref="H16:K16">H17+H19</f>
        <v>4342.8</v>
      </c>
      <c r="I16" s="7">
        <f t="shared" si="4"/>
        <v>4342.8</v>
      </c>
      <c r="J16" s="7">
        <f t="shared" si="4"/>
        <v>4342.8</v>
      </c>
      <c r="K16" s="7">
        <f t="shared" si="4"/>
        <v>4342.8</v>
      </c>
      <c r="L16" s="7">
        <f aca="true" t="shared" si="5" ref="L16">L17+L19</f>
        <v>2836.4</v>
      </c>
      <c r="M16" s="7">
        <f t="shared" si="3"/>
        <v>65.31270148291425</v>
      </c>
    </row>
    <row r="17" spans="1:13" ht="78.75">
      <c r="A17" s="31" t="s">
        <v>179</v>
      </c>
      <c r="B17" s="42" t="s">
        <v>170</v>
      </c>
      <c r="C17" s="42" t="s">
        <v>265</v>
      </c>
      <c r="D17" s="42" t="s">
        <v>630</v>
      </c>
      <c r="E17" s="42" t="s">
        <v>180</v>
      </c>
      <c r="F17" s="63">
        <f>F18</f>
        <v>4100.6</v>
      </c>
      <c r="G17" s="63">
        <f aca="true" t="shared" si="6" ref="G17:L17">G18</f>
        <v>4378.6</v>
      </c>
      <c r="H17" s="63">
        <f t="shared" si="6"/>
        <v>3873.8</v>
      </c>
      <c r="I17" s="63">
        <f t="shared" si="6"/>
        <v>3873.8</v>
      </c>
      <c r="J17" s="63">
        <f t="shared" si="6"/>
        <v>3873.8</v>
      </c>
      <c r="K17" s="63">
        <f t="shared" si="6"/>
        <v>4342.8</v>
      </c>
      <c r="L17" s="63">
        <f t="shared" si="6"/>
        <v>2836.4</v>
      </c>
      <c r="M17" s="7">
        <f t="shared" si="3"/>
        <v>65.31270148291425</v>
      </c>
    </row>
    <row r="18" spans="1:13" ht="31.5">
      <c r="A18" s="31" t="s">
        <v>181</v>
      </c>
      <c r="B18" s="42" t="s">
        <v>170</v>
      </c>
      <c r="C18" s="42" t="s">
        <v>265</v>
      </c>
      <c r="D18" s="42" t="s">
        <v>630</v>
      </c>
      <c r="E18" s="42" t="s">
        <v>182</v>
      </c>
      <c r="F18" s="63">
        <f>'Прил.№4 ведомств.'!G1071</f>
        <v>4100.6</v>
      </c>
      <c r="G18" s="63">
        <f>'Прил.№4 ведомств.'!I1071</f>
        <v>4378.6</v>
      </c>
      <c r="H18" s="63">
        <f>'Прил.№4 ведомств.'!J1071</f>
        <v>3873.8</v>
      </c>
      <c r="I18" s="63">
        <f>'Прил.№4 ведомств.'!K1071</f>
        <v>3873.8</v>
      </c>
      <c r="J18" s="63">
        <f>'Прил.№4 ведомств.'!L1071</f>
        <v>3873.8</v>
      </c>
      <c r="K18" s="63">
        <f>'Прил.№4 ведомств.'!M1071</f>
        <v>4342.8</v>
      </c>
      <c r="L18" s="63">
        <f>'Прил.№4 ведомств.'!N1071</f>
        <v>2836.4</v>
      </c>
      <c r="M18" s="7">
        <f t="shared" si="3"/>
        <v>65.31270148291425</v>
      </c>
    </row>
    <row r="19" spans="1:13" ht="31.5" hidden="1">
      <c r="A19" s="31" t="s">
        <v>183</v>
      </c>
      <c r="B19" s="42" t="s">
        <v>170</v>
      </c>
      <c r="C19" s="42" t="s">
        <v>265</v>
      </c>
      <c r="D19" s="42" t="s">
        <v>630</v>
      </c>
      <c r="E19" s="42" t="s">
        <v>184</v>
      </c>
      <c r="F19" s="30">
        <f>F20</f>
        <v>33</v>
      </c>
      <c r="G19" s="30">
        <f aca="true" t="shared" si="7" ref="G19:L19">G20</f>
        <v>33</v>
      </c>
      <c r="H19" s="30">
        <f t="shared" si="7"/>
        <v>469</v>
      </c>
      <c r="I19" s="30">
        <f t="shared" si="7"/>
        <v>469</v>
      </c>
      <c r="J19" s="30">
        <f t="shared" si="7"/>
        <v>469</v>
      </c>
      <c r="K19" s="30">
        <f t="shared" si="7"/>
        <v>0</v>
      </c>
      <c r="L19" s="30">
        <f t="shared" si="7"/>
        <v>0</v>
      </c>
      <c r="M19" s="4" t="e">
        <f t="shared" si="3"/>
        <v>#DIV/0!</v>
      </c>
    </row>
    <row r="20" spans="1:13" ht="47.25" hidden="1">
      <c r="A20" s="31" t="s">
        <v>185</v>
      </c>
      <c r="B20" s="42" t="s">
        <v>170</v>
      </c>
      <c r="C20" s="42" t="s">
        <v>265</v>
      </c>
      <c r="D20" s="42" t="s">
        <v>630</v>
      </c>
      <c r="E20" s="42" t="s">
        <v>186</v>
      </c>
      <c r="F20" s="30">
        <f>'Прил.№4 ведомств.'!G1073</f>
        <v>33</v>
      </c>
      <c r="G20" s="30">
        <f>'Прил.№4 ведомств.'!I1073</f>
        <v>33</v>
      </c>
      <c r="H20" s="30">
        <f>'Прил.№4 ведомств.'!J1073</f>
        <v>469</v>
      </c>
      <c r="I20" s="30">
        <f>'Прил.№4 ведомств.'!K1073</f>
        <v>469</v>
      </c>
      <c r="J20" s="30">
        <f>'Прил.№4 ведомств.'!L1073</f>
        <v>469</v>
      </c>
      <c r="K20" s="30">
        <f>'Прил.№4 ведомств.'!M1073</f>
        <v>0</v>
      </c>
      <c r="L20" s="30">
        <f>'Прил.№4 ведомств.'!N1073</f>
        <v>0</v>
      </c>
      <c r="M20" s="4" t="e">
        <f t="shared" si="3"/>
        <v>#DIV/0!</v>
      </c>
    </row>
    <row r="21" spans="1:13" ht="63">
      <c r="A21" s="43" t="s">
        <v>631</v>
      </c>
      <c r="B21" s="8" t="s">
        <v>170</v>
      </c>
      <c r="C21" s="8" t="s">
        <v>267</v>
      </c>
      <c r="D21" s="8"/>
      <c r="E21" s="8"/>
      <c r="F21" s="4">
        <f>F22</f>
        <v>1138.7</v>
      </c>
      <c r="G21" s="4">
        <f aca="true" t="shared" si="8" ref="G21:L23">G22</f>
        <v>1302.7</v>
      </c>
      <c r="H21" s="4">
        <f t="shared" si="8"/>
        <v>1049.5</v>
      </c>
      <c r="I21" s="4">
        <f t="shared" si="8"/>
        <v>1049.5</v>
      </c>
      <c r="J21" s="4">
        <f t="shared" si="8"/>
        <v>1049.5</v>
      </c>
      <c r="K21" s="4">
        <f t="shared" si="8"/>
        <v>1049.5</v>
      </c>
      <c r="L21" s="4">
        <f t="shared" si="8"/>
        <v>779</v>
      </c>
      <c r="M21" s="4">
        <f t="shared" si="3"/>
        <v>74.22582181991424</v>
      </c>
    </row>
    <row r="22" spans="1:13" ht="15.75">
      <c r="A22" s="31" t="s">
        <v>173</v>
      </c>
      <c r="B22" s="42" t="s">
        <v>170</v>
      </c>
      <c r="C22" s="42" t="s">
        <v>267</v>
      </c>
      <c r="D22" s="42" t="s">
        <v>174</v>
      </c>
      <c r="E22" s="8"/>
      <c r="F22" s="7">
        <f>F23</f>
        <v>1138.7</v>
      </c>
      <c r="G22" s="7">
        <f t="shared" si="8"/>
        <v>1302.7</v>
      </c>
      <c r="H22" s="7">
        <f t="shared" si="8"/>
        <v>1049.5</v>
      </c>
      <c r="I22" s="7">
        <f t="shared" si="8"/>
        <v>1049.5</v>
      </c>
      <c r="J22" s="7">
        <f t="shared" si="8"/>
        <v>1049.5</v>
      </c>
      <c r="K22" s="7">
        <f t="shared" si="8"/>
        <v>1049.5</v>
      </c>
      <c r="L22" s="7">
        <f t="shared" si="8"/>
        <v>779</v>
      </c>
      <c r="M22" s="7">
        <f t="shared" si="3"/>
        <v>74.22582181991424</v>
      </c>
    </row>
    <row r="23" spans="1:13" ht="31.5">
      <c r="A23" s="31" t="s">
        <v>175</v>
      </c>
      <c r="B23" s="42" t="s">
        <v>170</v>
      </c>
      <c r="C23" s="42" t="s">
        <v>267</v>
      </c>
      <c r="D23" s="42" t="s">
        <v>176</v>
      </c>
      <c r="E23" s="8"/>
      <c r="F23" s="7">
        <f>F24</f>
        <v>1138.7</v>
      </c>
      <c r="G23" s="7">
        <f t="shared" si="8"/>
        <v>1302.7</v>
      </c>
      <c r="H23" s="7">
        <f t="shared" si="8"/>
        <v>1049.5</v>
      </c>
      <c r="I23" s="7">
        <f t="shared" si="8"/>
        <v>1049.5</v>
      </c>
      <c r="J23" s="7">
        <f t="shared" si="8"/>
        <v>1049.5</v>
      </c>
      <c r="K23" s="7">
        <f t="shared" si="8"/>
        <v>1049.5</v>
      </c>
      <c r="L23" s="7">
        <f t="shared" si="8"/>
        <v>779</v>
      </c>
      <c r="M23" s="7">
        <f t="shared" si="3"/>
        <v>74.22582181991424</v>
      </c>
    </row>
    <row r="24" spans="1:13" ht="47.25">
      <c r="A24" s="31" t="s">
        <v>632</v>
      </c>
      <c r="B24" s="42" t="s">
        <v>170</v>
      </c>
      <c r="C24" s="42" t="s">
        <v>267</v>
      </c>
      <c r="D24" s="42" t="s">
        <v>633</v>
      </c>
      <c r="E24" s="42"/>
      <c r="F24" s="7">
        <f>F25+F27</f>
        <v>1138.7</v>
      </c>
      <c r="G24" s="7">
        <f aca="true" t="shared" si="9" ref="G24:K24">G25+G27</f>
        <v>1302.7</v>
      </c>
      <c r="H24" s="7">
        <f t="shared" si="9"/>
        <v>1049.5</v>
      </c>
      <c r="I24" s="7">
        <f t="shared" si="9"/>
        <v>1049.5</v>
      </c>
      <c r="J24" s="7">
        <f t="shared" si="9"/>
        <v>1049.5</v>
      </c>
      <c r="K24" s="7">
        <f t="shared" si="9"/>
        <v>1049.5</v>
      </c>
      <c r="L24" s="7">
        <f aca="true" t="shared" si="10" ref="L24">L25+L27</f>
        <v>779</v>
      </c>
      <c r="M24" s="7">
        <f t="shared" si="3"/>
        <v>74.22582181991424</v>
      </c>
    </row>
    <row r="25" spans="1:13" ht="78.75">
      <c r="A25" s="31" t="s">
        <v>179</v>
      </c>
      <c r="B25" s="42" t="s">
        <v>170</v>
      </c>
      <c r="C25" s="42" t="s">
        <v>267</v>
      </c>
      <c r="D25" s="42" t="s">
        <v>633</v>
      </c>
      <c r="E25" s="42" t="s">
        <v>180</v>
      </c>
      <c r="F25" s="63">
        <f>F26</f>
        <v>1003.7</v>
      </c>
      <c r="G25" s="63">
        <f aca="true" t="shared" si="11" ref="G25:L25">G26</f>
        <v>1164.7</v>
      </c>
      <c r="H25" s="63">
        <f t="shared" si="11"/>
        <v>956.5</v>
      </c>
      <c r="I25" s="63">
        <f t="shared" si="11"/>
        <v>956.5</v>
      </c>
      <c r="J25" s="63">
        <f t="shared" si="11"/>
        <v>956.5</v>
      </c>
      <c r="K25" s="63">
        <f t="shared" si="11"/>
        <v>956.5</v>
      </c>
      <c r="L25" s="63">
        <f t="shared" si="11"/>
        <v>733.5</v>
      </c>
      <c r="M25" s="7">
        <f t="shared" si="3"/>
        <v>76.6858337689493</v>
      </c>
    </row>
    <row r="26" spans="1:13" ht="31.5">
      <c r="A26" s="31" t="s">
        <v>181</v>
      </c>
      <c r="B26" s="42" t="s">
        <v>170</v>
      </c>
      <c r="C26" s="42" t="s">
        <v>267</v>
      </c>
      <c r="D26" s="42" t="s">
        <v>633</v>
      </c>
      <c r="E26" s="42" t="s">
        <v>182</v>
      </c>
      <c r="F26" s="63">
        <f>'Прил.№4 ведомств.'!G1079</f>
        <v>1003.7</v>
      </c>
      <c r="G26" s="63">
        <f>'Прил.№4 ведомств.'!I1079</f>
        <v>1164.7</v>
      </c>
      <c r="H26" s="63">
        <f>'Прил.№4 ведомств.'!J1079</f>
        <v>956.5</v>
      </c>
      <c r="I26" s="63">
        <f>'Прил.№4 ведомств.'!K1079</f>
        <v>956.5</v>
      </c>
      <c r="J26" s="63">
        <f>'Прил.№4 ведомств.'!L1079</f>
        <v>956.5</v>
      </c>
      <c r="K26" s="63">
        <f>'Прил.№4 ведомств.'!M1079</f>
        <v>956.5</v>
      </c>
      <c r="L26" s="63">
        <f>'Прил.№4 ведомств.'!N1079</f>
        <v>733.5</v>
      </c>
      <c r="M26" s="7">
        <f t="shared" si="3"/>
        <v>76.6858337689493</v>
      </c>
    </row>
    <row r="27" spans="1:13" ht="31.5">
      <c r="A27" s="31" t="s">
        <v>183</v>
      </c>
      <c r="B27" s="42" t="s">
        <v>170</v>
      </c>
      <c r="C27" s="42" t="s">
        <v>267</v>
      </c>
      <c r="D27" s="42" t="s">
        <v>633</v>
      </c>
      <c r="E27" s="42" t="s">
        <v>184</v>
      </c>
      <c r="F27" s="7">
        <f>F28</f>
        <v>135</v>
      </c>
      <c r="G27" s="7">
        <f aca="true" t="shared" si="12" ref="G27:L27">G28</f>
        <v>138</v>
      </c>
      <c r="H27" s="7">
        <f t="shared" si="12"/>
        <v>93</v>
      </c>
      <c r="I27" s="7">
        <f t="shared" si="12"/>
        <v>93</v>
      </c>
      <c r="J27" s="7">
        <f t="shared" si="12"/>
        <v>93</v>
      </c>
      <c r="K27" s="7">
        <f t="shared" si="12"/>
        <v>93</v>
      </c>
      <c r="L27" s="7">
        <f t="shared" si="12"/>
        <v>45.5</v>
      </c>
      <c r="M27" s="7">
        <f t="shared" si="3"/>
        <v>48.924731182795696</v>
      </c>
    </row>
    <row r="28" spans="1:13" ht="47.25">
      <c r="A28" s="31" t="s">
        <v>185</v>
      </c>
      <c r="B28" s="42" t="s">
        <v>170</v>
      </c>
      <c r="C28" s="42" t="s">
        <v>267</v>
      </c>
      <c r="D28" s="42" t="s">
        <v>633</v>
      </c>
      <c r="E28" s="42" t="s">
        <v>186</v>
      </c>
      <c r="F28" s="7">
        <f>'Прил.№4 ведомств.'!G1081</f>
        <v>135</v>
      </c>
      <c r="G28" s="7">
        <f>'Прил.№4 ведомств.'!I1081</f>
        <v>138</v>
      </c>
      <c r="H28" s="7">
        <f>'Прил.№4 ведомств.'!J1081</f>
        <v>93</v>
      </c>
      <c r="I28" s="7">
        <f>'Прил.№4 ведомств.'!K1081</f>
        <v>93</v>
      </c>
      <c r="J28" s="7">
        <f>'Прил.№4 ведомств.'!L1081</f>
        <v>93</v>
      </c>
      <c r="K28" s="7">
        <f>'Прил.№4 ведомств.'!M1081</f>
        <v>93</v>
      </c>
      <c r="L28" s="7">
        <f>'Прил.№4 ведомств.'!N1081</f>
        <v>45.5</v>
      </c>
      <c r="M28" s="7">
        <f t="shared" si="3"/>
        <v>48.924731182795696</v>
      </c>
    </row>
    <row r="29" spans="1:13" ht="15.75" customHeight="1" hidden="1">
      <c r="A29" s="31" t="s">
        <v>187</v>
      </c>
      <c r="B29" s="42" t="s">
        <v>170</v>
      </c>
      <c r="C29" s="42" t="s">
        <v>267</v>
      </c>
      <c r="D29" s="42" t="s">
        <v>633</v>
      </c>
      <c r="E29" s="42" t="s">
        <v>197</v>
      </c>
      <c r="F29" s="7">
        <f>F30</f>
        <v>0</v>
      </c>
      <c r="G29" s="7">
        <f aca="true" t="shared" si="13" ref="G29:L29">G30</f>
        <v>0</v>
      </c>
      <c r="H29" s="7">
        <f t="shared" si="13"/>
        <v>0</v>
      </c>
      <c r="I29" s="7">
        <f t="shared" si="13"/>
        <v>0</v>
      </c>
      <c r="J29" s="7">
        <f t="shared" si="13"/>
        <v>0</v>
      </c>
      <c r="K29" s="7">
        <f t="shared" si="13"/>
        <v>0</v>
      </c>
      <c r="L29" s="7">
        <f t="shared" si="13"/>
        <v>0</v>
      </c>
      <c r="M29" s="4" t="e">
        <f t="shared" si="3"/>
        <v>#DIV/0!</v>
      </c>
    </row>
    <row r="30" spans="1:13" ht="15.75" customHeight="1" hidden="1">
      <c r="A30" s="31" t="s">
        <v>189</v>
      </c>
      <c r="B30" s="42" t="s">
        <v>170</v>
      </c>
      <c r="C30" s="42" t="s">
        <v>267</v>
      </c>
      <c r="D30" s="42" t="s">
        <v>633</v>
      </c>
      <c r="E30" s="42" t="s">
        <v>190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4" t="e">
        <f t="shared" si="3"/>
        <v>#DIV/0!</v>
      </c>
    </row>
    <row r="31" spans="1:13" ht="70.5" customHeight="1">
      <c r="A31" s="43" t="s">
        <v>201</v>
      </c>
      <c r="B31" s="8" t="s">
        <v>170</v>
      </c>
      <c r="C31" s="8" t="s">
        <v>202</v>
      </c>
      <c r="D31" s="8"/>
      <c r="E31" s="8"/>
      <c r="F31" s="4">
        <f>F32</f>
        <v>62597.19999999999</v>
      </c>
      <c r="G31" s="4">
        <f aca="true" t="shared" si="14" ref="G31:L31">G32</f>
        <v>59087.51960784313</v>
      </c>
      <c r="H31" s="4">
        <f t="shared" si="14"/>
        <v>60573.200000000004</v>
      </c>
      <c r="I31" s="4">
        <f t="shared" si="14"/>
        <v>60922.1</v>
      </c>
      <c r="J31" s="4">
        <f t="shared" si="14"/>
        <v>61133.4</v>
      </c>
      <c r="K31" s="4">
        <f t="shared" si="14"/>
        <v>62620.4</v>
      </c>
      <c r="L31" s="4">
        <f t="shared" si="14"/>
        <v>30995.000000000004</v>
      </c>
      <c r="M31" s="4">
        <f t="shared" si="3"/>
        <v>49.496649654106335</v>
      </c>
    </row>
    <row r="32" spans="1:13" ht="15.75">
      <c r="A32" s="31" t="s">
        <v>173</v>
      </c>
      <c r="B32" s="42" t="s">
        <v>170</v>
      </c>
      <c r="C32" s="42" t="s">
        <v>202</v>
      </c>
      <c r="D32" s="42" t="s">
        <v>174</v>
      </c>
      <c r="E32" s="42"/>
      <c r="F32" s="7">
        <f aca="true" t="shared" si="15" ref="F32:K32">F33+F50</f>
        <v>62597.19999999999</v>
      </c>
      <c r="G32" s="7">
        <f t="shared" si="15"/>
        <v>59087.51960784313</v>
      </c>
      <c r="H32" s="7">
        <f t="shared" si="15"/>
        <v>60573.200000000004</v>
      </c>
      <c r="I32" s="7">
        <f t="shared" si="15"/>
        <v>60922.1</v>
      </c>
      <c r="J32" s="7">
        <f t="shared" si="15"/>
        <v>61133.4</v>
      </c>
      <c r="K32" s="7">
        <f t="shared" si="15"/>
        <v>62620.4</v>
      </c>
      <c r="L32" s="7">
        <f aca="true" t="shared" si="16" ref="L32">L33+L50</f>
        <v>30995.000000000004</v>
      </c>
      <c r="M32" s="7">
        <f t="shared" si="3"/>
        <v>49.496649654106335</v>
      </c>
    </row>
    <row r="33" spans="1:13" ht="31.5">
      <c r="A33" s="31" t="s">
        <v>175</v>
      </c>
      <c r="B33" s="42" t="s">
        <v>170</v>
      </c>
      <c r="C33" s="42" t="s">
        <v>202</v>
      </c>
      <c r="D33" s="42" t="s">
        <v>176</v>
      </c>
      <c r="E33" s="42"/>
      <c r="F33" s="7">
        <f>F34+F42</f>
        <v>54518.19999999999</v>
      </c>
      <c r="G33" s="7">
        <f aca="true" t="shared" si="17" ref="G33:J33">G34+G42</f>
        <v>51051.919607843134</v>
      </c>
      <c r="H33" s="7">
        <f t="shared" si="17"/>
        <v>58233.3</v>
      </c>
      <c r="I33" s="7">
        <f t="shared" si="17"/>
        <v>58582.2</v>
      </c>
      <c r="J33" s="7">
        <f t="shared" si="17"/>
        <v>58793.5</v>
      </c>
      <c r="K33" s="7">
        <f>K34+K42+K45</f>
        <v>60066.9</v>
      </c>
      <c r="L33" s="7">
        <f aca="true" t="shared" si="18" ref="L33">L34+L42+L45</f>
        <v>29970.600000000002</v>
      </c>
      <c r="M33" s="7">
        <f t="shared" si="3"/>
        <v>49.89536666616722</v>
      </c>
    </row>
    <row r="34" spans="1:13" ht="47.25">
      <c r="A34" s="31" t="s">
        <v>177</v>
      </c>
      <c r="B34" s="42" t="s">
        <v>170</v>
      </c>
      <c r="C34" s="42" t="s">
        <v>202</v>
      </c>
      <c r="D34" s="42" t="s">
        <v>178</v>
      </c>
      <c r="E34" s="42"/>
      <c r="F34" s="7">
        <f>F35+F37+F39</f>
        <v>50972.59999999999</v>
      </c>
      <c r="G34" s="7">
        <f aca="true" t="shared" si="19" ref="G34:K34">G35+G37+G39</f>
        <v>47506.319607843136</v>
      </c>
      <c r="H34" s="7">
        <f t="shared" si="19"/>
        <v>55000.5</v>
      </c>
      <c r="I34" s="7">
        <f t="shared" si="19"/>
        <v>55349.399999999994</v>
      </c>
      <c r="J34" s="7">
        <f t="shared" si="19"/>
        <v>55560.7</v>
      </c>
      <c r="K34" s="7">
        <f t="shared" si="19"/>
        <v>54023.5</v>
      </c>
      <c r="L34" s="7">
        <f aca="true" t="shared" si="20" ref="L34">L35+L37+L39</f>
        <v>27305.8</v>
      </c>
      <c r="M34" s="7">
        <f t="shared" si="3"/>
        <v>50.544300165668645</v>
      </c>
    </row>
    <row r="35" spans="1:13" ht="78.75">
      <c r="A35" s="31" t="s">
        <v>179</v>
      </c>
      <c r="B35" s="42" t="s">
        <v>170</v>
      </c>
      <c r="C35" s="42" t="s">
        <v>202</v>
      </c>
      <c r="D35" s="42" t="s">
        <v>178</v>
      </c>
      <c r="E35" s="42" t="s">
        <v>180</v>
      </c>
      <c r="F35" s="63">
        <f>F36</f>
        <v>44371.2</v>
      </c>
      <c r="G35" s="63">
        <f aca="true" t="shared" si="21" ref="G35:L35">G36</f>
        <v>42661.55294117647</v>
      </c>
      <c r="H35" s="63">
        <f t="shared" si="21"/>
        <v>46277.4</v>
      </c>
      <c r="I35" s="63">
        <f t="shared" si="21"/>
        <v>46277.4</v>
      </c>
      <c r="J35" s="63">
        <f t="shared" si="21"/>
        <v>46277.4</v>
      </c>
      <c r="K35" s="63">
        <f t="shared" si="21"/>
        <v>46023.9</v>
      </c>
      <c r="L35" s="63">
        <f t="shared" si="21"/>
        <v>24776.699999999997</v>
      </c>
      <c r="M35" s="7">
        <f t="shared" si="3"/>
        <v>53.8344208117956</v>
      </c>
    </row>
    <row r="36" spans="1:13" ht="31.5">
      <c r="A36" s="31" t="s">
        <v>181</v>
      </c>
      <c r="B36" s="42" t="s">
        <v>170</v>
      </c>
      <c r="C36" s="42" t="s">
        <v>202</v>
      </c>
      <c r="D36" s="42" t="s">
        <v>178</v>
      </c>
      <c r="E36" s="42" t="s">
        <v>182</v>
      </c>
      <c r="F36" s="63">
        <f>'Прил.№4 ведомств.'!G535+'Прил.№4 ведомств.'!G36</f>
        <v>44371.2</v>
      </c>
      <c r="G36" s="63">
        <f>'Прил.№4 ведомств.'!I535+'Прил.№4 ведомств.'!I36</f>
        <v>42661.55294117647</v>
      </c>
      <c r="H36" s="63">
        <f>'Прил.№4 ведомств.'!J535+'Прил.№4 ведомств.'!J36</f>
        <v>46277.4</v>
      </c>
      <c r="I36" s="63">
        <f>'Прил.№4 ведомств.'!K535+'Прил.№4 ведомств.'!K36</f>
        <v>46277.4</v>
      </c>
      <c r="J36" s="63">
        <f>'Прил.№4 ведомств.'!L535+'Прил.№4 ведомств.'!L36</f>
        <v>46277.4</v>
      </c>
      <c r="K36" s="63">
        <f>'Прил.№4 ведомств.'!M535+'Прил.№4 ведомств.'!M36</f>
        <v>46023.9</v>
      </c>
      <c r="L36" s="63">
        <f>'Прил.№4 ведомств.'!N535+'Прил.№4 ведомств.'!N36</f>
        <v>24776.699999999997</v>
      </c>
      <c r="M36" s="7">
        <f t="shared" si="3"/>
        <v>53.8344208117956</v>
      </c>
    </row>
    <row r="37" spans="1:13" ht="31.5">
      <c r="A37" s="31" t="s">
        <v>183</v>
      </c>
      <c r="B37" s="42" t="s">
        <v>170</v>
      </c>
      <c r="C37" s="42" t="s">
        <v>202</v>
      </c>
      <c r="D37" s="42" t="s">
        <v>178</v>
      </c>
      <c r="E37" s="42" t="s">
        <v>184</v>
      </c>
      <c r="F37" s="7">
        <f>F38</f>
        <v>6404.2</v>
      </c>
      <c r="G37" s="7">
        <f aca="true" t="shared" si="22" ref="G37:L37">G38</f>
        <v>4499.266666666666</v>
      </c>
      <c r="H37" s="7">
        <f t="shared" si="22"/>
        <v>8525.900000000001</v>
      </c>
      <c r="I37" s="7">
        <f t="shared" si="22"/>
        <v>8874.8</v>
      </c>
      <c r="J37" s="7">
        <f t="shared" si="22"/>
        <v>9086.1</v>
      </c>
      <c r="K37" s="7">
        <f t="shared" si="22"/>
        <v>7744</v>
      </c>
      <c r="L37" s="7">
        <f t="shared" si="22"/>
        <v>2441.9</v>
      </c>
      <c r="M37" s="7">
        <f t="shared" si="3"/>
        <v>31.53279958677686</v>
      </c>
    </row>
    <row r="38" spans="1:13" ht="47.25">
      <c r="A38" s="31" t="s">
        <v>185</v>
      </c>
      <c r="B38" s="42" t="s">
        <v>170</v>
      </c>
      <c r="C38" s="42" t="s">
        <v>202</v>
      </c>
      <c r="D38" s="42" t="s">
        <v>178</v>
      </c>
      <c r="E38" s="42" t="s">
        <v>186</v>
      </c>
      <c r="F38" s="7">
        <f>'Прил.№4 ведомств.'!G38+'Прил.№4 ведомств.'!G537</f>
        <v>6404.2</v>
      </c>
      <c r="G38" s="7">
        <f>'Прил.№4 ведомств.'!I38+'Прил.№4 ведомств.'!I537</f>
        <v>4499.266666666666</v>
      </c>
      <c r="H38" s="7">
        <f>'Прил.№4 ведомств.'!J38+'Прил.№4 ведомств.'!J537</f>
        <v>8525.900000000001</v>
      </c>
      <c r="I38" s="7">
        <f>'Прил.№4 ведомств.'!K38+'Прил.№4 ведомств.'!K537</f>
        <v>8874.8</v>
      </c>
      <c r="J38" s="7">
        <f>'Прил.№4 ведомств.'!L38+'Прил.№4 ведомств.'!L537</f>
        <v>9086.1</v>
      </c>
      <c r="K38" s="7">
        <f>'Прил.№4 ведомств.'!M38+'Прил.№4 ведомств.'!M537</f>
        <v>7744</v>
      </c>
      <c r="L38" s="7">
        <f>'Прил.№4 ведомств.'!N38+'Прил.№4 ведомств.'!N537</f>
        <v>2441.9</v>
      </c>
      <c r="M38" s="7">
        <f t="shared" si="3"/>
        <v>31.53279958677686</v>
      </c>
    </row>
    <row r="39" spans="1:13" ht="15.75">
      <c r="A39" s="31" t="s">
        <v>187</v>
      </c>
      <c r="B39" s="42" t="s">
        <v>170</v>
      </c>
      <c r="C39" s="42" t="s">
        <v>202</v>
      </c>
      <c r="D39" s="42" t="s">
        <v>178</v>
      </c>
      <c r="E39" s="42" t="s">
        <v>197</v>
      </c>
      <c r="F39" s="7">
        <f>F40</f>
        <v>197.2</v>
      </c>
      <c r="G39" s="7">
        <f aca="true" t="shared" si="23" ref="G39:L39">G40</f>
        <v>345.5</v>
      </c>
      <c r="H39" s="7">
        <f t="shared" si="23"/>
        <v>197.2</v>
      </c>
      <c r="I39" s="7">
        <f t="shared" si="23"/>
        <v>197.2</v>
      </c>
      <c r="J39" s="7">
        <f t="shared" si="23"/>
        <v>197.2</v>
      </c>
      <c r="K39" s="7">
        <f t="shared" si="23"/>
        <v>255.60000000000002</v>
      </c>
      <c r="L39" s="7">
        <f t="shared" si="23"/>
        <v>87.19999999999999</v>
      </c>
      <c r="M39" s="7">
        <f t="shared" si="3"/>
        <v>34.11580594679185</v>
      </c>
    </row>
    <row r="40" spans="1:13" ht="15.75">
      <c r="A40" s="31" t="s">
        <v>621</v>
      </c>
      <c r="B40" s="42" t="s">
        <v>170</v>
      </c>
      <c r="C40" s="42" t="s">
        <v>202</v>
      </c>
      <c r="D40" s="42" t="s">
        <v>178</v>
      </c>
      <c r="E40" s="42" t="s">
        <v>190</v>
      </c>
      <c r="F40" s="7">
        <f>'Прил.№4 ведомств.'!G539+'Прил.№4 ведомств.'!G40</f>
        <v>197.2</v>
      </c>
      <c r="G40" s="7">
        <f>'Прил.№4 ведомств.'!I539+'Прил.№4 ведомств.'!I40</f>
        <v>345.5</v>
      </c>
      <c r="H40" s="7">
        <f>'Прил.№4 ведомств.'!J539+'Прил.№4 ведомств.'!J40</f>
        <v>197.2</v>
      </c>
      <c r="I40" s="7">
        <f>'Прил.№4 ведомств.'!K539+'Прил.№4 ведомств.'!K40</f>
        <v>197.2</v>
      </c>
      <c r="J40" s="7">
        <f>'Прил.№4 ведомств.'!L539+'Прил.№4 ведомств.'!L40</f>
        <v>197.2</v>
      </c>
      <c r="K40" s="7">
        <f>'Прил.№4 ведомств.'!M539+'Прил.№4 ведомств.'!M40</f>
        <v>255.60000000000002</v>
      </c>
      <c r="L40" s="7">
        <f>'Прил.№4 ведомств.'!N539+'Прил.№4 ведомств.'!N40</f>
        <v>87.19999999999999</v>
      </c>
      <c r="M40" s="7">
        <f t="shared" si="3"/>
        <v>34.11580594679185</v>
      </c>
    </row>
    <row r="41" spans="1:13" ht="31.5">
      <c r="A41" s="26" t="s">
        <v>647</v>
      </c>
      <c r="B41" s="42" t="s">
        <v>170</v>
      </c>
      <c r="C41" s="42" t="s">
        <v>202</v>
      </c>
      <c r="D41" s="42" t="s">
        <v>204</v>
      </c>
      <c r="E41" s="42"/>
      <c r="F41" s="7">
        <f>F42</f>
        <v>3545.6</v>
      </c>
      <c r="G41" s="7">
        <f aca="true" t="shared" si="24" ref="G41:L43">G42</f>
        <v>3545.6</v>
      </c>
      <c r="H41" s="7">
        <f t="shared" si="24"/>
        <v>3232.8</v>
      </c>
      <c r="I41" s="7">
        <f t="shared" si="24"/>
        <v>3232.8</v>
      </c>
      <c r="J41" s="7">
        <f t="shared" si="24"/>
        <v>3232.8</v>
      </c>
      <c r="K41" s="7">
        <f t="shared" si="24"/>
        <v>3545.6</v>
      </c>
      <c r="L41" s="7">
        <f t="shared" si="24"/>
        <v>1137.9</v>
      </c>
      <c r="M41" s="7">
        <f t="shared" si="3"/>
        <v>32.093298736462096</v>
      </c>
    </row>
    <row r="42" spans="1:13" ht="31.5">
      <c r="A42" s="31" t="s">
        <v>203</v>
      </c>
      <c r="B42" s="42" t="s">
        <v>170</v>
      </c>
      <c r="C42" s="42" t="s">
        <v>202</v>
      </c>
      <c r="D42" s="42" t="s">
        <v>204</v>
      </c>
      <c r="E42" s="42"/>
      <c r="F42" s="7">
        <f>F43</f>
        <v>3545.6</v>
      </c>
      <c r="G42" s="7">
        <f t="shared" si="24"/>
        <v>3545.6</v>
      </c>
      <c r="H42" s="7">
        <f t="shared" si="24"/>
        <v>3232.8</v>
      </c>
      <c r="I42" s="7">
        <f t="shared" si="24"/>
        <v>3232.8</v>
      </c>
      <c r="J42" s="7">
        <f t="shared" si="24"/>
        <v>3232.8</v>
      </c>
      <c r="K42" s="7">
        <f t="shared" si="24"/>
        <v>3545.6</v>
      </c>
      <c r="L42" s="7">
        <f t="shared" si="24"/>
        <v>1137.9</v>
      </c>
      <c r="M42" s="7">
        <f t="shared" si="3"/>
        <v>32.093298736462096</v>
      </c>
    </row>
    <row r="43" spans="1:13" ht="78.75">
      <c r="A43" s="31" t="s">
        <v>179</v>
      </c>
      <c r="B43" s="42" t="s">
        <v>170</v>
      </c>
      <c r="C43" s="42" t="s">
        <v>202</v>
      </c>
      <c r="D43" s="42" t="s">
        <v>204</v>
      </c>
      <c r="E43" s="42" t="s">
        <v>180</v>
      </c>
      <c r="F43" s="63">
        <f>F44</f>
        <v>3545.6</v>
      </c>
      <c r="G43" s="63">
        <f t="shared" si="24"/>
        <v>3545.6</v>
      </c>
      <c r="H43" s="63">
        <f t="shared" si="24"/>
        <v>3232.8</v>
      </c>
      <c r="I43" s="63">
        <f t="shared" si="24"/>
        <v>3232.8</v>
      </c>
      <c r="J43" s="63">
        <f t="shared" si="24"/>
        <v>3232.8</v>
      </c>
      <c r="K43" s="63">
        <f t="shared" si="24"/>
        <v>3545.6</v>
      </c>
      <c r="L43" s="63">
        <f t="shared" si="24"/>
        <v>1137.9</v>
      </c>
      <c r="M43" s="7">
        <f t="shared" si="3"/>
        <v>32.093298736462096</v>
      </c>
    </row>
    <row r="44" spans="1:13" ht="31.5">
      <c r="A44" s="31" t="s">
        <v>181</v>
      </c>
      <c r="B44" s="42" t="s">
        <v>170</v>
      </c>
      <c r="C44" s="42" t="s">
        <v>202</v>
      </c>
      <c r="D44" s="42" t="s">
        <v>204</v>
      </c>
      <c r="E44" s="42" t="s">
        <v>182</v>
      </c>
      <c r="F44" s="63">
        <f>'Прил.№4 ведомств.'!G43</f>
        <v>3545.6</v>
      </c>
      <c r="G44" s="63">
        <f>'Прил.№4 ведомств.'!I43</f>
        <v>3545.6</v>
      </c>
      <c r="H44" s="63">
        <f>'Прил.№4 ведомств.'!J43</f>
        <v>3232.8</v>
      </c>
      <c r="I44" s="63">
        <f>'Прил.№4 ведомств.'!K43</f>
        <v>3232.8</v>
      </c>
      <c r="J44" s="63">
        <f>'Прил.№4 ведомств.'!L43</f>
        <v>3232.8</v>
      </c>
      <c r="K44" s="63">
        <f>'Прил.№4 ведомств.'!M43</f>
        <v>3545.6</v>
      </c>
      <c r="L44" s="63">
        <f>'Прил.№4 ведомств.'!N43</f>
        <v>1137.9</v>
      </c>
      <c r="M44" s="7">
        <f t="shared" si="3"/>
        <v>32.093298736462096</v>
      </c>
    </row>
    <row r="45" spans="1:13" ht="47.25">
      <c r="A45" s="31" t="s">
        <v>262</v>
      </c>
      <c r="B45" s="42" t="s">
        <v>170</v>
      </c>
      <c r="C45" s="42" t="s">
        <v>202</v>
      </c>
      <c r="D45" s="42" t="s">
        <v>967</v>
      </c>
      <c r="E45" s="42"/>
      <c r="F45" s="63"/>
      <c r="G45" s="63"/>
      <c r="H45" s="63"/>
      <c r="I45" s="63"/>
      <c r="J45" s="63"/>
      <c r="K45" s="63">
        <f>K46+K48</f>
        <v>2497.8</v>
      </c>
      <c r="L45" s="63">
        <f aca="true" t="shared" si="25" ref="L45">L46+L48</f>
        <v>1526.9</v>
      </c>
      <c r="M45" s="7">
        <f t="shared" si="3"/>
        <v>61.12979421891265</v>
      </c>
    </row>
    <row r="46" spans="1:13" ht="78.75">
      <c r="A46" s="31" t="s">
        <v>179</v>
      </c>
      <c r="B46" s="42" t="s">
        <v>170</v>
      </c>
      <c r="C46" s="42" t="s">
        <v>202</v>
      </c>
      <c r="D46" s="42" t="s">
        <v>967</v>
      </c>
      <c r="E46" s="42" t="s">
        <v>180</v>
      </c>
      <c r="F46" s="63"/>
      <c r="G46" s="63"/>
      <c r="H46" s="63"/>
      <c r="I46" s="63"/>
      <c r="J46" s="63"/>
      <c r="K46" s="63">
        <f>K47</f>
        <v>1872.4</v>
      </c>
      <c r="L46" s="63">
        <f aca="true" t="shared" si="26" ref="L46">L47</f>
        <v>1283.5</v>
      </c>
      <c r="M46" s="7">
        <f t="shared" si="3"/>
        <v>68.54838709677419</v>
      </c>
    </row>
    <row r="47" spans="1:13" ht="31.5">
      <c r="A47" s="31" t="s">
        <v>181</v>
      </c>
      <c r="B47" s="42" t="s">
        <v>170</v>
      </c>
      <c r="C47" s="42" t="s">
        <v>202</v>
      </c>
      <c r="D47" s="42" t="s">
        <v>967</v>
      </c>
      <c r="E47" s="42" t="s">
        <v>182</v>
      </c>
      <c r="F47" s="63"/>
      <c r="G47" s="63"/>
      <c r="H47" s="63"/>
      <c r="I47" s="63"/>
      <c r="J47" s="63"/>
      <c r="K47" s="63">
        <f>'Прил.№4 ведомств.'!M46</f>
        <v>1872.4</v>
      </c>
      <c r="L47" s="63">
        <f>'Прил.№4 ведомств.'!N46</f>
        <v>1283.5</v>
      </c>
      <c r="M47" s="7">
        <f t="shared" si="3"/>
        <v>68.54838709677419</v>
      </c>
    </row>
    <row r="48" spans="1:13" ht="31.5">
      <c r="A48" s="31" t="s">
        <v>183</v>
      </c>
      <c r="B48" s="42" t="s">
        <v>170</v>
      </c>
      <c r="C48" s="42" t="s">
        <v>202</v>
      </c>
      <c r="D48" s="42" t="s">
        <v>967</v>
      </c>
      <c r="E48" s="42" t="s">
        <v>184</v>
      </c>
      <c r="F48" s="63"/>
      <c r="G48" s="63"/>
      <c r="H48" s="63"/>
      <c r="I48" s="63"/>
      <c r="J48" s="63"/>
      <c r="K48" s="63">
        <f>K49</f>
        <v>625.4</v>
      </c>
      <c r="L48" s="63">
        <f aca="true" t="shared" si="27" ref="L48">L49</f>
        <v>243.4</v>
      </c>
      <c r="M48" s="7">
        <f t="shared" si="3"/>
        <v>38.91909178125999</v>
      </c>
    </row>
    <row r="49" spans="1:13" ht="48" customHeight="1">
      <c r="A49" s="31" t="s">
        <v>185</v>
      </c>
      <c r="B49" s="42" t="s">
        <v>170</v>
      </c>
      <c r="C49" s="42" t="s">
        <v>202</v>
      </c>
      <c r="D49" s="42" t="s">
        <v>967</v>
      </c>
      <c r="E49" s="42" t="s">
        <v>186</v>
      </c>
      <c r="F49" s="63"/>
      <c r="G49" s="63"/>
      <c r="H49" s="63"/>
      <c r="I49" s="63"/>
      <c r="J49" s="63"/>
      <c r="K49" s="63">
        <f>'Прил.№4 ведомств.'!M48</f>
        <v>625.4</v>
      </c>
      <c r="L49" s="63">
        <f>'Прил.№4 ведомств.'!N48</f>
        <v>243.4</v>
      </c>
      <c r="M49" s="7">
        <f t="shared" si="3"/>
        <v>38.91909178125999</v>
      </c>
    </row>
    <row r="50" spans="1:13" ht="15.75">
      <c r="A50" s="26" t="s">
        <v>193</v>
      </c>
      <c r="B50" s="21" t="s">
        <v>170</v>
      </c>
      <c r="C50" s="21" t="s">
        <v>202</v>
      </c>
      <c r="D50" s="21" t="s">
        <v>194</v>
      </c>
      <c r="E50" s="21"/>
      <c r="F50" s="30">
        <f>F51</f>
        <v>8079</v>
      </c>
      <c r="G50" s="30">
        <f aca="true" t="shared" si="28" ref="G50:L50">G51</f>
        <v>8035.6</v>
      </c>
      <c r="H50" s="30">
        <f t="shared" si="28"/>
        <v>2339.9</v>
      </c>
      <c r="I50" s="30">
        <f t="shared" si="28"/>
        <v>2339.9</v>
      </c>
      <c r="J50" s="30">
        <f t="shared" si="28"/>
        <v>2339.9</v>
      </c>
      <c r="K50" s="30">
        <f t="shared" si="28"/>
        <v>2553.5</v>
      </c>
      <c r="L50" s="30">
        <f t="shared" si="28"/>
        <v>1024.4</v>
      </c>
      <c r="M50" s="7">
        <f t="shared" si="3"/>
        <v>40.117485803798715</v>
      </c>
    </row>
    <row r="51" spans="1:13" ht="36.75" customHeight="1">
      <c r="A51" s="26" t="s">
        <v>205</v>
      </c>
      <c r="B51" s="21" t="s">
        <v>170</v>
      </c>
      <c r="C51" s="21" t="s">
        <v>202</v>
      </c>
      <c r="D51" s="21" t="s">
        <v>206</v>
      </c>
      <c r="E51" s="21"/>
      <c r="F51" s="27">
        <f>F52+F54</f>
        <v>8079</v>
      </c>
      <c r="G51" s="27">
        <f aca="true" t="shared" si="29" ref="G51:K51">G52+G54</f>
        <v>8035.6</v>
      </c>
      <c r="H51" s="27">
        <f t="shared" si="29"/>
        <v>2339.9</v>
      </c>
      <c r="I51" s="27">
        <f t="shared" si="29"/>
        <v>2339.9</v>
      </c>
      <c r="J51" s="27">
        <f t="shared" si="29"/>
        <v>2339.9</v>
      </c>
      <c r="K51" s="27">
        <f t="shared" si="29"/>
        <v>2553.5</v>
      </c>
      <c r="L51" s="27">
        <f aca="true" t="shared" si="30" ref="L51">L52+L54</f>
        <v>1024.4</v>
      </c>
      <c r="M51" s="7">
        <f t="shared" si="3"/>
        <v>40.117485803798715</v>
      </c>
    </row>
    <row r="52" spans="1:13" ht="84" customHeight="1">
      <c r="A52" s="26" t="s">
        <v>179</v>
      </c>
      <c r="B52" s="21" t="s">
        <v>170</v>
      </c>
      <c r="C52" s="21" t="s">
        <v>202</v>
      </c>
      <c r="D52" s="21" t="s">
        <v>206</v>
      </c>
      <c r="E52" s="21" t="s">
        <v>180</v>
      </c>
      <c r="F52" s="27">
        <f>F53</f>
        <v>5821.2</v>
      </c>
      <c r="G52" s="27">
        <f aca="true" t="shared" si="31" ref="G52:L52">G53</f>
        <v>5817.2</v>
      </c>
      <c r="H52" s="27">
        <f t="shared" si="31"/>
        <v>2339.9</v>
      </c>
      <c r="I52" s="27">
        <f t="shared" si="31"/>
        <v>2339.9</v>
      </c>
      <c r="J52" s="27">
        <f t="shared" si="31"/>
        <v>2339.9</v>
      </c>
      <c r="K52" s="27">
        <f t="shared" si="31"/>
        <v>2553.5</v>
      </c>
      <c r="L52" s="27">
        <f t="shared" si="31"/>
        <v>1024.4</v>
      </c>
      <c r="M52" s="7">
        <f t="shared" si="3"/>
        <v>40.117485803798715</v>
      </c>
    </row>
    <row r="53" spans="1:13" ht="31.5">
      <c r="A53" s="26" t="s">
        <v>181</v>
      </c>
      <c r="B53" s="21" t="s">
        <v>170</v>
      </c>
      <c r="C53" s="21" t="s">
        <v>202</v>
      </c>
      <c r="D53" s="21" t="s">
        <v>206</v>
      </c>
      <c r="E53" s="21" t="s">
        <v>182</v>
      </c>
      <c r="F53" s="28">
        <f>'Прил.№4 ведомств.'!G52</f>
        <v>5821.2</v>
      </c>
      <c r="G53" s="28">
        <f>'Прил.№4 ведомств.'!I52</f>
        <v>5817.2</v>
      </c>
      <c r="H53" s="28">
        <f>'Прил.№4 ведомств.'!J52</f>
        <v>2339.9</v>
      </c>
      <c r="I53" s="28">
        <f>'Прил.№4 ведомств.'!K52</f>
        <v>2339.9</v>
      </c>
      <c r="J53" s="28">
        <f>'Прил.№4 ведомств.'!L52</f>
        <v>2339.9</v>
      </c>
      <c r="K53" s="28">
        <f>'Прил.№4 ведомств.'!M52</f>
        <v>2553.5</v>
      </c>
      <c r="L53" s="28">
        <f>'Прил.№4 ведомств.'!N52</f>
        <v>1024.4</v>
      </c>
      <c r="M53" s="7">
        <f t="shared" si="3"/>
        <v>40.117485803798715</v>
      </c>
    </row>
    <row r="54" spans="1:13" ht="31.5" hidden="1">
      <c r="A54" s="26" t="s">
        <v>183</v>
      </c>
      <c r="B54" s="21" t="s">
        <v>170</v>
      </c>
      <c r="C54" s="21" t="s">
        <v>202</v>
      </c>
      <c r="D54" s="21" t="s">
        <v>206</v>
      </c>
      <c r="E54" s="21" t="s">
        <v>184</v>
      </c>
      <c r="F54" s="27">
        <f>F55</f>
        <v>2257.8</v>
      </c>
      <c r="G54" s="27">
        <f aca="true" t="shared" si="32" ref="G54:L54">G55</f>
        <v>2218.4</v>
      </c>
      <c r="H54" s="27">
        <f t="shared" si="32"/>
        <v>0</v>
      </c>
      <c r="I54" s="27">
        <f t="shared" si="32"/>
        <v>0</v>
      </c>
      <c r="J54" s="27">
        <f t="shared" si="32"/>
        <v>0</v>
      </c>
      <c r="K54" s="27">
        <f t="shared" si="32"/>
        <v>0</v>
      </c>
      <c r="L54" s="27">
        <f t="shared" si="32"/>
        <v>0</v>
      </c>
      <c r="M54" s="4" t="e">
        <f t="shared" si="3"/>
        <v>#DIV/0!</v>
      </c>
    </row>
    <row r="55" spans="1:13" ht="47.25" hidden="1">
      <c r="A55" s="26" t="s">
        <v>185</v>
      </c>
      <c r="B55" s="21" t="s">
        <v>170</v>
      </c>
      <c r="C55" s="21" t="s">
        <v>202</v>
      </c>
      <c r="D55" s="21" t="s">
        <v>206</v>
      </c>
      <c r="E55" s="21" t="s">
        <v>186</v>
      </c>
      <c r="F55" s="28">
        <f>'Прил.№4 ведомств.'!G54</f>
        <v>2257.8</v>
      </c>
      <c r="G55" s="28">
        <f>'Прил.№4 ведомств.'!I54</f>
        <v>2218.4</v>
      </c>
      <c r="H55" s="28">
        <f>'Прил.№4 ведомств.'!J54</f>
        <v>0</v>
      </c>
      <c r="I55" s="28">
        <f>'Прил.№4 ведомств.'!K54</f>
        <v>0</v>
      </c>
      <c r="J55" s="28">
        <f>'Прил.№4 ведомств.'!L54</f>
        <v>0</v>
      </c>
      <c r="K55" s="28">
        <f>'Прил.№4 ведомств.'!M54</f>
        <v>0</v>
      </c>
      <c r="L55" s="28">
        <f>'Прил.№4 ведомств.'!N54</f>
        <v>0</v>
      </c>
      <c r="M55" s="4" t="e">
        <f t="shared" si="3"/>
        <v>#DIV/0!</v>
      </c>
    </row>
    <row r="56" spans="1:13" ht="47.25">
      <c r="A56" s="43" t="s">
        <v>171</v>
      </c>
      <c r="B56" s="8" t="s">
        <v>170</v>
      </c>
      <c r="C56" s="8" t="s">
        <v>172</v>
      </c>
      <c r="D56" s="8"/>
      <c r="E56" s="8"/>
      <c r="F56" s="4">
        <f>F57</f>
        <v>16933.86</v>
      </c>
      <c r="G56" s="4">
        <f aca="true" t="shared" si="33" ref="G56:L58">G57</f>
        <v>16560.6</v>
      </c>
      <c r="H56" s="4">
        <f t="shared" si="33"/>
        <v>20031.6</v>
      </c>
      <c r="I56" s="4">
        <f t="shared" si="33"/>
        <v>20031.6</v>
      </c>
      <c r="J56" s="4">
        <f t="shared" si="33"/>
        <v>20031.6</v>
      </c>
      <c r="K56" s="4">
        <f t="shared" si="33"/>
        <v>17015.4</v>
      </c>
      <c r="L56" s="4">
        <f t="shared" si="33"/>
        <v>7393.2</v>
      </c>
      <c r="M56" s="4">
        <f t="shared" si="3"/>
        <v>43.45005113015268</v>
      </c>
    </row>
    <row r="57" spans="1:13" ht="15.75">
      <c r="A57" s="31" t="s">
        <v>173</v>
      </c>
      <c r="B57" s="42" t="s">
        <v>170</v>
      </c>
      <c r="C57" s="42" t="s">
        <v>172</v>
      </c>
      <c r="D57" s="42" t="s">
        <v>174</v>
      </c>
      <c r="E57" s="42"/>
      <c r="F57" s="7">
        <f>F58</f>
        <v>16933.86</v>
      </c>
      <c r="G57" s="7">
        <f t="shared" si="33"/>
        <v>16560.6</v>
      </c>
      <c r="H57" s="7">
        <f t="shared" si="33"/>
        <v>20031.6</v>
      </c>
      <c r="I57" s="7">
        <f t="shared" si="33"/>
        <v>20031.6</v>
      </c>
      <c r="J57" s="7">
        <f t="shared" si="33"/>
        <v>20031.6</v>
      </c>
      <c r="K57" s="7">
        <f t="shared" si="33"/>
        <v>17015.4</v>
      </c>
      <c r="L57" s="7">
        <f t="shared" si="33"/>
        <v>7393.2</v>
      </c>
      <c r="M57" s="7">
        <f t="shared" si="3"/>
        <v>43.45005113015268</v>
      </c>
    </row>
    <row r="58" spans="1:13" ht="31.5">
      <c r="A58" s="31" t="s">
        <v>175</v>
      </c>
      <c r="B58" s="42" t="s">
        <v>170</v>
      </c>
      <c r="C58" s="42" t="s">
        <v>172</v>
      </c>
      <c r="D58" s="42" t="s">
        <v>176</v>
      </c>
      <c r="E58" s="42"/>
      <c r="F58" s="7">
        <f>F59</f>
        <v>16933.86</v>
      </c>
      <c r="G58" s="7">
        <f t="shared" si="33"/>
        <v>16560.6</v>
      </c>
      <c r="H58" s="7">
        <f t="shared" si="33"/>
        <v>20031.6</v>
      </c>
      <c r="I58" s="7">
        <f t="shared" si="33"/>
        <v>20031.6</v>
      </c>
      <c r="J58" s="7">
        <f t="shared" si="33"/>
        <v>20031.6</v>
      </c>
      <c r="K58" s="7">
        <f t="shared" si="33"/>
        <v>17015.4</v>
      </c>
      <c r="L58" s="7">
        <f t="shared" si="33"/>
        <v>7393.2</v>
      </c>
      <c r="M58" s="7">
        <f t="shared" si="3"/>
        <v>43.45005113015268</v>
      </c>
    </row>
    <row r="59" spans="1:13" ht="47.25">
      <c r="A59" s="31" t="s">
        <v>177</v>
      </c>
      <c r="B59" s="42" t="s">
        <v>170</v>
      </c>
      <c r="C59" s="42" t="s">
        <v>172</v>
      </c>
      <c r="D59" s="42" t="s">
        <v>178</v>
      </c>
      <c r="E59" s="42"/>
      <c r="F59" s="7">
        <f>F60+F62+F64</f>
        <v>16933.86</v>
      </c>
      <c r="G59" s="7">
        <f aca="true" t="shared" si="34" ref="G59:K59">G60+G62+G64</f>
        <v>16560.6</v>
      </c>
      <c r="H59" s="7">
        <f t="shared" si="34"/>
        <v>20031.6</v>
      </c>
      <c r="I59" s="7">
        <f t="shared" si="34"/>
        <v>20031.6</v>
      </c>
      <c r="J59" s="7">
        <f t="shared" si="34"/>
        <v>20031.6</v>
      </c>
      <c r="K59" s="7">
        <f t="shared" si="34"/>
        <v>17015.4</v>
      </c>
      <c r="L59" s="7">
        <f aca="true" t="shared" si="35" ref="L59">L60+L62+L64</f>
        <v>7393.2</v>
      </c>
      <c r="M59" s="7">
        <f t="shared" si="3"/>
        <v>43.45005113015268</v>
      </c>
    </row>
    <row r="60" spans="1:13" ht="78.75">
      <c r="A60" s="31" t="s">
        <v>179</v>
      </c>
      <c r="B60" s="42" t="s">
        <v>170</v>
      </c>
      <c r="C60" s="42" t="s">
        <v>172</v>
      </c>
      <c r="D60" s="42" t="s">
        <v>178</v>
      </c>
      <c r="E60" s="42" t="s">
        <v>180</v>
      </c>
      <c r="F60" s="7">
        <f>F61</f>
        <v>15585.2</v>
      </c>
      <c r="G60" s="7">
        <f aca="true" t="shared" si="36" ref="G60:L60">G61</f>
        <v>15200.9</v>
      </c>
      <c r="H60" s="7">
        <f t="shared" si="36"/>
        <v>17912.3</v>
      </c>
      <c r="I60" s="7">
        <f t="shared" si="36"/>
        <v>17912.3</v>
      </c>
      <c r="J60" s="7">
        <f t="shared" si="36"/>
        <v>17912.3</v>
      </c>
      <c r="K60" s="7">
        <f t="shared" si="36"/>
        <v>15436.7</v>
      </c>
      <c r="L60" s="7">
        <f t="shared" si="36"/>
        <v>7167</v>
      </c>
      <c r="M60" s="7">
        <f t="shared" si="3"/>
        <v>46.428316933023254</v>
      </c>
    </row>
    <row r="61" spans="1:13" ht="31.5">
      <c r="A61" s="31" t="s">
        <v>181</v>
      </c>
      <c r="B61" s="42" t="s">
        <v>170</v>
      </c>
      <c r="C61" s="42" t="s">
        <v>172</v>
      </c>
      <c r="D61" s="42" t="s">
        <v>178</v>
      </c>
      <c r="E61" s="42" t="s">
        <v>182</v>
      </c>
      <c r="F61" s="63">
        <f>'Прил.№4 ведомств.'!G19+'Прил.№4 ведомств.'!G60+'Прил.№4 ведомств.'!G1089</f>
        <v>15585.2</v>
      </c>
      <c r="G61" s="63">
        <f>'Прил.№4 ведомств.'!I19+'Прил.№4 ведомств.'!I60+'Прил.№4 ведомств.'!I1089</f>
        <v>15200.9</v>
      </c>
      <c r="H61" s="63">
        <f>'Прил.№4 ведомств.'!J19+'Прил.№4 ведомств.'!J60+'Прил.№4 ведомств.'!J1089</f>
        <v>17912.3</v>
      </c>
      <c r="I61" s="63">
        <f>'Прил.№4 ведомств.'!K19+'Прил.№4 ведомств.'!K60+'Прил.№4 ведомств.'!K1089</f>
        <v>17912.3</v>
      </c>
      <c r="J61" s="63">
        <f>'Прил.№4 ведомств.'!L19+'Прил.№4 ведомств.'!L60+'Прил.№4 ведомств.'!L1089</f>
        <v>17912.3</v>
      </c>
      <c r="K61" s="63">
        <f>'Прил.№4 ведомств.'!M19+'Прил.№4 ведомств.'!M60+'Прил.№4 ведомств.'!M1089</f>
        <v>15436.7</v>
      </c>
      <c r="L61" s="63">
        <f>'Прил.№4 ведомств.'!N19+'Прил.№4 ведомств.'!N60+'Прил.№4 ведомств.'!N1089</f>
        <v>7167</v>
      </c>
      <c r="M61" s="7">
        <f t="shared" si="3"/>
        <v>46.428316933023254</v>
      </c>
    </row>
    <row r="62" spans="1:13" ht="31.5">
      <c r="A62" s="31" t="s">
        <v>183</v>
      </c>
      <c r="B62" s="42" t="s">
        <v>170</v>
      </c>
      <c r="C62" s="42" t="s">
        <v>172</v>
      </c>
      <c r="D62" s="42" t="s">
        <v>178</v>
      </c>
      <c r="E62" s="42" t="s">
        <v>184</v>
      </c>
      <c r="F62" s="7">
        <f>F63</f>
        <v>1320.6599999999999</v>
      </c>
      <c r="G62" s="7">
        <f aca="true" t="shared" si="37" ref="G62:L62">G63</f>
        <v>1320.7</v>
      </c>
      <c r="H62" s="7">
        <f t="shared" si="37"/>
        <v>2091.3</v>
      </c>
      <c r="I62" s="7">
        <f t="shared" si="37"/>
        <v>2091.3</v>
      </c>
      <c r="J62" s="7">
        <f t="shared" si="37"/>
        <v>2091.3</v>
      </c>
      <c r="K62" s="7">
        <f t="shared" si="37"/>
        <v>1550.7</v>
      </c>
      <c r="L62" s="7">
        <f t="shared" si="37"/>
        <v>225.7</v>
      </c>
      <c r="M62" s="7">
        <f t="shared" si="3"/>
        <v>14.554717224479266</v>
      </c>
    </row>
    <row r="63" spans="1:13" ht="47.25">
      <c r="A63" s="31" t="s">
        <v>185</v>
      </c>
      <c r="B63" s="42" t="s">
        <v>170</v>
      </c>
      <c r="C63" s="42" t="s">
        <v>172</v>
      </c>
      <c r="D63" s="42" t="s">
        <v>178</v>
      </c>
      <c r="E63" s="42" t="s">
        <v>186</v>
      </c>
      <c r="F63" s="7">
        <f>'Прил.№4 ведомств.'!G1091+'Прил.№4 ведомств.'!G21</f>
        <v>1320.6599999999999</v>
      </c>
      <c r="G63" s="7">
        <f>'Прил.№4 ведомств.'!I1091+'Прил.№4 ведомств.'!I21</f>
        <v>1320.7</v>
      </c>
      <c r="H63" s="7">
        <f>'Прил.№4 ведомств.'!J1091+'Прил.№4 ведомств.'!J21</f>
        <v>2091.3</v>
      </c>
      <c r="I63" s="7">
        <f>'Прил.№4 ведомств.'!K1091+'Прил.№4 ведомств.'!K21</f>
        <v>2091.3</v>
      </c>
      <c r="J63" s="7">
        <f>'Прил.№4 ведомств.'!L1091+'Прил.№4 ведомств.'!L21</f>
        <v>2091.3</v>
      </c>
      <c r="K63" s="7">
        <f>'Прил.№4 ведомств.'!M1091+'Прил.№4 ведомств.'!M21</f>
        <v>1550.7</v>
      </c>
      <c r="L63" s="7">
        <f>'Прил.№4 ведомств.'!N1091+'Прил.№4 ведомств.'!N21</f>
        <v>225.7</v>
      </c>
      <c r="M63" s="7">
        <f t="shared" si="3"/>
        <v>14.554717224479266</v>
      </c>
    </row>
    <row r="64" spans="1:13" ht="15.75">
      <c r="A64" s="31" t="s">
        <v>187</v>
      </c>
      <c r="B64" s="42" t="s">
        <v>170</v>
      </c>
      <c r="C64" s="42" t="s">
        <v>172</v>
      </c>
      <c r="D64" s="42" t="s">
        <v>178</v>
      </c>
      <c r="E64" s="42" t="s">
        <v>197</v>
      </c>
      <c r="F64" s="7">
        <f>F65</f>
        <v>28</v>
      </c>
      <c r="G64" s="7">
        <f aca="true" t="shared" si="38" ref="G64:L64">G65</f>
        <v>39</v>
      </c>
      <c r="H64" s="7">
        <f t="shared" si="38"/>
        <v>28</v>
      </c>
      <c r="I64" s="7">
        <f t="shared" si="38"/>
        <v>28</v>
      </c>
      <c r="J64" s="7">
        <f t="shared" si="38"/>
        <v>28</v>
      </c>
      <c r="K64" s="7">
        <f t="shared" si="38"/>
        <v>28</v>
      </c>
      <c r="L64" s="7">
        <f t="shared" si="38"/>
        <v>0.5</v>
      </c>
      <c r="M64" s="7">
        <f t="shared" si="3"/>
        <v>1.7857142857142856</v>
      </c>
    </row>
    <row r="65" spans="1:13" ht="15.75">
      <c r="A65" s="31" t="s">
        <v>621</v>
      </c>
      <c r="B65" s="42" t="s">
        <v>170</v>
      </c>
      <c r="C65" s="42" t="s">
        <v>172</v>
      </c>
      <c r="D65" s="42" t="s">
        <v>178</v>
      </c>
      <c r="E65" s="42" t="s">
        <v>190</v>
      </c>
      <c r="F65" s="7">
        <f>'Прил.№4 ведомств.'!G23</f>
        <v>28</v>
      </c>
      <c r="G65" s="7">
        <f>'Прил.№4 ведомств.'!I23</f>
        <v>39</v>
      </c>
      <c r="H65" s="7">
        <f>'Прил.№4 ведомств.'!J23</f>
        <v>28</v>
      </c>
      <c r="I65" s="7">
        <f>'Прил.№4 ведомств.'!K23</f>
        <v>28</v>
      </c>
      <c r="J65" s="7">
        <f>'Прил.№4 ведомств.'!L23</f>
        <v>28</v>
      </c>
      <c r="K65" s="7">
        <f>'Прил.№4 ведомств.'!M23</f>
        <v>28</v>
      </c>
      <c r="L65" s="7">
        <f>'Прил.№4 ведомств.'!N23</f>
        <v>0.5</v>
      </c>
      <c r="M65" s="7">
        <f t="shared" si="3"/>
        <v>1.7857142857142856</v>
      </c>
    </row>
    <row r="66" spans="1:13" ht="31.5" customHeight="1" hidden="1">
      <c r="A66" s="64" t="s">
        <v>648</v>
      </c>
      <c r="B66" s="9" t="s">
        <v>170</v>
      </c>
      <c r="C66" s="9" t="s">
        <v>316</v>
      </c>
      <c r="D66" s="9"/>
      <c r="E66" s="9"/>
      <c r="F66" s="7">
        <f aca="true" t="shared" si="39" ref="F66:L70">F67</f>
        <v>0</v>
      </c>
      <c r="G66" s="7">
        <f t="shared" si="39"/>
        <v>0</v>
      </c>
      <c r="H66" s="7">
        <f t="shared" si="39"/>
        <v>0</v>
      </c>
      <c r="I66" s="7">
        <f t="shared" si="39"/>
        <v>0</v>
      </c>
      <c r="J66" s="7">
        <f t="shared" si="39"/>
        <v>0</v>
      </c>
      <c r="K66" s="7">
        <f t="shared" si="39"/>
        <v>0</v>
      </c>
      <c r="L66" s="7">
        <f t="shared" si="39"/>
        <v>0</v>
      </c>
      <c r="M66" s="4" t="e">
        <f t="shared" si="3"/>
        <v>#DIV/0!</v>
      </c>
    </row>
    <row r="67" spans="1:13" ht="15.75" customHeight="1" hidden="1">
      <c r="A67" s="47" t="s">
        <v>173</v>
      </c>
      <c r="B67" s="10" t="s">
        <v>170</v>
      </c>
      <c r="C67" s="10" t="s">
        <v>316</v>
      </c>
      <c r="D67" s="10" t="s">
        <v>649</v>
      </c>
      <c r="E67" s="10"/>
      <c r="F67" s="7">
        <f t="shared" si="39"/>
        <v>0</v>
      </c>
      <c r="G67" s="7">
        <f t="shared" si="39"/>
        <v>0</v>
      </c>
      <c r="H67" s="7">
        <f t="shared" si="39"/>
        <v>0</v>
      </c>
      <c r="I67" s="7">
        <f t="shared" si="39"/>
        <v>0</v>
      </c>
      <c r="J67" s="7">
        <f t="shared" si="39"/>
        <v>0</v>
      </c>
      <c r="K67" s="7">
        <f t="shared" si="39"/>
        <v>0</v>
      </c>
      <c r="L67" s="7">
        <f t="shared" si="39"/>
        <v>0</v>
      </c>
      <c r="M67" s="4" t="e">
        <f t="shared" si="3"/>
        <v>#DIV/0!</v>
      </c>
    </row>
    <row r="68" spans="1:13" ht="15.75" customHeight="1" hidden="1">
      <c r="A68" s="47" t="s">
        <v>193</v>
      </c>
      <c r="B68" s="10" t="s">
        <v>170</v>
      </c>
      <c r="C68" s="10" t="s">
        <v>316</v>
      </c>
      <c r="D68" s="10" t="s">
        <v>650</v>
      </c>
      <c r="E68" s="10"/>
      <c r="F68" s="7">
        <f t="shared" si="39"/>
        <v>0</v>
      </c>
      <c r="G68" s="7">
        <f t="shared" si="39"/>
        <v>0</v>
      </c>
      <c r="H68" s="7">
        <f t="shared" si="39"/>
        <v>0</v>
      </c>
      <c r="I68" s="7">
        <f t="shared" si="39"/>
        <v>0</v>
      </c>
      <c r="J68" s="7">
        <f t="shared" si="39"/>
        <v>0</v>
      </c>
      <c r="K68" s="7">
        <f t="shared" si="39"/>
        <v>0</v>
      </c>
      <c r="L68" s="7">
        <f t="shared" si="39"/>
        <v>0</v>
      </c>
      <c r="M68" s="4" t="e">
        <f t="shared" si="3"/>
        <v>#DIV/0!</v>
      </c>
    </row>
    <row r="69" spans="1:13" ht="15.75" customHeight="1" hidden="1">
      <c r="A69" s="65" t="s">
        <v>651</v>
      </c>
      <c r="B69" s="10" t="s">
        <v>170</v>
      </c>
      <c r="C69" s="10" t="s">
        <v>316</v>
      </c>
      <c r="D69" s="6" t="s">
        <v>652</v>
      </c>
      <c r="E69" s="6"/>
      <c r="F69" s="7">
        <f>F70+F72</f>
        <v>0</v>
      </c>
      <c r="G69" s="7">
        <f aca="true" t="shared" si="40" ref="G69:K69">G70+G72</f>
        <v>0</v>
      </c>
      <c r="H69" s="7">
        <f t="shared" si="40"/>
        <v>0</v>
      </c>
      <c r="I69" s="7">
        <f t="shared" si="40"/>
        <v>0</v>
      </c>
      <c r="J69" s="7">
        <f t="shared" si="40"/>
        <v>0</v>
      </c>
      <c r="K69" s="7">
        <f t="shared" si="40"/>
        <v>0</v>
      </c>
      <c r="L69" s="7">
        <f aca="true" t="shared" si="41" ref="L69">L70+L72</f>
        <v>0</v>
      </c>
      <c r="M69" s="4" t="e">
        <f t="shared" si="3"/>
        <v>#DIV/0!</v>
      </c>
    </row>
    <row r="70" spans="1:13" ht="31.5" customHeight="1" hidden="1">
      <c r="A70" s="47" t="s">
        <v>183</v>
      </c>
      <c r="B70" s="10" t="s">
        <v>170</v>
      </c>
      <c r="C70" s="10" t="s">
        <v>316</v>
      </c>
      <c r="D70" s="6" t="s">
        <v>652</v>
      </c>
      <c r="E70" s="10" t="s">
        <v>184</v>
      </c>
      <c r="F70" s="7">
        <f t="shared" si="39"/>
        <v>0</v>
      </c>
      <c r="G70" s="7">
        <f t="shared" si="39"/>
        <v>0</v>
      </c>
      <c r="H70" s="7">
        <f t="shared" si="39"/>
        <v>0</v>
      </c>
      <c r="I70" s="7">
        <f t="shared" si="39"/>
        <v>0</v>
      </c>
      <c r="J70" s="7">
        <f t="shared" si="39"/>
        <v>0</v>
      </c>
      <c r="K70" s="7">
        <f t="shared" si="39"/>
        <v>0</v>
      </c>
      <c r="L70" s="7">
        <f t="shared" si="39"/>
        <v>0</v>
      </c>
      <c r="M70" s="4" t="e">
        <f t="shared" si="3"/>
        <v>#DIV/0!</v>
      </c>
    </row>
    <row r="71" spans="1:13" ht="47.25" customHeight="1" hidden="1">
      <c r="A71" s="47" t="s">
        <v>185</v>
      </c>
      <c r="B71" s="10" t="s">
        <v>170</v>
      </c>
      <c r="C71" s="10" t="s">
        <v>316</v>
      </c>
      <c r="D71" s="6" t="s">
        <v>652</v>
      </c>
      <c r="E71" s="10" t="s">
        <v>186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4" t="e">
        <f t="shared" si="3"/>
        <v>#DIV/0!</v>
      </c>
    </row>
    <row r="72" spans="1:13" ht="15.75" customHeight="1" hidden="1">
      <c r="A72" s="31" t="s">
        <v>187</v>
      </c>
      <c r="B72" s="10" t="s">
        <v>170</v>
      </c>
      <c r="C72" s="10" t="s">
        <v>316</v>
      </c>
      <c r="D72" s="6" t="s">
        <v>652</v>
      </c>
      <c r="E72" s="10" t="s">
        <v>197</v>
      </c>
      <c r="F72" s="7">
        <f>F73</f>
        <v>0</v>
      </c>
      <c r="G72" s="7">
        <f aca="true" t="shared" si="42" ref="G72:L72">G73</f>
        <v>0</v>
      </c>
      <c r="H72" s="7">
        <f t="shared" si="42"/>
        <v>0</v>
      </c>
      <c r="I72" s="7">
        <f t="shared" si="42"/>
        <v>0</v>
      </c>
      <c r="J72" s="7">
        <f t="shared" si="42"/>
        <v>0</v>
      </c>
      <c r="K72" s="7">
        <f t="shared" si="42"/>
        <v>0</v>
      </c>
      <c r="L72" s="7">
        <f t="shared" si="42"/>
        <v>0</v>
      </c>
      <c r="M72" s="4" t="e">
        <f t="shared" si="3"/>
        <v>#DIV/0!</v>
      </c>
    </row>
    <row r="73" spans="1:13" ht="15.75" customHeight="1" hidden="1">
      <c r="A73" s="31" t="s">
        <v>189</v>
      </c>
      <c r="B73" s="10" t="s">
        <v>170</v>
      </c>
      <c r="C73" s="10" t="s">
        <v>316</v>
      </c>
      <c r="D73" s="6" t="s">
        <v>652</v>
      </c>
      <c r="E73" s="10" t="s">
        <v>190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4" t="e">
        <f t="shared" si="3"/>
        <v>#DIV/0!</v>
      </c>
    </row>
    <row r="74" spans="1:15" ht="15.75">
      <c r="A74" s="43" t="s">
        <v>191</v>
      </c>
      <c r="B74" s="8" t="s">
        <v>170</v>
      </c>
      <c r="C74" s="8" t="s">
        <v>192</v>
      </c>
      <c r="D74" s="8"/>
      <c r="E74" s="8"/>
      <c r="F74" s="4">
        <f>F75+F79+F94+F107+F144+F127+F111</f>
        <v>33976.74</v>
      </c>
      <c r="G74" s="4">
        <f>G75+G79+G94+G107+G144+G127+G111</f>
        <v>27585.86</v>
      </c>
      <c r="H74" s="4">
        <f>H75+H79+H94+H107+H144+H127+H111</f>
        <v>51736.7</v>
      </c>
      <c r="I74" s="4">
        <f>I75+I79+I94+I107+I144+I127+I111</f>
        <v>52334.9</v>
      </c>
      <c r="J74" s="4">
        <f>J75+J79+J94+J107+J144+J127+J111</f>
        <v>52834.4</v>
      </c>
      <c r="K74" s="4">
        <f>K75+K79+K94+K107+K144+K127+K111+K140</f>
        <v>52238.2</v>
      </c>
      <c r="L74" s="4">
        <f aca="true" t="shared" si="43" ref="L74">L75+L79+L94+L107+L144+L127+L111+L140</f>
        <v>29519.600000000002</v>
      </c>
      <c r="M74" s="4">
        <f t="shared" si="3"/>
        <v>56.50960408283594</v>
      </c>
      <c r="N74">
        <v>3593.5</v>
      </c>
      <c r="O74" s="23">
        <f>K74-N74</f>
        <v>48644.7</v>
      </c>
    </row>
    <row r="75" spans="1:13" ht="47.25" hidden="1">
      <c r="A75" s="31" t="s">
        <v>207</v>
      </c>
      <c r="B75" s="42" t="s">
        <v>170</v>
      </c>
      <c r="C75" s="42" t="s">
        <v>192</v>
      </c>
      <c r="D75" s="42" t="s">
        <v>208</v>
      </c>
      <c r="E75" s="42"/>
      <c r="F75" s="7">
        <f>F77</f>
        <v>250</v>
      </c>
      <c r="G75" s="7">
        <f aca="true" t="shared" si="44" ref="G75:K75">G77</f>
        <v>250</v>
      </c>
      <c r="H75" s="7">
        <f t="shared" si="44"/>
        <v>0</v>
      </c>
      <c r="I75" s="7">
        <f t="shared" si="44"/>
        <v>0</v>
      </c>
      <c r="J75" s="7">
        <f t="shared" si="44"/>
        <v>0</v>
      </c>
      <c r="K75" s="7">
        <f t="shared" si="44"/>
        <v>0</v>
      </c>
      <c r="L75" s="7">
        <f aca="true" t="shared" si="45" ref="L75">L77</f>
        <v>0</v>
      </c>
      <c r="M75" s="4" t="e">
        <f t="shared" si="3"/>
        <v>#DIV/0!</v>
      </c>
    </row>
    <row r="76" spans="1:13" ht="31.5" hidden="1">
      <c r="A76" s="31" t="s">
        <v>209</v>
      </c>
      <c r="B76" s="42" t="s">
        <v>170</v>
      </c>
      <c r="C76" s="42" t="s">
        <v>192</v>
      </c>
      <c r="D76" s="42" t="s">
        <v>210</v>
      </c>
      <c r="E76" s="42"/>
      <c r="F76" s="7">
        <f>F77</f>
        <v>250</v>
      </c>
      <c r="G76" s="7">
        <f aca="true" t="shared" si="46" ref="G76:L77">G77</f>
        <v>250</v>
      </c>
      <c r="H76" s="7">
        <f t="shared" si="46"/>
        <v>0</v>
      </c>
      <c r="I76" s="7">
        <f t="shared" si="46"/>
        <v>0</v>
      </c>
      <c r="J76" s="7">
        <f t="shared" si="46"/>
        <v>0</v>
      </c>
      <c r="K76" s="7">
        <f t="shared" si="46"/>
        <v>0</v>
      </c>
      <c r="L76" s="7">
        <f t="shared" si="46"/>
        <v>0</v>
      </c>
      <c r="M76" s="4" t="e">
        <f t="shared" si="3"/>
        <v>#DIV/0!</v>
      </c>
    </row>
    <row r="77" spans="1:13" ht="15.75" hidden="1">
      <c r="A77" s="31" t="s">
        <v>187</v>
      </c>
      <c r="B77" s="42" t="s">
        <v>170</v>
      </c>
      <c r="C77" s="42" t="s">
        <v>192</v>
      </c>
      <c r="D77" s="42" t="s">
        <v>210</v>
      </c>
      <c r="E77" s="42" t="s">
        <v>197</v>
      </c>
      <c r="F77" s="7">
        <f>F78</f>
        <v>250</v>
      </c>
      <c r="G77" s="7">
        <f t="shared" si="46"/>
        <v>250</v>
      </c>
      <c r="H77" s="7">
        <f t="shared" si="46"/>
        <v>0</v>
      </c>
      <c r="I77" s="7">
        <f t="shared" si="46"/>
        <v>0</v>
      </c>
      <c r="J77" s="7">
        <f t="shared" si="46"/>
        <v>0</v>
      </c>
      <c r="K77" s="7">
        <f t="shared" si="46"/>
        <v>0</v>
      </c>
      <c r="L77" s="7">
        <f t="shared" si="46"/>
        <v>0</v>
      </c>
      <c r="M77" s="4" t="e">
        <f aca="true" t="shared" si="47" ref="M77:M140">L77/K77*100</f>
        <v>#DIV/0!</v>
      </c>
    </row>
    <row r="78" spans="1:13" ht="47.25" hidden="1">
      <c r="A78" s="31" t="s">
        <v>236</v>
      </c>
      <c r="B78" s="42" t="s">
        <v>170</v>
      </c>
      <c r="C78" s="42" t="s">
        <v>192</v>
      </c>
      <c r="D78" s="42" t="s">
        <v>210</v>
      </c>
      <c r="E78" s="42" t="s">
        <v>212</v>
      </c>
      <c r="F78" s="7">
        <f>'Прил.№4 ведомств.'!G67</f>
        <v>250</v>
      </c>
      <c r="G78" s="7">
        <f>'Прил.№4 ведомств.'!I67</f>
        <v>250</v>
      </c>
      <c r="H78" s="7">
        <f>'Прил.№4 ведомств.'!J67</f>
        <v>0</v>
      </c>
      <c r="I78" s="7">
        <f>'Прил.№4 ведомств.'!K67</f>
        <v>0</v>
      </c>
      <c r="J78" s="7">
        <f>'Прил.№4 ведомств.'!L67</f>
        <v>0</v>
      </c>
      <c r="K78" s="7">
        <f>'Прил.№4 ведомств.'!M67</f>
        <v>0</v>
      </c>
      <c r="L78" s="7">
        <f>'Прил.№4 ведомств.'!N67</f>
        <v>0</v>
      </c>
      <c r="M78" s="4" t="e">
        <f t="shared" si="47"/>
        <v>#DIV/0!</v>
      </c>
    </row>
    <row r="79" spans="1:15" ht="47.25">
      <c r="A79" s="31" t="s">
        <v>1014</v>
      </c>
      <c r="B79" s="42" t="s">
        <v>170</v>
      </c>
      <c r="C79" s="42" t="s">
        <v>192</v>
      </c>
      <c r="D79" s="42" t="s">
        <v>214</v>
      </c>
      <c r="E79" s="42"/>
      <c r="F79" s="7">
        <f>F80+F83+F88+F91</f>
        <v>654</v>
      </c>
      <c r="G79" s="7">
        <f aca="true" t="shared" si="48" ref="G79:K79">G80+G83+G88+G91</f>
        <v>654</v>
      </c>
      <c r="H79" s="7">
        <f t="shared" si="48"/>
        <v>669</v>
      </c>
      <c r="I79" s="7">
        <f t="shared" si="48"/>
        <v>669</v>
      </c>
      <c r="J79" s="7">
        <f t="shared" si="48"/>
        <v>669</v>
      </c>
      <c r="K79" s="7">
        <f t="shared" si="48"/>
        <v>741</v>
      </c>
      <c r="L79" s="7">
        <f aca="true" t="shared" si="49" ref="L79">L80+L83+L88+L91</f>
        <v>313.8</v>
      </c>
      <c r="M79" s="7">
        <f t="shared" si="47"/>
        <v>42.34817813765182</v>
      </c>
      <c r="O79">
        <v>30255.1</v>
      </c>
    </row>
    <row r="80" spans="1:15" ht="31.5">
      <c r="A80" s="31" t="s">
        <v>215</v>
      </c>
      <c r="B80" s="42" t="s">
        <v>170</v>
      </c>
      <c r="C80" s="42" t="s">
        <v>192</v>
      </c>
      <c r="D80" s="42" t="s">
        <v>216</v>
      </c>
      <c r="E80" s="42"/>
      <c r="F80" s="7">
        <f>F81</f>
        <v>428.1</v>
      </c>
      <c r="G80" s="7">
        <f aca="true" t="shared" si="50" ref="G80:L81">G81</f>
        <v>428.1</v>
      </c>
      <c r="H80" s="7">
        <f t="shared" si="50"/>
        <v>428.1</v>
      </c>
      <c r="I80" s="7">
        <f t="shared" si="50"/>
        <v>428.1</v>
      </c>
      <c r="J80" s="7">
        <f t="shared" si="50"/>
        <v>428.1</v>
      </c>
      <c r="K80" s="7">
        <f t="shared" si="50"/>
        <v>491</v>
      </c>
      <c r="L80" s="7">
        <f t="shared" si="50"/>
        <v>201.9</v>
      </c>
      <c r="M80" s="7">
        <f t="shared" si="47"/>
        <v>41.12016293279023</v>
      </c>
      <c r="O80" s="23">
        <f>O74-O79</f>
        <v>18389.6</v>
      </c>
    </row>
    <row r="81" spans="1:15" ht="31.5">
      <c r="A81" s="31" t="s">
        <v>183</v>
      </c>
      <c r="B81" s="42" t="s">
        <v>170</v>
      </c>
      <c r="C81" s="42" t="s">
        <v>192</v>
      </c>
      <c r="D81" s="42" t="s">
        <v>216</v>
      </c>
      <c r="E81" s="42" t="s">
        <v>184</v>
      </c>
      <c r="F81" s="7">
        <f>F82</f>
        <v>428.1</v>
      </c>
      <c r="G81" s="7">
        <f t="shared" si="50"/>
        <v>428.1</v>
      </c>
      <c r="H81" s="7">
        <f t="shared" si="50"/>
        <v>428.1</v>
      </c>
      <c r="I81" s="7">
        <f t="shared" si="50"/>
        <v>428.1</v>
      </c>
      <c r="J81" s="7">
        <f t="shared" si="50"/>
        <v>428.1</v>
      </c>
      <c r="K81" s="7">
        <f t="shared" si="50"/>
        <v>491</v>
      </c>
      <c r="L81" s="7">
        <f t="shared" si="50"/>
        <v>201.9</v>
      </c>
      <c r="M81" s="7">
        <f t="shared" si="47"/>
        <v>41.12016293279023</v>
      </c>
      <c r="O81">
        <f>3624.1-29</f>
        <v>3595.1</v>
      </c>
    </row>
    <row r="82" spans="1:15" ht="47.25">
      <c r="A82" s="31" t="s">
        <v>185</v>
      </c>
      <c r="B82" s="42" t="s">
        <v>170</v>
      </c>
      <c r="C82" s="42" t="s">
        <v>192</v>
      </c>
      <c r="D82" s="42" t="s">
        <v>216</v>
      </c>
      <c r="E82" s="42" t="s">
        <v>186</v>
      </c>
      <c r="F82" s="7">
        <f>'Прил.№4 ведомств.'!G71</f>
        <v>428.1</v>
      </c>
      <c r="G82" s="7">
        <f>'Прил.№4 ведомств.'!I71</f>
        <v>428.1</v>
      </c>
      <c r="H82" s="7">
        <f>'Прил.№4 ведомств.'!J71</f>
        <v>428.1</v>
      </c>
      <c r="I82" s="7">
        <f>'Прил.№4 ведомств.'!K71</f>
        <v>428.1</v>
      </c>
      <c r="J82" s="7">
        <f>'Прил.№4 ведомств.'!L71</f>
        <v>428.1</v>
      </c>
      <c r="K82" s="7">
        <f>'Прил.№4 ведомств.'!M71</f>
        <v>491</v>
      </c>
      <c r="L82" s="7">
        <f>'Прил.№4 ведомств.'!N71</f>
        <v>201.9</v>
      </c>
      <c r="M82" s="7">
        <f t="shared" si="47"/>
        <v>41.12016293279023</v>
      </c>
      <c r="O82">
        <f>3624.1+175</f>
        <v>3799.1</v>
      </c>
    </row>
    <row r="83" spans="1:13" ht="63">
      <c r="A83" s="120" t="s">
        <v>217</v>
      </c>
      <c r="B83" s="42" t="s">
        <v>170</v>
      </c>
      <c r="C83" s="42" t="s">
        <v>192</v>
      </c>
      <c r="D83" s="42" t="s">
        <v>218</v>
      </c>
      <c r="E83" s="42"/>
      <c r="F83" s="7">
        <f>F84+F86</f>
        <v>224.89999999999998</v>
      </c>
      <c r="G83" s="7">
        <f aca="true" t="shared" si="51" ref="G83:K83">G84+G86</f>
        <v>224.89999999999998</v>
      </c>
      <c r="H83" s="7">
        <f t="shared" si="51"/>
        <v>239.89999999999998</v>
      </c>
      <c r="I83" s="7">
        <f t="shared" si="51"/>
        <v>239.89999999999998</v>
      </c>
      <c r="J83" s="7">
        <f t="shared" si="51"/>
        <v>239.89999999999998</v>
      </c>
      <c r="K83" s="7">
        <f t="shared" si="51"/>
        <v>249.5</v>
      </c>
      <c r="L83" s="7">
        <f aca="true" t="shared" si="52" ref="L83">L84+L86</f>
        <v>111.9</v>
      </c>
      <c r="M83" s="7">
        <f t="shared" si="47"/>
        <v>44.8496993987976</v>
      </c>
    </row>
    <row r="84" spans="1:13" ht="78.75">
      <c r="A84" s="31" t="s">
        <v>179</v>
      </c>
      <c r="B84" s="42" t="s">
        <v>170</v>
      </c>
      <c r="C84" s="42" t="s">
        <v>192</v>
      </c>
      <c r="D84" s="42" t="s">
        <v>218</v>
      </c>
      <c r="E84" s="42" t="s">
        <v>180</v>
      </c>
      <c r="F84" s="7">
        <f>F85</f>
        <v>159.7</v>
      </c>
      <c r="G84" s="7">
        <f aca="true" t="shared" si="53" ref="G84:L84">G85</f>
        <v>159.7</v>
      </c>
      <c r="H84" s="7">
        <f t="shared" si="53"/>
        <v>159.7</v>
      </c>
      <c r="I84" s="7">
        <f t="shared" si="53"/>
        <v>159.7</v>
      </c>
      <c r="J84" s="7">
        <f t="shared" si="53"/>
        <v>159.7</v>
      </c>
      <c r="K84" s="7">
        <f t="shared" si="53"/>
        <v>159.7</v>
      </c>
      <c r="L84" s="7">
        <f t="shared" si="53"/>
        <v>86.4</v>
      </c>
      <c r="M84" s="7">
        <f t="shared" si="47"/>
        <v>54.10144020037572</v>
      </c>
    </row>
    <row r="85" spans="1:13" ht="31.5">
      <c r="A85" s="31" t="s">
        <v>181</v>
      </c>
      <c r="B85" s="42" t="s">
        <v>170</v>
      </c>
      <c r="C85" s="42" t="s">
        <v>192</v>
      </c>
      <c r="D85" s="42" t="s">
        <v>218</v>
      </c>
      <c r="E85" s="42" t="s">
        <v>182</v>
      </c>
      <c r="F85" s="7">
        <f>'Прил.№4 ведомств.'!G74</f>
        <v>159.7</v>
      </c>
      <c r="G85" s="7">
        <f>'Прил.№4 ведомств.'!I74</f>
        <v>159.7</v>
      </c>
      <c r="H85" s="7">
        <f>'Прил.№4 ведомств.'!J74</f>
        <v>159.7</v>
      </c>
      <c r="I85" s="7">
        <f>'Прил.№4 ведомств.'!K74</f>
        <v>159.7</v>
      </c>
      <c r="J85" s="7">
        <f>'Прил.№4 ведомств.'!L74</f>
        <v>159.7</v>
      </c>
      <c r="K85" s="7">
        <f>'Прил.№4 ведомств.'!M74</f>
        <v>159.7</v>
      </c>
      <c r="L85" s="7">
        <f>'Прил.№4 ведомств.'!N74</f>
        <v>86.4</v>
      </c>
      <c r="M85" s="7">
        <f t="shared" si="47"/>
        <v>54.10144020037572</v>
      </c>
    </row>
    <row r="86" spans="1:13" ht="31.5">
      <c r="A86" s="26" t="s">
        <v>183</v>
      </c>
      <c r="B86" s="42" t="s">
        <v>170</v>
      </c>
      <c r="C86" s="42" t="s">
        <v>192</v>
      </c>
      <c r="D86" s="42" t="s">
        <v>218</v>
      </c>
      <c r="E86" s="42" t="s">
        <v>184</v>
      </c>
      <c r="F86" s="7">
        <f>F87</f>
        <v>65.2</v>
      </c>
      <c r="G86" s="7">
        <f aca="true" t="shared" si="54" ref="G86:L86">G87</f>
        <v>65.2</v>
      </c>
      <c r="H86" s="7">
        <f t="shared" si="54"/>
        <v>80.19999999999999</v>
      </c>
      <c r="I86" s="7">
        <f t="shared" si="54"/>
        <v>80.19999999999999</v>
      </c>
      <c r="J86" s="7">
        <f t="shared" si="54"/>
        <v>80.19999999999999</v>
      </c>
      <c r="K86" s="7">
        <f t="shared" si="54"/>
        <v>89.80000000000001</v>
      </c>
      <c r="L86" s="7">
        <f t="shared" si="54"/>
        <v>25.5</v>
      </c>
      <c r="M86" s="7">
        <f t="shared" si="47"/>
        <v>28.39643652561247</v>
      </c>
    </row>
    <row r="87" spans="1:13" ht="47.25">
      <c r="A87" s="26" t="s">
        <v>185</v>
      </c>
      <c r="B87" s="42" t="s">
        <v>170</v>
      </c>
      <c r="C87" s="42" t="s">
        <v>192</v>
      </c>
      <c r="D87" s="42" t="s">
        <v>218</v>
      </c>
      <c r="E87" s="42" t="s">
        <v>186</v>
      </c>
      <c r="F87" s="7">
        <f>'Прил.№4 ведомств.'!G76</f>
        <v>65.2</v>
      </c>
      <c r="G87" s="7">
        <f>'Прил.№4 ведомств.'!I76</f>
        <v>65.2</v>
      </c>
      <c r="H87" s="7">
        <f>'Прил.№4 ведомств.'!J76</f>
        <v>80.19999999999999</v>
      </c>
      <c r="I87" s="7">
        <f>'Прил.№4 ведомств.'!K76</f>
        <v>80.19999999999999</v>
      </c>
      <c r="J87" s="7">
        <f>'Прил.№4 ведомств.'!L76</f>
        <v>80.19999999999999</v>
      </c>
      <c r="K87" s="7">
        <f>'Прил.№4 ведомств.'!M76</f>
        <v>89.80000000000001</v>
      </c>
      <c r="L87" s="7">
        <f>'Прил.№4 ведомств.'!N76</f>
        <v>25.5</v>
      </c>
      <c r="M87" s="7">
        <f t="shared" si="47"/>
        <v>28.39643652561247</v>
      </c>
    </row>
    <row r="88" spans="1:13" ht="63">
      <c r="A88" s="33" t="s">
        <v>778</v>
      </c>
      <c r="B88" s="42" t="s">
        <v>170</v>
      </c>
      <c r="C88" s="42" t="s">
        <v>192</v>
      </c>
      <c r="D88" s="42" t="s">
        <v>779</v>
      </c>
      <c r="E88" s="42"/>
      <c r="F88" s="7">
        <f>F89</f>
        <v>0.5</v>
      </c>
      <c r="G88" s="7">
        <f aca="true" t="shared" si="55" ref="G88:L89">G89</f>
        <v>0.5</v>
      </c>
      <c r="H88" s="7">
        <f t="shared" si="55"/>
        <v>0.5</v>
      </c>
      <c r="I88" s="7">
        <f t="shared" si="55"/>
        <v>0.5</v>
      </c>
      <c r="J88" s="7">
        <f t="shared" si="55"/>
        <v>0.5</v>
      </c>
      <c r="K88" s="7">
        <f t="shared" si="55"/>
        <v>0.5</v>
      </c>
      <c r="L88" s="7">
        <f t="shared" si="55"/>
        <v>0</v>
      </c>
      <c r="M88" s="7">
        <f t="shared" si="47"/>
        <v>0</v>
      </c>
    </row>
    <row r="89" spans="1:13" ht="31.5">
      <c r="A89" s="26" t="s">
        <v>183</v>
      </c>
      <c r="B89" s="42" t="s">
        <v>170</v>
      </c>
      <c r="C89" s="42" t="s">
        <v>192</v>
      </c>
      <c r="D89" s="42" t="s">
        <v>779</v>
      </c>
      <c r="E89" s="42" t="s">
        <v>184</v>
      </c>
      <c r="F89" s="7">
        <f>F90</f>
        <v>0.5</v>
      </c>
      <c r="G89" s="7">
        <f t="shared" si="55"/>
        <v>0.5</v>
      </c>
      <c r="H89" s="7">
        <f t="shared" si="55"/>
        <v>0.5</v>
      </c>
      <c r="I89" s="7">
        <f t="shared" si="55"/>
        <v>0.5</v>
      </c>
      <c r="J89" s="7">
        <f t="shared" si="55"/>
        <v>0.5</v>
      </c>
      <c r="K89" s="7">
        <f t="shared" si="55"/>
        <v>0.5</v>
      </c>
      <c r="L89" s="7">
        <f t="shared" si="55"/>
        <v>0</v>
      </c>
      <c r="M89" s="7">
        <f t="shared" si="47"/>
        <v>0</v>
      </c>
    </row>
    <row r="90" spans="1:13" ht="47.25">
      <c r="A90" s="26" t="s">
        <v>185</v>
      </c>
      <c r="B90" s="42" t="s">
        <v>170</v>
      </c>
      <c r="C90" s="42" t="s">
        <v>192</v>
      </c>
      <c r="D90" s="42" t="s">
        <v>779</v>
      </c>
      <c r="E90" s="42" t="s">
        <v>186</v>
      </c>
      <c r="F90" s="7">
        <f>'Прил.№4 ведомств.'!G1096</f>
        <v>0.5</v>
      </c>
      <c r="G90" s="7">
        <f>'Прил.№4 ведомств.'!I1096</f>
        <v>0.5</v>
      </c>
      <c r="H90" s="7">
        <f>'Прил.№4 ведомств.'!J1096</f>
        <v>0.5</v>
      </c>
      <c r="I90" s="7">
        <f>'Прил.№4 ведомств.'!K1096</f>
        <v>0.5</v>
      </c>
      <c r="J90" s="7">
        <f>'Прил.№4 ведомств.'!L1096</f>
        <v>0.5</v>
      </c>
      <c r="K90" s="7">
        <f>'Прил.№4 ведомств.'!M1096</f>
        <v>0.5</v>
      </c>
      <c r="L90" s="7">
        <f>'Прил.№4 ведомств.'!N1096</f>
        <v>0</v>
      </c>
      <c r="M90" s="7">
        <f t="shared" si="47"/>
        <v>0</v>
      </c>
    </row>
    <row r="91" spans="1:13" ht="47.25" hidden="1">
      <c r="A91" s="35" t="s">
        <v>243</v>
      </c>
      <c r="B91" s="42" t="s">
        <v>170</v>
      </c>
      <c r="C91" s="42" t="s">
        <v>192</v>
      </c>
      <c r="D91" s="42" t="s">
        <v>765</v>
      </c>
      <c r="E91" s="42"/>
      <c r="F91" s="7">
        <f>F92</f>
        <v>0.5</v>
      </c>
      <c r="G91" s="7">
        <f aca="true" t="shared" si="56" ref="G91:L92">G92</f>
        <v>0.5</v>
      </c>
      <c r="H91" s="7">
        <f t="shared" si="56"/>
        <v>0.5</v>
      </c>
      <c r="I91" s="7">
        <f t="shared" si="56"/>
        <v>0.5</v>
      </c>
      <c r="J91" s="7">
        <f t="shared" si="56"/>
        <v>0.5</v>
      </c>
      <c r="K91" s="7">
        <f t="shared" si="56"/>
        <v>0</v>
      </c>
      <c r="L91" s="7">
        <f t="shared" si="56"/>
        <v>0</v>
      </c>
      <c r="M91" s="7" t="e">
        <f t="shared" si="47"/>
        <v>#DIV/0!</v>
      </c>
    </row>
    <row r="92" spans="1:13" ht="31.5" hidden="1">
      <c r="A92" s="26" t="s">
        <v>183</v>
      </c>
      <c r="B92" s="42" t="s">
        <v>170</v>
      </c>
      <c r="C92" s="42" t="s">
        <v>192</v>
      </c>
      <c r="D92" s="42" t="s">
        <v>765</v>
      </c>
      <c r="E92" s="42" t="s">
        <v>184</v>
      </c>
      <c r="F92" s="7">
        <f>F93</f>
        <v>0.5</v>
      </c>
      <c r="G92" s="7">
        <f t="shared" si="56"/>
        <v>0.5</v>
      </c>
      <c r="H92" s="7">
        <f t="shared" si="56"/>
        <v>0.5</v>
      </c>
      <c r="I92" s="7">
        <f t="shared" si="56"/>
        <v>0.5</v>
      </c>
      <c r="J92" s="7">
        <f t="shared" si="56"/>
        <v>0.5</v>
      </c>
      <c r="K92" s="7">
        <f t="shared" si="56"/>
        <v>0</v>
      </c>
      <c r="L92" s="7">
        <f t="shared" si="56"/>
        <v>0</v>
      </c>
      <c r="M92" s="7" t="e">
        <f t="shared" si="47"/>
        <v>#DIV/0!</v>
      </c>
    </row>
    <row r="93" spans="1:13" ht="47.25" hidden="1">
      <c r="A93" s="26" t="s">
        <v>185</v>
      </c>
      <c r="B93" s="42" t="s">
        <v>170</v>
      </c>
      <c r="C93" s="42" t="s">
        <v>192</v>
      </c>
      <c r="D93" s="42" t="s">
        <v>765</v>
      </c>
      <c r="E93" s="42" t="s">
        <v>186</v>
      </c>
      <c r="F93" s="7">
        <f>'Прил.№4 ведомств.'!G79</f>
        <v>0.5</v>
      </c>
      <c r="G93" s="7">
        <f>'Прил.№4 ведомств.'!I79</f>
        <v>0.5</v>
      </c>
      <c r="H93" s="7">
        <f>'Прил.№4 ведомств.'!J79</f>
        <v>0.5</v>
      </c>
      <c r="I93" s="7">
        <f>'Прил.№4 ведомств.'!K79</f>
        <v>0.5</v>
      </c>
      <c r="J93" s="7">
        <f>'Прил.№4 ведомств.'!L79</f>
        <v>0.5</v>
      </c>
      <c r="K93" s="7">
        <f>'Прил.№4 ведомств.'!M79</f>
        <v>0</v>
      </c>
      <c r="L93" s="7">
        <f>'Прил.№4 ведомств.'!N79</f>
        <v>0</v>
      </c>
      <c r="M93" s="7" t="e">
        <f t="shared" si="47"/>
        <v>#DIV/0!</v>
      </c>
    </row>
    <row r="94" spans="1:13" ht="93.75" customHeight="1">
      <c r="A94" s="31" t="s">
        <v>653</v>
      </c>
      <c r="B94" s="10" t="s">
        <v>170</v>
      </c>
      <c r="C94" s="10" t="s">
        <v>192</v>
      </c>
      <c r="D94" s="6" t="s">
        <v>220</v>
      </c>
      <c r="E94" s="10"/>
      <c r="F94" s="11">
        <f>F99+F95+F103</f>
        <v>80</v>
      </c>
      <c r="G94" s="11">
        <f aca="true" t="shared" si="57" ref="G94:K94">G99+G95+G103</f>
        <v>80</v>
      </c>
      <c r="H94" s="11">
        <f t="shared" si="57"/>
        <v>120</v>
      </c>
      <c r="I94" s="11">
        <f t="shared" si="57"/>
        <v>120</v>
      </c>
      <c r="J94" s="11">
        <f t="shared" si="57"/>
        <v>120</v>
      </c>
      <c r="K94" s="11">
        <f t="shared" si="57"/>
        <v>120</v>
      </c>
      <c r="L94" s="11">
        <f aca="true" t="shared" si="58" ref="L94">L99+L95+L103</f>
        <v>25</v>
      </c>
      <c r="M94" s="7">
        <f t="shared" si="47"/>
        <v>20.833333333333336</v>
      </c>
    </row>
    <row r="95" spans="1:13" ht="78.75">
      <c r="A95" s="31" t="s">
        <v>221</v>
      </c>
      <c r="B95" s="10" t="s">
        <v>170</v>
      </c>
      <c r="C95" s="10" t="s">
        <v>192</v>
      </c>
      <c r="D95" s="32" t="s">
        <v>222</v>
      </c>
      <c r="E95" s="10"/>
      <c r="F95" s="11">
        <f>F96</f>
        <v>15</v>
      </c>
      <c r="G95" s="11">
        <f aca="true" t="shared" si="59" ref="G95:L97">G96</f>
        <v>15</v>
      </c>
      <c r="H95" s="11">
        <f t="shared" si="59"/>
        <v>25</v>
      </c>
      <c r="I95" s="11">
        <f t="shared" si="59"/>
        <v>25</v>
      </c>
      <c r="J95" s="11">
        <f t="shared" si="59"/>
        <v>25</v>
      </c>
      <c r="K95" s="11">
        <f t="shared" si="59"/>
        <v>25</v>
      </c>
      <c r="L95" s="11">
        <f t="shared" si="59"/>
        <v>25</v>
      </c>
      <c r="M95" s="7">
        <f t="shared" si="47"/>
        <v>100</v>
      </c>
    </row>
    <row r="96" spans="1:13" ht="31.5">
      <c r="A96" s="120" t="s">
        <v>223</v>
      </c>
      <c r="B96" s="10" t="s">
        <v>170</v>
      </c>
      <c r="C96" s="10" t="s">
        <v>192</v>
      </c>
      <c r="D96" s="6" t="s">
        <v>224</v>
      </c>
      <c r="E96" s="10"/>
      <c r="F96" s="11">
        <f>F97</f>
        <v>15</v>
      </c>
      <c r="G96" s="11">
        <f t="shared" si="59"/>
        <v>15</v>
      </c>
      <c r="H96" s="11">
        <f t="shared" si="59"/>
        <v>25</v>
      </c>
      <c r="I96" s="11">
        <f t="shared" si="59"/>
        <v>25</v>
      </c>
      <c r="J96" s="11">
        <f t="shared" si="59"/>
        <v>25</v>
      </c>
      <c r="K96" s="11">
        <f t="shared" si="59"/>
        <v>25</v>
      </c>
      <c r="L96" s="11">
        <f t="shared" si="59"/>
        <v>25</v>
      </c>
      <c r="M96" s="7">
        <f t="shared" si="47"/>
        <v>100</v>
      </c>
    </row>
    <row r="97" spans="1:13" ht="31.5">
      <c r="A97" s="26" t="s">
        <v>183</v>
      </c>
      <c r="B97" s="10" t="s">
        <v>170</v>
      </c>
      <c r="C97" s="10" t="s">
        <v>192</v>
      </c>
      <c r="D97" s="6" t="s">
        <v>224</v>
      </c>
      <c r="E97" s="10" t="s">
        <v>184</v>
      </c>
      <c r="F97" s="11">
        <f>F98</f>
        <v>15</v>
      </c>
      <c r="G97" s="11">
        <f t="shared" si="59"/>
        <v>15</v>
      </c>
      <c r="H97" s="11">
        <f t="shared" si="59"/>
        <v>25</v>
      </c>
      <c r="I97" s="11">
        <f t="shared" si="59"/>
        <v>25</v>
      </c>
      <c r="J97" s="11">
        <f t="shared" si="59"/>
        <v>25</v>
      </c>
      <c r="K97" s="11">
        <f t="shared" si="59"/>
        <v>25</v>
      </c>
      <c r="L97" s="11">
        <f t="shared" si="59"/>
        <v>25</v>
      </c>
      <c r="M97" s="7">
        <f t="shared" si="47"/>
        <v>100</v>
      </c>
    </row>
    <row r="98" spans="1:13" ht="47.25">
      <c r="A98" s="26" t="s">
        <v>185</v>
      </c>
      <c r="B98" s="10" t="s">
        <v>170</v>
      </c>
      <c r="C98" s="10" t="s">
        <v>192</v>
      </c>
      <c r="D98" s="6" t="s">
        <v>224</v>
      </c>
      <c r="E98" s="10" t="s">
        <v>186</v>
      </c>
      <c r="F98" s="11">
        <f>'Прил.№4 ведомств.'!G84</f>
        <v>15</v>
      </c>
      <c r="G98" s="11">
        <f>'Прил.№4 ведомств.'!I84</f>
        <v>15</v>
      </c>
      <c r="H98" s="11">
        <f>'Прил.№4 ведомств.'!J84</f>
        <v>25</v>
      </c>
      <c r="I98" s="11">
        <f>'Прил.№4 ведомств.'!K84</f>
        <v>25</v>
      </c>
      <c r="J98" s="11">
        <f>'Прил.№4 ведомств.'!L84</f>
        <v>25</v>
      </c>
      <c r="K98" s="11">
        <f>'Прил.№4 ведомств.'!M250</f>
        <v>25</v>
      </c>
      <c r="L98" s="11">
        <f>'Прил.№4 ведомств.'!N250</f>
        <v>25</v>
      </c>
      <c r="M98" s="7">
        <f t="shared" si="47"/>
        <v>100</v>
      </c>
    </row>
    <row r="99" spans="1:13" ht="63">
      <c r="A99" s="31" t="s">
        <v>225</v>
      </c>
      <c r="B99" s="10" t="s">
        <v>170</v>
      </c>
      <c r="C99" s="10" t="s">
        <v>192</v>
      </c>
      <c r="D99" s="32" t="s">
        <v>226</v>
      </c>
      <c r="E99" s="10"/>
      <c r="F99" s="11">
        <f>F100</f>
        <v>50</v>
      </c>
      <c r="G99" s="11">
        <f aca="true" t="shared" si="60" ref="G99:L101">G100</f>
        <v>50</v>
      </c>
      <c r="H99" s="11">
        <f t="shared" si="60"/>
        <v>70</v>
      </c>
      <c r="I99" s="11">
        <f t="shared" si="60"/>
        <v>70</v>
      </c>
      <c r="J99" s="11">
        <f t="shared" si="60"/>
        <v>70</v>
      </c>
      <c r="K99" s="11">
        <f t="shared" si="60"/>
        <v>70</v>
      </c>
      <c r="L99" s="11">
        <f t="shared" si="60"/>
        <v>0</v>
      </c>
      <c r="M99" s="7">
        <f t="shared" si="47"/>
        <v>0</v>
      </c>
    </row>
    <row r="100" spans="1:13" ht="15.75">
      <c r="A100" s="47" t="s">
        <v>227</v>
      </c>
      <c r="B100" s="10" t="s">
        <v>170</v>
      </c>
      <c r="C100" s="10" t="s">
        <v>192</v>
      </c>
      <c r="D100" s="6" t="s">
        <v>228</v>
      </c>
      <c r="E100" s="10"/>
      <c r="F100" s="11">
        <f>F101</f>
        <v>50</v>
      </c>
      <c r="G100" s="11">
        <f t="shared" si="60"/>
        <v>50</v>
      </c>
      <c r="H100" s="11">
        <f t="shared" si="60"/>
        <v>70</v>
      </c>
      <c r="I100" s="11">
        <f t="shared" si="60"/>
        <v>70</v>
      </c>
      <c r="J100" s="11">
        <f t="shared" si="60"/>
        <v>70</v>
      </c>
      <c r="K100" s="11">
        <f t="shared" si="60"/>
        <v>70</v>
      </c>
      <c r="L100" s="11">
        <f t="shared" si="60"/>
        <v>0</v>
      </c>
      <c r="M100" s="7">
        <f t="shared" si="47"/>
        <v>0</v>
      </c>
    </row>
    <row r="101" spans="1:13" ht="31.5">
      <c r="A101" s="26" t="s">
        <v>183</v>
      </c>
      <c r="B101" s="10" t="s">
        <v>170</v>
      </c>
      <c r="C101" s="10" t="s">
        <v>192</v>
      </c>
      <c r="D101" s="6" t="s">
        <v>228</v>
      </c>
      <c r="E101" s="10" t="s">
        <v>184</v>
      </c>
      <c r="F101" s="11">
        <f>F102</f>
        <v>50</v>
      </c>
      <c r="G101" s="11">
        <f t="shared" si="60"/>
        <v>50</v>
      </c>
      <c r="H101" s="11">
        <f t="shared" si="60"/>
        <v>70</v>
      </c>
      <c r="I101" s="11">
        <f t="shared" si="60"/>
        <v>70</v>
      </c>
      <c r="J101" s="11">
        <f t="shared" si="60"/>
        <v>70</v>
      </c>
      <c r="K101" s="11">
        <f t="shared" si="60"/>
        <v>70</v>
      </c>
      <c r="L101" s="11">
        <f t="shared" si="60"/>
        <v>0</v>
      </c>
      <c r="M101" s="7">
        <f t="shared" si="47"/>
        <v>0</v>
      </c>
    </row>
    <row r="102" spans="1:13" ht="47.25">
      <c r="A102" s="26" t="s">
        <v>185</v>
      </c>
      <c r="B102" s="10" t="s">
        <v>170</v>
      </c>
      <c r="C102" s="10" t="s">
        <v>192</v>
      </c>
      <c r="D102" s="6" t="s">
        <v>228</v>
      </c>
      <c r="E102" s="10" t="s">
        <v>186</v>
      </c>
      <c r="F102" s="11">
        <f>'Прил.№4 ведомств.'!G88</f>
        <v>50</v>
      </c>
      <c r="G102" s="11">
        <f>'Прил.№4 ведомств.'!I88</f>
        <v>50</v>
      </c>
      <c r="H102" s="11">
        <f>'Прил.№4 ведомств.'!J88</f>
        <v>70</v>
      </c>
      <c r="I102" s="11">
        <f>'Прил.№4 ведомств.'!K88</f>
        <v>70</v>
      </c>
      <c r="J102" s="11">
        <f>'Прил.№4 ведомств.'!L88</f>
        <v>70</v>
      </c>
      <c r="K102" s="11">
        <f>'Прил.№4 ведомств.'!M88</f>
        <v>70</v>
      </c>
      <c r="L102" s="11">
        <f>'Прил.№4 ведомств.'!N88</f>
        <v>0</v>
      </c>
      <c r="M102" s="7">
        <f t="shared" si="47"/>
        <v>0</v>
      </c>
    </row>
    <row r="103" spans="1:13" ht="47.25">
      <c r="A103" s="26" t="s">
        <v>229</v>
      </c>
      <c r="B103" s="10" t="s">
        <v>170</v>
      </c>
      <c r="C103" s="10" t="s">
        <v>192</v>
      </c>
      <c r="D103" s="6" t="s">
        <v>230</v>
      </c>
      <c r="E103" s="10"/>
      <c r="F103" s="11">
        <f>F104</f>
        <v>15</v>
      </c>
      <c r="G103" s="11">
        <f aca="true" t="shared" si="61" ref="G103:L105">G104</f>
        <v>15</v>
      </c>
      <c r="H103" s="11">
        <f t="shared" si="61"/>
        <v>25</v>
      </c>
      <c r="I103" s="11">
        <f t="shared" si="61"/>
        <v>25</v>
      </c>
      <c r="J103" s="11">
        <f t="shared" si="61"/>
        <v>25</v>
      </c>
      <c r="K103" s="11">
        <f t="shared" si="61"/>
        <v>25</v>
      </c>
      <c r="L103" s="11">
        <f t="shared" si="61"/>
        <v>0</v>
      </c>
      <c r="M103" s="7">
        <f t="shared" si="47"/>
        <v>0</v>
      </c>
    </row>
    <row r="104" spans="1:13" ht="15.75">
      <c r="A104" s="47" t="s">
        <v>231</v>
      </c>
      <c r="B104" s="10" t="s">
        <v>170</v>
      </c>
      <c r="C104" s="10" t="s">
        <v>192</v>
      </c>
      <c r="D104" s="6" t="s">
        <v>232</v>
      </c>
      <c r="E104" s="10"/>
      <c r="F104" s="11">
        <f>F105</f>
        <v>15</v>
      </c>
      <c r="G104" s="11">
        <f t="shared" si="61"/>
        <v>15</v>
      </c>
      <c r="H104" s="11">
        <f t="shared" si="61"/>
        <v>25</v>
      </c>
      <c r="I104" s="11">
        <f t="shared" si="61"/>
        <v>25</v>
      </c>
      <c r="J104" s="11">
        <f t="shared" si="61"/>
        <v>25</v>
      </c>
      <c r="K104" s="11">
        <f t="shared" si="61"/>
        <v>25</v>
      </c>
      <c r="L104" s="11">
        <f t="shared" si="61"/>
        <v>0</v>
      </c>
      <c r="M104" s="7">
        <f t="shared" si="47"/>
        <v>0</v>
      </c>
    </row>
    <row r="105" spans="1:13" ht="31.5">
      <c r="A105" s="26" t="s">
        <v>183</v>
      </c>
      <c r="B105" s="10" t="s">
        <v>170</v>
      </c>
      <c r="C105" s="10" t="s">
        <v>192</v>
      </c>
      <c r="D105" s="6" t="s">
        <v>232</v>
      </c>
      <c r="E105" s="10" t="s">
        <v>184</v>
      </c>
      <c r="F105" s="11">
        <f>F106</f>
        <v>15</v>
      </c>
      <c r="G105" s="11">
        <f t="shared" si="61"/>
        <v>15</v>
      </c>
      <c r="H105" s="11">
        <f t="shared" si="61"/>
        <v>25</v>
      </c>
      <c r="I105" s="11">
        <f t="shared" si="61"/>
        <v>25</v>
      </c>
      <c r="J105" s="11">
        <f t="shared" si="61"/>
        <v>25</v>
      </c>
      <c r="K105" s="11">
        <f t="shared" si="61"/>
        <v>25</v>
      </c>
      <c r="L105" s="11">
        <f t="shared" si="61"/>
        <v>0</v>
      </c>
      <c r="M105" s="7">
        <f t="shared" si="47"/>
        <v>0</v>
      </c>
    </row>
    <row r="106" spans="1:13" ht="47.25">
      <c r="A106" s="26" t="s">
        <v>185</v>
      </c>
      <c r="B106" s="10" t="s">
        <v>170</v>
      </c>
      <c r="C106" s="10" t="s">
        <v>192</v>
      </c>
      <c r="D106" s="6" t="s">
        <v>232</v>
      </c>
      <c r="E106" s="10" t="s">
        <v>186</v>
      </c>
      <c r="F106" s="11">
        <f>'Прил.№4 ведомств.'!G92</f>
        <v>15</v>
      </c>
      <c r="G106" s="11">
        <f>'Прил.№4 ведомств.'!I92</f>
        <v>15</v>
      </c>
      <c r="H106" s="11">
        <f>'Прил.№4 ведомств.'!J92</f>
        <v>25</v>
      </c>
      <c r="I106" s="11">
        <f>'Прил.№4 ведомств.'!K92</f>
        <v>25</v>
      </c>
      <c r="J106" s="11">
        <f>'Прил.№4 ведомств.'!L92</f>
        <v>25</v>
      </c>
      <c r="K106" s="11">
        <f>'Прил.№4 ведомств.'!M92</f>
        <v>25</v>
      </c>
      <c r="L106" s="11">
        <f>'Прил.№4 ведомств.'!N92</f>
        <v>0</v>
      </c>
      <c r="M106" s="7">
        <f t="shared" si="47"/>
        <v>0</v>
      </c>
    </row>
    <row r="107" spans="1:13" ht="47.25" hidden="1">
      <c r="A107" s="33" t="s">
        <v>233</v>
      </c>
      <c r="B107" s="10" t="s">
        <v>170</v>
      </c>
      <c r="C107" s="10" t="s">
        <v>192</v>
      </c>
      <c r="D107" s="32" t="s">
        <v>234</v>
      </c>
      <c r="E107" s="34"/>
      <c r="F107" s="11">
        <f>F108</f>
        <v>120</v>
      </c>
      <c r="G107" s="11">
        <f aca="true" t="shared" si="62" ref="G107:L109">G108</f>
        <v>120</v>
      </c>
      <c r="H107" s="11">
        <f t="shared" si="62"/>
        <v>0</v>
      </c>
      <c r="I107" s="11">
        <f t="shared" si="62"/>
        <v>0</v>
      </c>
      <c r="J107" s="11">
        <f t="shared" si="62"/>
        <v>0</v>
      </c>
      <c r="K107" s="11">
        <f t="shared" si="62"/>
        <v>0</v>
      </c>
      <c r="L107" s="11">
        <f t="shared" si="62"/>
        <v>0</v>
      </c>
      <c r="M107" s="7" t="e">
        <f t="shared" si="47"/>
        <v>#DIV/0!</v>
      </c>
    </row>
    <row r="108" spans="1:13" ht="31.5" hidden="1">
      <c r="A108" s="26" t="s">
        <v>209</v>
      </c>
      <c r="B108" s="10" t="s">
        <v>170</v>
      </c>
      <c r="C108" s="10" t="s">
        <v>192</v>
      </c>
      <c r="D108" s="21" t="s">
        <v>235</v>
      </c>
      <c r="E108" s="34"/>
      <c r="F108" s="11">
        <f>F109</f>
        <v>120</v>
      </c>
      <c r="G108" s="11">
        <f t="shared" si="62"/>
        <v>120</v>
      </c>
      <c r="H108" s="11">
        <f t="shared" si="62"/>
        <v>0</v>
      </c>
      <c r="I108" s="11">
        <f t="shared" si="62"/>
        <v>0</v>
      </c>
      <c r="J108" s="11">
        <f t="shared" si="62"/>
        <v>0</v>
      </c>
      <c r="K108" s="11">
        <f t="shared" si="62"/>
        <v>0</v>
      </c>
      <c r="L108" s="11">
        <f t="shared" si="62"/>
        <v>0</v>
      </c>
      <c r="M108" s="7" t="e">
        <f t="shared" si="47"/>
        <v>#DIV/0!</v>
      </c>
    </row>
    <row r="109" spans="1:13" ht="15.75" hidden="1">
      <c r="A109" s="31" t="s">
        <v>187</v>
      </c>
      <c r="B109" s="10" t="s">
        <v>170</v>
      </c>
      <c r="C109" s="10" t="s">
        <v>192</v>
      </c>
      <c r="D109" s="21" t="s">
        <v>235</v>
      </c>
      <c r="E109" s="34" t="s">
        <v>197</v>
      </c>
      <c r="F109" s="11">
        <f>F110</f>
        <v>120</v>
      </c>
      <c r="G109" s="11">
        <f t="shared" si="62"/>
        <v>120</v>
      </c>
      <c r="H109" s="11">
        <f t="shared" si="62"/>
        <v>0</v>
      </c>
      <c r="I109" s="11">
        <f t="shared" si="62"/>
        <v>0</v>
      </c>
      <c r="J109" s="11">
        <f t="shared" si="62"/>
        <v>0</v>
      </c>
      <c r="K109" s="11">
        <f t="shared" si="62"/>
        <v>0</v>
      </c>
      <c r="L109" s="11">
        <f t="shared" si="62"/>
        <v>0</v>
      </c>
      <c r="M109" s="7" t="e">
        <f t="shared" si="47"/>
        <v>#DIV/0!</v>
      </c>
    </row>
    <row r="110" spans="1:13" ht="47.25" hidden="1">
      <c r="A110" s="31" t="s">
        <v>236</v>
      </c>
      <c r="B110" s="10" t="s">
        <v>170</v>
      </c>
      <c r="C110" s="10" t="s">
        <v>192</v>
      </c>
      <c r="D110" s="21" t="s">
        <v>235</v>
      </c>
      <c r="E110" s="34" t="s">
        <v>212</v>
      </c>
      <c r="F110" s="11">
        <f>'Прил.№4 ведомств.'!G96</f>
        <v>120</v>
      </c>
      <c r="G110" s="11">
        <f>'Прил.№4 ведомств.'!I96</f>
        <v>120</v>
      </c>
      <c r="H110" s="11">
        <f>'Прил.№4 ведомств.'!J96</f>
        <v>0</v>
      </c>
      <c r="I110" s="11">
        <f>'Прил.№4 ведомств.'!K96</f>
        <v>0</v>
      </c>
      <c r="J110" s="11">
        <f>'Прил.№4 ведомств.'!L96</f>
        <v>0</v>
      </c>
      <c r="K110" s="11">
        <f>'Прил.№4 ведомств.'!M96</f>
        <v>0</v>
      </c>
      <c r="L110" s="11">
        <f>'Прил.№4 ведомств.'!N96</f>
        <v>0</v>
      </c>
      <c r="M110" s="7" t="e">
        <f t="shared" si="47"/>
        <v>#DIV/0!</v>
      </c>
    </row>
    <row r="111" spans="1:13" ht="47.25">
      <c r="A111" s="26" t="s">
        <v>386</v>
      </c>
      <c r="B111" s="21" t="s">
        <v>170</v>
      </c>
      <c r="C111" s="21" t="s">
        <v>192</v>
      </c>
      <c r="D111" s="21" t="s">
        <v>387</v>
      </c>
      <c r="E111" s="21"/>
      <c r="F111" s="11">
        <f aca="true" t="shared" si="63" ref="F111:G111">F112+F115+F118+F121+F124</f>
        <v>0</v>
      </c>
      <c r="G111" s="11">
        <f t="shared" si="63"/>
        <v>0</v>
      </c>
      <c r="H111" s="11">
        <f>H112+H115+H118+H121+H124</f>
        <v>155</v>
      </c>
      <c r="I111" s="11">
        <f aca="true" t="shared" si="64" ref="I111:K111">I112+I115+I118+I121+I124</f>
        <v>155</v>
      </c>
      <c r="J111" s="11">
        <f t="shared" si="64"/>
        <v>155</v>
      </c>
      <c r="K111" s="11">
        <f t="shared" si="64"/>
        <v>155</v>
      </c>
      <c r="L111" s="11">
        <f aca="true" t="shared" si="65" ref="L111">L112+L115+L118+L121+L124</f>
        <v>0</v>
      </c>
      <c r="M111" s="7">
        <f t="shared" si="47"/>
        <v>0</v>
      </c>
    </row>
    <row r="112" spans="1:13" ht="47.25">
      <c r="A112" s="120" t="s">
        <v>922</v>
      </c>
      <c r="B112" s="21" t="s">
        <v>170</v>
      </c>
      <c r="C112" s="21" t="s">
        <v>192</v>
      </c>
      <c r="D112" s="21" t="s">
        <v>389</v>
      </c>
      <c r="E112" s="21"/>
      <c r="F112" s="11">
        <f aca="true" t="shared" si="66" ref="F112:H113">F113</f>
        <v>0</v>
      </c>
      <c r="G112" s="11">
        <f t="shared" si="66"/>
        <v>0</v>
      </c>
      <c r="H112" s="11">
        <f t="shared" si="66"/>
        <v>100</v>
      </c>
      <c r="I112" s="11">
        <f aca="true" t="shared" si="67" ref="I112:L113">I113</f>
        <v>100</v>
      </c>
      <c r="J112" s="11">
        <f t="shared" si="67"/>
        <v>100</v>
      </c>
      <c r="K112" s="11">
        <f t="shared" si="67"/>
        <v>100</v>
      </c>
      <c r="L112" s="11">
        <f t="shared" si="67"/>
        <v>0</v>
      </c>
      <c r="M112" s="7">
        <f t="shared" si="47"/>
        <v>0</v>
      </c>
    </row>
    <row r="113" spans="1:13" ht="31.5">
      <c r="A113" s="26" t="s">
        <v>183</v>
      </c>
      <c r="B113" s="21" t="s">
        <v>170</v>
      </c>
      <c r="C113" s="21" t="s">
        <v>192</v>
      </c>
      <c r="D113" s="21" t="s">
        <v>389</v>
      </c>
      <c r="E113" s="21" t="s">
        <v>184</v>
      </c>
      <c r="F113" s="11">
        <f t="shared" si="66"/>
        <v>0</v>
      </c>
      <c r="G113" s="11">
        <f t="shared" si="66"/>
        <v>0</v>
      </c>
      <c r="H113" s="11">
        <f t="shared" si="66"/>
        <v>100</v>
      </c>
      <c r="I113" s="11">
        <f t="shared" si="67"/>
        <v>100</v>
      </c>
      <c r="J113" s="11">
        <f t="shared" si="67"/>
        <v>100</v>
      </c>
      <c r="K113" s="11">
        <f t="shared" si="67"/>
        <v>100</v>
      </c>
      <c r="L113" s="11">
        <f t="shared" si="67"/>
        <v>0</v>
      </c>
      <c r="M113" s="7">
        <f t="shared" si="47"/>
        <v>0</v>
      </c>
    </row>
    <row r="114" spans="1:13" ht="47.25">
      <c r="A114" s="26" t="s">
        <v>185</v>
      </c>
      <c r="B114" s="21" t="s">
        <v>170</v>
      </c>
      <c r="C114" s="21" t="s">
        <v>192</v>
      </c>
      <c r="D114" s="21" t="s">
        <v>389</v>
      </c>
      <c r="E114" s="21" t="s">
        <v>186</v>
      </c>
      <c r="F114" s="11">
        <v>0</v>
      </c>
      <c r="G114" s="11">
        <v>0</v>
      </c>
      <c r="H114" s="11">
        <f>'Прил.№4 ведомств.'!J581+'Прил.№4 ведомств.'!J254</f>
        <v>100</v>
      </c>
      <c r="I114" s="11">
        <f>'Прил.№4 ведомств.'!K581+'Прил.№4 ведомств.'!K254</f>
        <v>100</v>
      </c>
      <c r="J114" s="11">
        <f>'Прил.№4 ведомств.'!L581+'Прил.№4 ведомств.'!L254</f>
        <v>100</v>
      </c>
      <c r="K114" s="11">
        <f>'Прил.№4 ведомств.'!M581+'Прил.№4 ведомств.'!M254</f>
        <v>100</v>
      </c>
      <c r="L114" s="11">
        <f>'Прил.№4 ведомств.'!N581+'Прил.№4 ведомств.'!N254</f>
        <v>0</v>
      </c>
      <c r="M114" s="7">
        <f t="shared" si="47"/>
        <v>0</v>
      </c>
    </row>
    <row r="115" spans="1:13" ht="31.5">
      <c r="A115" s="26" t="s">
        <v>390</v>
      </c>
      <c r="B115" s="21" t="s">
        <v>170</v>
      </c>
      <c r="C115" s="21" t="s">
        <v>192</v>
      </c>
      <c r="D115" s="21" t="s">
        <v>391</v>
      </c>
      <c r="E115" s="21"/>
      <c r="F115" s="11">
        <f aca="true" t="shared" si="68" ref="F115:H116">F116</f>
        <v>0</v>
      </c>
      <c r="G115" s="11">
        <f t="shared" si="68"/>
        <v>0</v>
      </c>
      <c r="H115" s="11">
        <f t="shared" si="68"/>
        <v>20</v>
      </c>
      <c r="I115" s="11">
        <f aca="true" t="shared" si="69" ref="I115:L116">I116</f>
        <v>20</v>
      </c>
      <c r="J115" s="11">
        <f t="shared" si="69"/>
        <v>20</v>
      </c>
      <c r="K115" s="11">
        <f t="shared" si="69"/>
        <v>20</v>
      </c>
      <c r="L115" s="11">
        <f t="shared" si="69"/>
        <v>0</v>
      </c>
      <c r="M115" s="7">
        <f t="shared" si="47"/>
        <v>0</v>
      </c>
    </row>
    <row r="116" spans="1:13" ht="31.5">
      <c r="A116" s="26" t="s">
        <v>183</v>
      </c>
      <c r="B116" s="21" t="s">
        <v>170</v>
      </c>
      <c r="C116" s="21" t="s">
        <v>192</v>
      </c>
      <c r="D116" s="21" t="s">
        <v>391</v>
      </c>
      <c r="E116" s="21" t="s">
        <v>184</v>
      </c>
      <c r="F116" s="11">
        <f t="shared" si="68"/>
        <v>0</v>
      </c>
      <c r="G116" s="11">
        <f t="shared" si="68"/>
        <v>0</v>
      </c>
      <c r="H116" s="11">
        <f t="shared" si="68"/>
        <v>20</v>
      </c>
      <c r="I116" s="11">
        <f t="shared" si="69"/>
        <v>20</v>
      </c>
      <c r="J116" s="11">
        <f t="shared" si="69"/>
        <v>20</v>
      </c>
      <c r="K116" s="11">
        <f t="shared" si="69"/>
        <v>20</v>
      </c>
      <c r="L116" s="11">
        <f t="shared" si="69"/>
        <v>0</v>
      </c>
      <c r="M116" s="7">
        <f t="shared" si="47"/>
        <v>0</v>
      </c>
    </row>
    <row r="117" spans="1:13" ht="47.25">
      <c r="A117" s="26" t="s">
        <v>185</v>
      </c>
      <c r="B117" s="21" t="s">
        <v>170</v>
      </c>
      <c r="C117" s="21" t="s">
        <v>192</v>
      </c>
      <c r="D117" s="21" t="s">
        <v>391</v>
      </c>
      <c r="E117" s="21" t="s">
        <v>186</v>
      </c>
      <c r="F117" s="11">
        <v>0</v>
      </c>
      <c r="G117" s="11">
        <v>0</v>
      </c>
      <c r="H117" s="11">
        <f>'Прил.№4 ведомств.'!J257</f>
        <v>20</v>
      </c>
      <c r="I117" s="11">
        <f>'Прил.№4 ведомств.'!K257</f>
        <v>20</v>
      </c>
      <c r="J117" s="11">
        <f>'Прил.№4 ведомств.'!L257</f>
        <v>20</v>
      </c>
      <c r="K117" s="11">
        <f>'Прил.№4 ведомств.'!M257</f>
        <v>20</v>
      </c>
      <c r="L117" s="11">
        <f>'Прил.№4 ведомств.'!N257</f>
        <v>0</v>
      </c>
      <c r="M117" s="7">
        <f t="shared" si="47"/>
        <v>0</v>
      </c>
    </row>
    <row r="118" spans="1:13" ht="47.25">
      <c r="A118" s="33" t="s">
        <v>923</v>
      </c>
      <c r="B118" s="21" t="s">
        <v>170</v>
      </c>
      <c r="C118" s="21" t="s">
        <v>192</v>
      </c>
      <c r="D118" s="21" t="s">
        <v>920</v>
      </c>
      <c r="E118" s="21"/>
      <c r="F118" s="11">
        <f aca="true" t="shared" si="70" ref="F118:H119">F119</f>
        <v>0</v>
      </c>
      <c r="G118" s="11">
        <f t="shared" si="70"/>
        <v>0</v>
      </c>
      <c r="H118" s="11">
        <f t="shared" si="70"/>
        <v>5</v>
      </c>
      <c r="I118" s="11">
        <f aca="true" t="shared" si="71" ref="I118:L119">I119</f>
        <v>5</v>
      </c>
      <c r="J118" s="11">
        <f t="shared" si="71"/>
        <v>5</v>
      </c>
      <c r="K118" s="11">
        <f t="shared" si="71"/>
        <v>5</v>
      </c>
      <c r="L118" s="11">
        <f t="shared" si="71"/>
        <v>0</v>
      </c>
      <c r="M118" s="7">
        <f t="shared" si="47"/>
        <v>0</v>
      </c>
    </row>
    <row r="119" spans="1:13" ht="31.5">
      <c r="A119" s="26" t="s">
        <v>183</v>
      </c>
      <c r="B119" s="21" t="s">
        <v>170</v>
      </c>
      <c r="C119" s="21" t="s">
        <v>192</v>
      </c>
      <c r="D119" s="21" t="s">
        <v>920</v>
      </c>
      <c r="E119" s="21" t="s">
        <v>184</v>
      </c>
      <c r="F119" s="11">
        <f t="shared" si="70"/>
        <v>0</v>
      </c>
      <c r="G119" s="11">
        <f t="shared" si="70"/>
        <v>0</v>
      </c>
      <c r="H119" s="11">
        <f t="shared" si="70"/>
        <v>5</v>
      </c>
      <c r="I119" s="11">
        <f t="shared" si="71"/>
        <v>5</v>
      </c>
      <c r="J119" s="11">
        <f t="shared" si="71"/>
        <v>5</v>
      </c>
      <c r="K119" s="11">
        <f t="shared" si="71"/>
        <v>5</v>
      </c>
      <c r="L119" s="11">
        <f t="shared" si="71"/>
        <v>0</v>
      </c>
      <c r="M119" s="7">
        <f t="shared" si="47"/>
        <v>0</v>
      </c>
    </row>
    <row r="120" spans="1:13" ht="47.25">
      <c r="A120" s="26" t="s">
        <v>185</v>
      </c>
      <c r="B120" s="21" t="s">
        <v>170</v>
      </c>
      <c r="C120" s="21" t="s">
        <v>192</v>
      </c>
      <c r="D120" s="21" t="s">
        <v>920</v>
      </c>
      <c r="E120" s="21" t="s">
        <v>186</v>
      </c>
      <c r="F120" s="11">
        <v>0</v>
      </c>
      <c r="G120" s="11">
        <v>0</v>
      </c>
      <c r="H120" s="11">
        <f>'Прил.№4 ведомств.'!J260</f>
        <v>5</v>
      </c>
      <c r="I120" s="11">
        <f>'Прил.№4 ведомств.'!K260</f>
        <v>5</v>
      </c>
      <c r="J120" s="11">
        <f>'Прил.№4 ведомств.'!L260</f>
        <v>5</v>
      </c>
      <c r="K120" s="11">
        <f>'Прил.№4 ведомств.'!M260</f>
        <v>5</v>
      </c>
      <c r="L120" s="11">
        <f>'Прил.№4 ведомств.'!N260</f>
        <v>0</v>
      </c>
      <c r="M120" s="7">
        <f t="shared" si="47"/>
        <v>0</v>
      </c>
    </row>
    <row r="121" spans="1:13" ht="31.5">
      <c r="A121" s="33" t="s">
        <v>927</v>
      </c>
      <c r="B121" s="21" t="s">
        <v>170</v>
      </c>
      <c r="C121" s="21" t="s">
        <v>192</v>
      </c>
      <c r="D121" s="21" t="s">
        <v>926</v>
      </c>
      <c r="E121" s="21"/>
      <c r="F121" s="11">
        <f aca="true" t="shared" si="72" ref="F121:H122">F122</f>
        <v>0</v>
      </c>
      <c r="G121" s="11">
        <f t="shared" si="72"/>
        <v>0</v>
      </c>
      <c r="H121" s="11">
        <f t="shared" si="72"/>
        <v>10</v>
      </c>
      <c r="I121" s="11">
        <f aca="true" t="shared" si="73" ref="I121:L122">I122</f>
        <v>10</v>
      </c>
      <c r="J121" s="11">
        <f t="shared" si="73"/>
        <v>10</v>
      </c>
      <c r="K121" s="11">
        <f t="shared" si="73"/>
        <v>10</v>
      </c>
      <c r="L121" s="11">
        <f t="shared" si="73"/>
        <v>0</v>
      </c>
      <c r="M121" s="7">
        <f t="shared" si="47"/>
        <v>0</v>
      </c>
    </row>
    <row r="122" spans="1:13" ht="31.5">
      <c r="A122" s="26" t="s">
        <v>183</v>
      </c>
      <c r="B122" s="21" t="s">
        <v>170</v>
      </c>
      <c r="C122" s="21" t="s">
        <v>192</v>
      </c>
      <c r="D122" s="21" t="s">
        <v>926</v>
      </c>
      <c r="E122" s="21" t="s">
        <v>184</v>
      </c>
      <c r="F122" s="11">
        <f t="shared" si="72"/>
        <v>0</v>
      </c>
      <c r="G122" s="11">
        <f t="shared" si="72"/>
        <v>0</v>
      </c>
      <c r="H122" s="11">
        <f t="shared" si="72"/>
        <v>10</v>
      </c>
      <c r="I122" s="11">
        <f t="shared" si="73"/>
        <v>10</v>
      </c>
      <c r="J122" s="11">
        <f t="shared" si="73"/>
        <v>10</v>
      </c>
      <c r="K122" s="11">
        <f t="shared" si="73"/>
        <v>10</v>
      </c>
      <c r="L122" s="11">
        <f t="shared" si="73"/>
        <v>0</v>
      </c>
      <c r="M122" s="7">
        <f t="shared" si="47"/>
        <v>0</v>
      </c>
    </row>
    <row r="123" spans="1:13" ht="47.25">
      <c r="A123" s="26" t="s">
        <v>185</v>
      </c>
      <c r="B123" s="21" t="s">
        <v>170</v>
      </c>
      <c r="C123" s="21" t="s">
        <v>192</v>
      </c>
      <c r="D123" s="21" t="s">
        <v>926</v>
      </c>
      <c r="E123" s="21" t="s">
        <v>186</v>
      </c>
      <c r="F123" s="11">
        <v>0</v>
      </c>
      <c r="G123" s="11">
        <v>0</v>
      </c>
      <c r="H123" s="11">
        <f>'Прил.№4 ведомств.'!J584</f>
        <v>10</v>
      </c>
      <c r="I123" s="11">
        <f>'Прил.№4 ведомств.'!K584</f>
        <v>10</v>
      </c>
      <c r="J123" s="11">
        <f>'Прил.№4 ведомств.'!L584</f>
        <v>10</v>
      </c>
      <c r="K123" s="11">
        <f>'Прил.№4 ведомств.'!M584</f>
        <v>10</v>
      </c>
      <c r="L123" s="11">
        <f>'Прил.№4 ведомств.'!N584</f>
        <v>0</v>
      </c>
      <c r="M123" s="7">
        <f t="shared" si="47"/>
        <v>0</v>
      </c>
    </row>
    <row r="124" spans="1:13" ht="31.5">
      <c r="A124" s="33" t="s">
        <v>924</v>
      </c>
      <c r="B124" s="21" t="s">
        <v>170</v>
      </c>
      <c r="C124" s="21" t="s">
        <v>192</v>
      </c>
      <c r="D124" s="21" t="s">
        <v>921</v>
      </c>
      <c r="E124" s="21"/>
      <c r="F124" s="11">
        <f aca="true" t="shared" si="74" ref="F124:H125">F125</f>
        <v>0</v>
      </c>
      <c r="G124" s="11">
        <f t="shared" si="74"/>
        <v>0</v>
      </c>
      <c r="H124" s="11">
        <f t="shared" si="74"/>
        <v>20</v>
      </c>
      <c r="I124" s="11">
        <f aca="true" t="shared" si="75" ref="I124:L125">I125</f>
        <v>20</v>
      </c>
      <c r="J124" s="11">
        <f t="shared" si="75"/>
        <v>20</v>
      </c>
      <c r="K124" s="11">
        <f t="shared" si="75"/>
        <v>20</v>
      </c>
      <c r="L124" s="11">
        <f t="shared" si="75"/>
        <v>0</v>
      </c>
      <c r="M124" s="7">
        <f t="shared" si="47"/>
        <v>0</v>
      </c>
    </row>
    <row r="125" spans="1:13" ht="31.5">
      <c r="A125" s="26" t="s">
        <v>183</v>
      </c>
      <c r="B125" s="21" t="s">
        <v>170</v>
      </c>
      <c r="C125" s="21" t="s">
        <v>192</v>
      </c>
      <c r="D125" s="21" t="s">
        <v>921</v>
      </c>
      <c r="E125" s="21" t="s">
        <v>184</v>
      </c>
      <c r="F125" s="11">
        <f t="shared" si="74"/>
        <v>0</v>
      </c>
      <c r="G125" s="11">
        <f t="shared" si="74"/>
        <v>0</v>
      </c>
      <c r="H125" s="11">
        <f t="shared" si="74"/>
        <v>20</v>
      </c>
      <c r="I125" s="11">
        <f t="shared" si="75"/>
        <v>20</v>
      </c>
      <c r="J125" s="11">
        <f t="shared" si="75"/>
        <v>20</v>
      </c>
      <c r="K125" s="11">
        <f t="shared" si="75"/>
        <v>20</v>
      </c>
      <c r="L125" s="11">
        <f t="shared" si="75"/>
        <v>0</v>
      </c>
      <c r="M125" s="7">
        <f t="shared" si="47"/>
        <v>0</v>
      </c>
    </row>
    <row r="126" spans="1:13" ht="47.25">
      <c r="A126" s="26" t="s">
        <v>185</v>
      </c>
      <c r="B126" s="21" t="s">
        <v>170</v>
      </c>
      <c r="C126" s="21" t="s">
        <v>192</v>
      </c>
      <c r="D126" s="21" t="s">
        <v>921</v>
      </c>
      <c r="E126" s="21" t="s">
        <v>186</v>
      </c>
      <c r="F126" s="11">
        <v>0</v>
      </c>
      <c r="G126" s="11">
        <v>0</v>
      </c>
      <c r="H126" s="11">
        <f>'Прил.№4 ведомств.'!J266</f>
        <v>20</v>
      </c>
      <c r="I126" s="11">
        <f>'Прил.№4 ведомств.'!K266</f>
        <v>20</v>
      </c>
      <c r="J126" s="11">
        <f>'Прил.№4 ведомств.'!L266</f>
        <v>20</v>
      </c>
      <c r="K126" s="11">
        <f>'Прил.№4 ведомств.'!M266</f>
        <v>20</v>
      </c>
      <c r="L126" s="11">
        <f>'Прил.№4 ведомств.'!N266</f>
        <v>0</v>
      </c>
      <c r="M126" s="7">
        <f t="shared" si="47"/>
        <v>0</v>
      </c>
    </row>
    <row r="127" spans="1:13" ht="63">
      <c r="A127" s="31" t="s">
        <v>802</v>
      </c>
      <c r="B127" s="10" t="s">
        <v>170</v>
      </c>
      <c r="C127" s="10" t="s">
        <v>192</v>
      </c>
      <c r="D127" s="21" t="s">
        <v>803</v>
      </c>
      <c r="E127" s="34"/>
      <c r="F127" s="11">
        <f>F128</f>
        <v>29</v>
      </c>
      <c r="G127" s="11">
        <f aca="true" t="shared" si="76" ref="G127:L129">G128</f>
        <v>29</v>
      </c>
      <c r="H127" s="11">
        <f t="shared" si="76"/>
        <v>0</v>
      </c>
      <c r="I127" s="11">
        <f t="shared" si="76"/>
        <v>0</v>
      </c>
      <c r="J127" s="11">
        <f t="shared" si="76"/>
        <v>0</v>
      </c>
      <c r="K127" s="11">
        <f>K128+K131+K134+K137</f>
        <v>3957.2</v>
      </c>
      <c r="L127" s="11">
        <f aca="true" t="shared" si="77" ref="L127">L128+L131+L134+L137</f>
        <v>2491.5</v>
      </c>
      <c r="M127" s="7">
        <f t="shared" si="47"/>
        <v>62.96118467603357</v>
      </c>
    </row>
    <row r="128" spans="1:13" ht="47.25">
      <c r="A128" s="261" t="s">
        <v>931</v>
      </c>
      <c r="B128" s="10" t="s">
        <v>170</v>
      </c>
      <c r="C128" s="10" t="s">
        <v>192</v>
      </c>
      <c r="D128" s="21" t="s">
        <v>930</v>
      </c>
      <c r="E128" s="34"/>
      <c r="F128" s="11">
        <f>F129</f>
        <v>29</v>
      </c>
      <c r="G128" s="11">
        <f t="shared" si="76"/>
        <v>29</v>
      </c>
      <c r="H128" s="11">
        <f t="shared" si="76"/>
        <v>0</v>
      </c>
      <c r="I128" s="11">
        <f t="shared" si="76"/>
        <v>0</v>
      </c>
      <c r="J128" s="11">
        <f t="shared" si="76"/>
        <v>0</v>
      </c>
      <c r="K128" s="11">
        <f t="shared" si="76"/>
        <v>28</v>
      </c>
      <c r="L128" s="11">
        <f t="shared" si="76"/>
        <v>0</v>
      </c>
      <c r="M128" s="7">
        <f t="shared" si="47"/>
        <v>0</v>
      </c>
    </row>
    <row r="129" spans="1:13" ht="31.5">
      <c r="A129" s="26" t="s">
        <v>183</v>
      </c>
      <c r="B129" s="10" t="s">
        <v>170</v>
      </c>
      <c r="C129" s="10" t="s">
        <v>192</v>
      </c>
      <c r="D129" s="21" t="s">
        <v>930</v>
      </c>
      <c r="E129" s="34" t="s">
        <v>184</v>
      </c>
      <c r="F129" s="11">
        <f>F130</f>
        <v>29</v>
      </c>
      <c r="G129" s="11">
        <f t="shared" si="76"/>
        <v>29</v>
      </c>
      <c r="H129" s="11">
        <f t="shared" si="76"/>
        <v>0</v>
      </c>
      <c r="I129" s="11">
        <f t="shared" si="76"/>
        <v>0</v>
      </c>
      <c r="J129" s="11">
        <f t="shared" si="76"/>
        <v>0</v>
      </c>
      <c r="K129" s="11">
        <f t="shared" si="76"/>
        <v>28</v>
      </c>
      <c r="L129" s="11">
        <f t="shared" si="76"/>
        <v>0</v>
      </c>
      <c r="M129" s="7">
        <f t="shared" si="47"/>
        <v>0</v>
      </c>
    </row>
    <row r="130" spans="1:13" ht="47.25">
      <c r="A130" s="26" t="s">
        <v>185</v>
      </c>
      <c r="B130" s="10" t="s">
        <v>170</v>
      </c>
      <c r="C130" s="10" t="s">
        <v>192</v>
      </c>
      <c r="D130" s="21" t="s">
        <v>930</v>
      </c>
      <c r="E130" s="34" t="s">
        <v>186</v>
      </c>
      <c r="F130" s="11">
        <f>'Прил.№4 ведомств.'!G100</f>
        <v>29</v>
      </c>
      <c r="G130" s="11">
        <f>'Прил.№4 ведомств.'!I100</f>
        <v>29</v>
      </c>
      <c r="H130" s="11">
        <f>'Прил.№4 ведомств.'!J100</f>
        <v>0</v>
      </c>
      <c r="I130" s="11">
        <f>'Прил.№4 ведомств.'!K100</f>
        <v>0</v>
      </c>
      <c r="J130" s="11">
        <f>'Прил.№4 ведомств.'!L100</f>
        <v>0</v>
      </c>
      <c r="K130" s="11">
        <f>'Прил.№4 ведомств.'!M100+'Прил.№4 ведомств.'!M279</f>
        <v>28</v>
      </c>
      <c r="L130" s="11">
        <f>'Прил.№4 ведомств.'!N100+'Прил.№4 ведомств.'!N279</f>
        <v>0</v>
      </c>
      <c r="M130" s="7">
        <f t="shared" si="47"/>
        <v>0</v>
      </c>
    </row>
    <row r="131" spans="1:13" ht="31.5">
      <c r="A131" s="261" t="s">
        <v>934</v>
      </c>
      <c r="B131" s="21" t="s">
        <v>170</v>
      </c>
      <c r="C131" s="21" t="s">
        <v>192</v>
      </c>
      <c r="D131" s="21" t="s">
        <v>935</v>
      </c>
      <c r="E131" s="34"/>
      <c r="F131" s="11"/>
      <c r="G131" s="11"/>
      <c r="H131" s="11"/>
      <c r="I131" s="11"/>
      <c r="J131" s="11"/>
      <c r="K131" s="11">
        <f>K132</f>
        <v>63.6</v>
      </c>
      <c r="L131" s="11">
        <f aca="true" t="shared" si="78" ref="L131:L132">L132</f>
        <v>28.9</v>
      </c>
      <c r="M131" s="7">
        <f t="shared" si="47"/>
        <v>45.44025157232704</v>
      </c>
    </row>
    <row r="132" spans="1:13" ht="31.5">
      <c r="A132" s="26" t="s">
        <v>183</v>
      </c>
      <c r="B132" s="21" t="s">
        <v>170</v>
      </c>
      <c r="C132" s="21" t="s">
        <v>192</v>
      </c>
      <c r="D132" s="21" t="s">
        <v>935</v>
      </c>
      <c r="E132" s="34" t="s">
        <v>184</v>
      </c>
      <c r="F132" s="11"/>
      <c r="G132" s="11"/>
      <c r="H132" s="11"/>
      <c r="I132" s="11"/>
      <c r="J132" s="11"/>
      <c r="K132" s="11">
        <f>K133</f>
        <v>63.6</v>
      </c>
      <c r="L132" s="11">
        <f t="shared" si="78"/>
        <v>28.9</v>
      </c>
      <c r="M132" s="7">
        <f t="shared" si="47"/>
        <v>45.44025157232704</v>
      </c>
    </row>
    <row r="133" spans="1:13" ht="47.25">
      <c r="A133" s="26" t="s">
        <v>185</v>
      </c>
      <c r="B133" s="21" t="s">
        <v>170</v>
      </c>
      <c r="C133" s="21" t="s">
        <v>192</v>
      </c>
      <c r="D133" s="21" t="s">
        <v>935</v>
      </c>
      <c r="E133" s="34" t="s">
        <v>186</v>
      </c>
      <c r="F133" s="11"/>
      <c r="G133" s="11"/>
      <c r="H133" s="11"/>
      <c r="I133" s="11"/>
      <c r="J133" s="11"/>
      <c r="K133" s="11">
        <f>'Прил.№4 ведомств.'!M1108</f>
        <v>63.6</v>
      </c>
      <c r="L133" s="11">
        <f>'Прил.№4 ведомств.'!N1108</f>
        <v>28.9</v>
      </c>
      <c r="M133" s="7">
        <f t="shared" si="47"/>
        <v>45.44025157232704</v>
      </c>
    </row>
    <row r="134" spans="1:13" ht="33.75" customHeight="1">
      <c r="A134" s="262" t="s">
        <v>933</v>
      </c>
      <c r="B134" s="21" t="s">
        <v>170</v>
      </c>
      <c r="C134" s="21" t="s">
        <v>192</v>
      </c>
      <c r="D134" s="21" t="s">
        <v>932</v>
      </c>
      <c r="E134" s="34"/>
      <c r="F134" s="11">
        <f>F135</f>
        <v>0</v>
      </c>
      <c r="G134" s="11">
        <f aca="true" t="shared" si="79" ref="G134:L135">G135</f>
        <v>0</v>
      </c>
      <c r="H134" s="11">
        <f t="shared" si="79"/>
        <v>0</v>
      </c>
      <c r="I134" s="11">
        <f t="shared" si="79"/>
        <v>0</v>
      </c>
      <c r="J134" s="11">
        <f t="shared" si="79"/>
        <v>0</v>
      </c>
      <c r="K134" s="11">
        <f t="shared" si="79"/>
        <v>15</v>
      </c>
      <c r="L134" s="11">
        <f t="shared" si="79"/>
        <v>11</v>
      </c>
      <c r="M134" s="7">
        <f t="shared" si="47"/>
        <v>73.33333333333333</v>
      </c>
    </row>
    <row r="135" spans="1:13" ht="31.5" customHeight="1">
      <c r="A135" s="26" t="s">
        <v>183</v>
      </c>
      <c r="B135" s="21" t="s">
        <v>170</v>
      </c>
      <c r="C135" s="21" t="s">
        <v>192</v>
      </c>
      <c r="D135" s="21" t="s">
        <v>932</v>
      </c>
      <c r="E135" s="34" t="s">
        <v>184</v>
      </c>
      <c r="F135" s="11">
        <f>F136</f>
        <v>0</v>
      </c>
      <c r="G135" s="11">
        <f t="shared" si="79"/>
        <v>0</v>
      </c>
      <c r="H135" s="11">
        <f t="shared" si="79"/>
        <v>0</v>
      </c>
      <c r="I135" s="11">
        <f t="shared" si="79"/>
        <v>0</v>
      </c>
      <c r="J135" s="11">
        <f t="shared" si="79"/>
        <v>0</v>
      </c>
      <c r="K135" s="11">
        <f t="shared" si="79"/>
        <v>15</v>
      </c>
      <c r="L135" s="11">
        <f t="shared" si="79"/>
        <v>11</v>
      </c>
      <c r="M135" s="7">
        <f t="shared" si="47"/>
        <v>73.33333333333333</v>
      </c>
    </row>
    <row r="136" spans="1:13" ht="47.25" customHeight="1">
      <c r="A136" s="26" t="s">
        <v>185</v>
      </c>
      <c r="B136" s="21" t="s">
        <v>170</v>
      </c>
      <c r="C136" s="21" t="s">
        <v>192</v>
      </c>
      <c r="D136" s="21" t="s">
        <v>932</v>
      </c>
      <c r="E136" s="34" t="s">
        <v>186</v>
      </c>
      <c r="F136" s="11">
        <f>'Прил.№4 ведомств.'!G103</f>
        <v>0</v>
      </c>
      <c r="G136" s="11">
        <f>'Прил.№4 ведомств.'!I103</f>
        <v>0</v>
      </c>
      <c r="H136" s="11">
        <f>'Прил.№4 ведомств.'!J103</f>
        <v>0</v>
      </c>
      <c r="I136" s="11">
        <f>'Прил.№4 ведомств.'!K103</f>
        <v>0</v>
      </c>
      <c r="J136" s="11">
        <f>'Прил.№4 ведомств.'!L103</f>
        <v>0</v>
      </c>
      <c r="K136" s="11">
        <f>'Прил.№4 ведомств.'!M106</f>
        <v>15</v>
      </c>
      <c r="L136" s="11">
        <f>'Прил.№4 ведомств.'!N106</f>
        <v>11</v>
      </c>
      <c r="M136" s="7">
        <f t="shared" si="47"/>
        <v>73.33333333333333</v>
      </c>
    </row>
    <row r="137" spans="1:13" ht="47.25">
      <c r="A137" s="26" t="s">
        <v>948</v>
      </c>
      <c r="B137" s="21" t="s">
        <v>170</v>
      </c>
      <c r="C137" s="21" t="s">
        <v>192</v>
      </c>
      <c r="D137" s="21" t="s">
        <v>949</v>
      </c>
      <c r="E137" s="34"/>
      <c r="F137" s="11"/>
      <c r="G137" s="11"/>
      <c r="H137" s="11"/>
      <c r="I137" s="11"/>
      <c r="J137" s="11"/>
      <c r="K137" s="11">
        <f>K138</f>
        <v>3850.6</v>
      </c>
      <c r="L137" s="11">
        <f aca="true" t="shared" si="80" ref="L137:L138">L138</f>
        <v>2451.6</v>
      </c>
      <c r="M137" s="7">
        <f t="shared" si="47"/>
        <v>63.667999792240174</v>
      </c>
    </row>
    <row r="138" spans="1:13" ht="47.25">
      <c r="A138" s="109" t="s">
        <v>324</v>
      </c>
      <c r="B138" s="21" t="s">
        <v>170</v>
      </c>
      <c r="C138" s="21" t="s">
        <v>192</v>
      </c>
      <c r="D138" s="21" t="s">
        <v>949</v>
      </c>
      <c r="E138" s="34" t="s">
        <v>325</v>
      </c>
      <c r="F138" s="11"/>
      <c r="G138" s="11"/>
      <c r="H138" s="11"/>
      <c r="I138" s="11"/>
      <c r="J138" s="11"/>
      <c r="K138" s="11">
        <f>K139</f>
        <v>3850.6</v>
      </c>
      <c r="L138" s="11">
        <f t="shared" si="80"/>
        <v>2451.6</v>
      </c>
      <c r="M138" s="7">
        <f t="shared" si="47"/>
        <v>63.667999792240174</v>
      </c>
    </row>
    <row r="139" spans="1:13" ht="15.75">
      <c r="A139" s="209" t="s">
        <v>326</v>
      </c>
      <c r="B139" s="21" t="s">
        <v>170</v>
      </c>
      <c r="C139" s="21" t="s">
        <v>192</v>
      </c>
      <c r="D139" s="21" t="s">
        <v>949</v>
      </c>
      <c r="E139" s="34" t="s">
        <v>327</v>
      </c>
      <c r="F139" s="11"/>
      <c r="G139" s="11"/>
      <c r="H139" s="11"/>
      <c r="I139" s="11"/>
      <c r="J139" s="11"/>
      <c r="K139" s="11">
        <f>'Прил.№4 ведомств.'!M282+'Прил.№4 ведомств.'!M593+'Прил.№4 ведомств.'!M779</f>
        <v>3850.6</v>
      </c>
      <c r="L139" s="11">
        <f>'Прил.№4 ведомств.'!N282+'Прил.№4 ведомств.'!N593+'Прил.№4 ведомств.'!N779</f>
        <v>2451.6</v>
      </c>
      <c r="M139" s="7">
        <f t="shared" si="47"/>
        <v>63.667999792240174</v>
      </c>
    </row>
    <row r="140" spans="1:13" ht="63">
      <c r="A140" s="209" t="s">
        <v>951</v>
      </c>
      <c r="B140" s="21" t="s">
        <v>170</v>
      </c>
      <c r="C140" s="21" t="s">
        <v>192</v>
      </c>
      <c r="D140" s="21" t="s">
        <v>956</v>
      </c>
      <c r="E140" s="34"/>
      <c r="F140" s="11"/>
      <c r="G140" s="11"/>
      <c r="H140" s="11"/>
      <c r="I140" s="11"/>
      <c r="J140" s="11"/>
      <c r="K140" s="11">
        <f>K141</f>
        <v>67</v>
      </c>
      <c r="L140" s="11">
        <f aca="true" t="shared" si="81" ref="L140:L142">L141</f>
        <v>0</v>
      </c>
      <c r="M140" s="7">
        <f t="shared" si="47"/>
        <v>0</v>
      </c>
    </row>
    <row r="141" spans="1:13" ht="31.5">
      <c r="A141" s="209" t="s">
        <v>808</v>
      </c>
      <c r="B141" s="21" t="s">
        <v>170</v>
      </c>
      <c r="C141" s="21" t="s">
        <v>192</v>
      </c>
      <c r="D141" s="21" t="s">
        <v>952</v>
      </c>
      <c r="E141" s="34"/>
      <c r="F141" s="11"/>
      <c r="G141" s="11"/>
      <c r="H141" s="11"/>
      <c r="I141" s="11"/>
      <c r="J141" s="11"/>
      <c r="K141" s="11">
        <f>K142</f>
        <v>67</v>
      </c>
      <c r="L141" s="11">
        <f t="shared" si="81"/>
        <v>0</v>
      </c>
      <c r="M141" s="7">
        <f aca="true" t="shared" si="82" ref="M141:M204">L141/K141*100</f>
        <v>0</v>
      </c>
    </row>
    <row r="142" spans="1:13" ht="31.5">
      <c r="A142" s="209" t="s">
        <v>183</v>
      </c>
      <c r="B142" s="21" t="s">
        <v>170</v>
      </c>
      <c r="C142" s="21" t="s">
        <v>192</v>
      </c>
      <c r="D142" s="21" t="s">
        <v>952</v>
      </c>
      <c r="E142" s="34" t="s">
        <v>184</v>
      </c>
      <c r="F142" s="11"/>
      <c r="G142" s="11"/>
      <c r="H142" s="11"/>
      <c r="I142" s="11"/>
      <c r="J142" s="11"/>
      <c r="K142" s="11">
        <f>K143</f>
        <v>67</v>
      </c>
      <c r="L142" s="11">
        <f t="shared" si="81"/>
        <v>0</v>
      </c>
      <c r="M142" s="7">
        <f t="shared" si="82"/>
        <v>0</v>
      </c>
    </row>
    <row r="143" spans="1:13" ht="47.25">
      <c r="A143" s="209" t="s">
        <v>185</v>
      </c>
      <c r="B143" s="21" t="s">
        <v>170</v>
      </c>
      <c r="C143" s="21" t="s">
        <v>192</v>
      </c>
      <c r="D143" s="21" t="s">
        <v>952</v>
      </c>
      <c r="E143" s="34" t="s">
        <v>186</v>
      </c>
      <c r="F143" s="11"/>
      <c r="G143" s="11"/>
      <c r="H143" s="11"/>
      <c r="I143" s="11"/>
      <c r="J143" s="11"/>
      <c r="K143" s="11">
        <f>'Прил.№4 ведомств.'!M544</f>
        <v>67</v>
      </c>
      <c r="L143" s="11">
        <f>'Прил.№4 ведомств.'!N544</f>
        <v>0</v>
      </c>
      <c r="M143" s="7">
        <f t="shared" si="82"/>
        <v>0</v>
      </c>
    </row>
    <row r="144" spans="1:13" ht="15.75">
      <c r="A144" s="31" t="s">
        <v>173</v>
      </c>
      <c r="B144" s="42" t="s">
        <v>170</v>
      </c>
      <c r="C144" s="42" t="s">
        <v>192</v>
      </c>
      <c r="D144" s="42" t="s">
        <v>174</v>
      </c>
      <c r="E144" s="42"/>
      <c r="F144" s="7">
        <f aca="true" t="shared" si="83" ref="F144:K144">F145+F178+F199</f>
        <v>32843.74</v>
      </c>
      <c r="G144" s="7">
        <f t="shared" si="83"/>
        <v>26452.86</v>
      </c>
      <c r="H144" s="7">
        <f t="shared" si="83"/>
        <v>50792.7</v>
      </c>
      <c r="I144" s="7">
        <f t="shared" si="83"/>
        <v>51390.9</v>
      </c>
      <c r="J144" s="7">
        <f t="shared" si="83"/>
        <v>51890.4</v>
      </c>
      <c r="K144" s="7">
        <f t="shared" si="83"/>
        <v>47198</v>
      </c>
      <c r="L144" s="7">
        <f aca="true" t="shared" si="84" ref="L144">L145+L178+L199</f>
        <v>26689.300000000003</v>
      </c>
      <c r="M144" s="7">
        <f t="shared" si="82"/>
        <v>56.54752320013561</v>
      </c>
    </row>
    <row r="145" spans="1:13" ht="31.5">
      <c r="A145" s="31" t="s">
        <v>237</v>
      </c>
      <c r="B145" s="42" t="s">
        <v>170</v>
      </c>
      <c r="C145" s="42" t="s">
        <v>192</v>
      </c>
      <c r="D145" s="42" t="s">
        <v>238</v>
      </c>
      <c r="E145" s="8"/>
      <c r="F145" s="11">
        <f aca="true" t="shared" si="85" ref="F145:J145">F154+F165+F168+F173+F149+F162+F159</f>
        <v>3721.5999999999995</v>
      </c>
      <c r="G145" s="11">
        <f t="shared" si="85"/>
        <v>3721.5999999999995</v>
      </c>
      <c r="H145" s="11">
        <f t="shared" si="85"/>
        <v>3632.8999999999996</v>
      </c>
      <c r="I145" s="11">
        <f t="shared" si="85"/>
        <v>3632.8999999999996</v>
      </c>
      <c r="J145" s="11">
        <f t="shared" si="85"/>
        <v>3632.8999999999996</v>
      </c>
      <c r="K145" s="11">
        <f>K154+K165+K168+K173+K149+K162+K159+K146</f>
        <v>4348.7</v>
      </c>
      <c r="L145" s="11">
        <f aca="true" t="shared" si="86" ref="L145">L154+L165+L168+L173+L149+L162+L159+L146</f>
        <v>1351.3</v>
      </c>
      <c r="M145" s="7">
        <f t="shared" si="82"/>
        <v>31.073654195506705</v>
      </c>
    </row>
    <row r="146" spans="1:13" ht="31.5">
      <c r="A146" s="26" t="s">
        <v>995</v>
      </c>
      <c r="B146" s="42" t="s">
        <v>170</v>
      </c>
      <c r="C146" s="42" t="s">
        <v>192</v>
      </c>
      <c r="D146" s="42" t="s">
        <v>996</v>
      </c>
      <c r="E146" s="8"/>
      <c r="F146" s="11"/>
      <c r="G146" s="11"/>
      <c r="H146" s="11"/>
      <c r="I146" s="11"/>
      <c r="J146" s="11"/>
      <c r="K146" s="11">
        <f>K147</f>
        <v>670</v>
      </c>
      <c r="L146" s="11">
        <f aca="true" t="shared" si="87" ref="L146:L147">L147</f>
        <v>0</v>
      </c>
      <c r="M146" s="7">
        <f t="shared" si="82"/>
        <v>0</v>
      </c>
    </row>
    <row r="147" spans="1:13" ht="31.5">
      <c r="A147" s="26" t="s">
        <v>183</v>
      </c>
      <c r="B147" s="42" t="s">
        <v>170</v>
      </c>
      <c r="C147" s="42" t="s">
        <v>192</v>
      </c>
      <c r="D147" s="42" t="s">
        <v>996</v>
      </c>
      <c r="E147" s="42" t="s">
        <v>184</v>
      </c>
      <c r="F147" s="11"/>
      <c r="G147" s="11"/>
      <c r="H147" s="11"/>
      <c r="I147" s="11"/>
      <c r="J147" s="11"/>
      <c r="K147" s="11">
        <f>K148</f>
        <v>670</v>
      </c>
      <c r="L147" s="11">
        <f t="shared" si="87"/>
        <v>0</v>
      </c>
      <c r="M147" s="7">
        <f t="shared" si="82"/>
        <v>0</v>
      </c>
    </row>
    <row r="148" spans="1:13" ht="47.25">
      <c r="A148" s="26" t="s">
        <v>185</v>
      </c>
      <c r="B148" s="42" t="s">
        <v>170</v>
      </c>
      <c r="C148" s="42" t="s">
        <v>192</v>
      </c>
      <c r="D148" s="42" t="s">
        <v>996</v>
      </c>
      <c r="E148" s="42" t="s">
        <v>186</v>
      </c>
      <c r="F148" s="11"/>
      <c r="G148" s="11"/>
      <c r="H148" s="11"/>
      <c r="I148" s="11"/>
      <c r="J148" s="11"/>
      <c r="K148" s="11">
        <f>'Прил.№4 ведомств.'!M549</f>
        <v>670</v>
      </c>
      <c r="L148" s="11">
        <f>'Прил.№4 ведомств.'!N549</f>
        <v>0</v>
      </c>
      <c r="M148" s="7">
        <f t="shared" si="82"/>
        <v>0</v>
      </c>
    </row>
    <row r="149" spans="1:13" ht="47.25" customHeight="1">
      <c r="A149" s="26" t="s">
        <v>239</v>
      </c>
      <c r="B149" s="42" t="s">
        <v>170</v>
      </c>
      <c r="C149" s="42" t="s">
        <v>192</v>
      </c>
      <c r="D149" s="42" t="s">
        <v>240</v>
      </c>
      <c r="E149" s="8"/>
      <c r="F149" s="11">
        <f>F150+F152</f>
        <v>0</v>
      </c>
      <c r="G149" s="11">
        <f aca="true" t="shared" si="88" ref="G149:K149">G150+G152</f>
        <v>0</v>
      </c>
      <c r="H149" s="11">
        <f t="shared" si="88"/>
        <v>0</v>
      </c>
      <c r="I149" s="11">
        <f t="shared" si="88"/>
        <v>0</v>
      </c>
      <c r="J149" s="11">
        <f t="shared" si="88"/>
        <v>0</v>
      </c>
      <c r="K149" s="11">
        <f t="shared" si="88"/>
        <v>96.2</v>
      </c>
      <c r="L149" s="11">
        <f aca="true" t="shared" si="89" ref="L149">L150+L152</f>
        <v>39.8</v>
      </c>
      <c r="M149" s="7">
        <f t="shared" si="82"/>
        <v>41.37214137214137</v>
      </c>
    </row>
    <row r="150" spans="1:13" ht="78.75" customHeight="1">
      <c r="A150" s="26" t="s">
        <v>179</v>
      </c>
      <c r="B150" s="42" t="s">
        <v>170</v>
      </c>
      <c r="C150" s="42" t="s">
        <v>192</v>
      </c>
      <c r="D150" s="42" t="s">
        <v>240</v>
      </c>
      <c r="E150" s="42" t="s">
        <v>180</v>
      </c>
      <c r="F150" s="11">
        <f>F151</f>
        <v>0</v>
      </c>
      <c r="G150" s="11">
        <f aca="true" t="shared" si="90" ref="G150:L150">G151</f>
        <v>0</v>
      </c>
      <c r="H150" s="11">
        <f t="shared" si="90"/>
        <v>0</v>
      </c>
      <c r="I150" s="11">
        <f t="shared" si="90"/>
        <v>0</v>
      </c>
      <c r="J150" s="11">
        <f t="shared" si="90"/>
        <v>0</v>
      </c>
      <c r="K150" s="11">
        <f t="shared" si="90"/>
        <v>96.2</v>
      </c>
      <c r="L150" s="11">
        <f t="shared" si="90"/>
        <v>39.8</v>
      </c>
      <c r="M150" s="7">
        <f t="shared" si="82"/>
        <v>41.37214137214137</v>
      </c>
    </row>
    <row r="151" spans="1:13" ht="31.5" customHeight="1">
      <c r="A151" s="26" t="s">
        <v>181</v>
      </c>
      <c r="B151" s="42" t="s">
        <v>170</v>
      </c>
      <c r="C151" s="42" t="s">
        <v>192</v>
      </c>
      <c r="D151" s="42" t="s">
        <v>240</v>
      </c>
      <c r="E151" s="42" t="s">
        <v>182</v>
      </c>
      <c r="F151" s="11"/>
      <c r="G151" s="11"/>
      <c r="H151" s="11"/>
      <c r="I151" s="11"/>
      <c r="J151" s="11"/>
      <c r="K151" s="11">
        <f>'Прил.№4 ведомств.'!M111</f>
        <v>96.2</v>
      </c>
      <c r="L151" s="11">
        <f>'Прил.№4 ведомств.'!N111</f>
        <v>39.8</v>
      </c>
      <c r="M151" s="7">
        <f t="shared" si="82"/>
        <v>41.37214137214137</v>
      </c>
    </row>
    <row r="152" spans="1:13" ht="31.5" customHeight="1" hidden="1">
      <c r="A152" s="26" t="s">
        <v>183</v>
      </c>
      <c r="B152" s="42" t="s">
        <v>170</v>
      </c>
      <c r="C152" s="42" t="s">
        <v>192</v>
      </c>
      <c r="D152" s="42" t="s">
        <v>240</v>
      </c>
      <c r="E152" s="42" t="s">
        <v>184</v>
      </c>
      <c r="F152" s="11">
        <f>F153</f>
        <v>0</v>
      </c>
      <c r="G152" s="11">
        <f aca="true" t="shared" si="91" ref="G152:L152">G153</f>
        <v>0</v>
      </c>
      <c r="H152" s="11">
        <f t="shared" si="91"/>
        <v>0</v>
      </c>
      <c r="I152" s="11">
        <f t="shared" si="91"/>
        <v>0</v>
      </c>
      <c r="J152" s="11">
        <f t="shared" si="91"/>
        <v>0</v>
      </c>
      <c r="K152" s="11">
        <f t="shared" si="91"/>
        <v>0</v>
      </c>
      <c r="L152" s="11">
        <f t="shared" si="91"/>
        <v>0</v>
      </c>
      <c r="M152" s="7" t="e">
        <f t="shared" si="82"/>
        <v>#DIV/0!</v>
      </c>
    </row>
    <row r="153" spans="1:13" ht="47.25" customHeight="1" hidden="1">
      <c r="A153" s="26" t="s">
        <v>185</v>
      </c>
      <c r="B153" s="42" t="s">
        <v>170</v>
      </c>
      <c r="C153" s="42" t="s">
        <v>192</v>
      </c>
      <c r="D153" s="42" t="s">
        <v>240</v>
      </c>
      <c r="E153" s="42" t="s">
        <v>186</v>
      </c>
      <c r="F153" s="11"/>
      <c r="G153" s="11"/>
      <c r="H153" s="11"/>
      <c r="I153" s="11"/>
      <c r="J153" s="11"/>
      <c r="K153" s="11"/>
      <c r="L153" s="11"/>
      <c r="M153" s="7" t="e">
        <f t="shared" si="82"/>
        <v>#DIV/0!</v>
      </c>
    </row>
    <row r="154" spans="1:13" ht="47.25">
      <c r="A154" s="47" t="s">
        <v>241</v>
      </c>
      <c r="B154" s="42" t="s">
        <v>170</v>
      </c>
      <c r="C154" s="42" t="s">
        <v>192</v>
      </c>
      <c r="D154" s="42" t="s">
        <v>242</v>
      </c>
      <c r="E154" s="42"/>
      <c r="F154" s="7">
        <f>F155</f>
        <v>701.8</v>
      </c>
      <c r="G154" s="7">
        <f aca="true" t="shared" si="92" ref="G154:L155">G155</f>
        <v>701.8</v>
      </c>
      <c r="H154" s="7">
        <f t="shared" si="92"/>
        <v>701.8</v>
      </c>
      <c r="I154" s="7">
        <f t="shared" si="92"/>
        <v>701.8</v>
      </c>
      <c r="J154" s="7">
        <f t="shared" si="92"/>
        <v>701.8</v>
      </c>
      <c r="K154" s="7">
        <f>K155+K157</f>
        <v>673.4000000000001</v>
      </c>
      <c r="L154" s="7">
        <f aca="true" t="shared" si="93" ref="L154">L155+L157</f>
        <v>245.9</v>
      </c>
      <c r="M154" s="7">
        <f t="shared" si="82"/>
        <v>36.51618651618651</v>
      </c>
    </row>
    <row r="155" spans="1:13" ht="78.75">
      <c r="A155" s="31" t="s">
        <v>179</v>
      </c>
      <c r="B155" s="42" t="s">
        <v>170</v>
      </c>
      <c r="C155" s="42" t="s">
        <v>192</v>
      </c>
      <c r="D155" s="42" t="s">
        <v>242</v>
      </c>
      <c r="E155" s="42" t="s">
        <v>180</v>
      </c>
      <c r="F155" s="7">
        <f>F156</f>
        <v>701.8</v>
      </c>
      <c r="G155" s="7">
        <f t="shared" si="92"/>
        <v>701.8</v>
      </c>
      <c r="H155" s="7">
        <f t="shared" si="92"/>
        <v>701.8</v>
      </c>
      <c r="I155" s="7">
        <f t="shared" si="92"/>
        <v>701.8</v>
      </c>
      <c r="J155" s="7">
        <f t="shared" si="92"/>
        <v>701.8</v>
      </c>
      <c r="K155" s="7">
        <f t="shared" si="92"/>
        <v>471.1</v>
      </c>
      <c r="L155" s="7">
        <f t="shared" si="92"/>
        <v>245.9</v>
      </c>
      <c r="M155" s="7">
        <f t="shared" si="82"/>
        <v>52.19698577796647</v>
      </c>
    </row>
    <row r="156" spans="1:13" ht="31.5">
      <c r="A156" s="31" t="s">
        <v>181</v>
      </c>
      <c r="B156" s="42" t="s">
        <v>170</v>
      </c>
      <c r="C156" s="42" t="s">
        <v>192</v>
      </c>
      <c r="D156" s="42" t="s">
        <v>242</v>
      </c>
      <c r="E156" s="42" t="s">
        <v>182</v>
      </c>
      <c r="F156" s="7">
        <f>'Прил.№4 ведомств.'!G116</f>
        <v>701.8</v>
      </c>
      <c r="G156" s="7">
        <f>'Прил.№4 ведомств.'!I116</f>
        <v>701.8</v>
      </c>
      <c r="H156" s="7">
        <f>'Прил.№4 ведомств.'!J116</f>
        <v>701.8</v>
      </c>
      <c r="I156" s="7">
        <f>'Прил.№4 ведомств.'!K116</f>
        <v>701.8</v>
      </c>
      <c r="J156" s="7">
        <f>'Прил.№4 ведомств.'!L116</f>
        <v>701.8</v>
      </c>
      <c r="K156" s="7">
        <f>'Прил.№4 ведомств.'!M116</f>
        <v>471.1</v>
      </c>
      <c r="L156" s="7">
        <f>'Прил.№4 ведомств.'!N116</f>
        <v>245.9</v>
      </c>
      <c r="M156" s="7">
        <f t="shared" si="82"/>
        <v>52.19698577796647</v>
      </c>
    </row>
    <row r="157" spans="1:13" ht="31.5">
      <c r="A157" s="26" t="s">
        <v>183</v>
      </c>
      <c r="B157" s="42" t="s">
        <v>170</v>
      </c>
      <c r="C157" s="42" t="s">
        <v>192</v>
      </c>
      <c r="D157" s="42" t="s">
        <v>242</v>
      </c>
      <c r="E157" s="42" t="s">
        <v>184</v>
      </c>
      <c r="F157" s="7"/>
      <c r="G157" s="7"/>
      <c r="H157" s="7"/>
      <c r="I157" s="7"/>
      <c r="J157" s="7"/>
      <c r="K157" s="7">
        <f>K158</f>
        <v>202.3</v>
      </c>
      <c r="L157" s="7">
        <f aca="true" t="shared" si="94" ref="L157">L158</f>
        <v>0</v>
      </c>
      <c r="M157" s="7">
        <f t="shared" si="82"/>
        <v>0</v>
      </c>
    </row>
    <row r="158" spans="1:13" ht="47.25">
      <c r="A158" s="26" t="s">
        <v>185</v>
      </c>
      <c r="B158" s="42" t="s">
        <v>170</v>
      </c>
      <c r="C158" s="42" t="s">
        <v>192</v>
      </c>
      <c r="D158" s="42" t="s">
        <v>242</v>
      </c>
      <c r="E158" s="42" t="s">
        <v>186</v>
      </c>
      <c r="F158" s="7"/>
      <c r="G158" s="7"/>
      <c r="H158" s="7"/>
      <c r="I158" s="7"/>
      <c r="J158" s="7"/>
      <c r="K158" s="7">
        <f>'Прил.№4 ведомств.'!M118</f>
        <v>202.3</v>
      </c>
      <c r="L158" s="7">
        <f>'Прил.№4 ведомств.'!N118</f>
        <v>0</v>
      </c>
      <c r="M158" s="7">
        <f t="shared" si="82"/>
        <v>0</v>
      </c>
    </row>
    <row r="159" spans="1:13" ht="47.25" hidden="1">
      <c r="A159" s="37" t="s">
        <v>833</v>
      </c>
      <c r="B159" s="42" t="s">
        <v>170</v>
      </c>
      <c r="C159" s="42" t="s">
        <v>192</v>
      </c>
      <c r="D159" s="42" t="s">
        <v>832</v>
      </c>
      <c r="E159" s="42"/>
      <c r="F159" s="7">
        <f>F160</f>
        <v>88.7</v>
      </c>
      <c r="G159" s="7">
        <f aca="true" t="shared" si="95" ref="G159:L160">G160</f>
        <v>88.7</v>
      </c>
      <c r="H159" s="7">
        <f t="shared" si="95"/>
        <v>0</v>
      </c>
      <c r="I159" s="7">
        <f t="shared" si="95"/>
        <v>0</v>
      </c>
      <c r="J159" s="7">
        <f t="shared" si="95"/>
        <v>0</v>
      </c>
      <c r="K159" s="7">
        <f t="shared" si="95"/>
        <v>0</v>
      </c>
      <c r="L159" s="7">
        <f t="shared" si="95"/>
        <v>0</v>
      </c>
      <c r="M159" s="7" t="e">
        <f t="shared" si="82"/>
        <v>#DIV/0!</v>
      </c>
    </row>
    <row r="160" spans="1:13" ht="31.5" hidden="1">
      <c r="A160" s="26" t="s">
        <v>183</v>
      </c>
      <c r="B160" s="42" t="s">
        <v>170</v>
      </c>
      <c r="C160" s="42" t="s">
        <v>192</v>
      </c>
      <c r="D160" s="42" t="s">
        <v>832</v>
      </c>
      <c r="E160" s="42" t="s">
        <v>184</v>
      </c>
      <c r="F160" s="7">
        <f>F161</f>
        <v>88.7</v>
      </c>
      <c r="G160" s="7">
        <f t="shared" si="95"/>
        <v>88.7</v>
      </c>
      <c r="H160" s="7">
        <f t="shared" si="95"/>
        <v>0</v>
      </c>
      <c r="I160" s="7">
        <f t="shared" si="95"/>
        <v>0</v>
      </c>
      <c r="J160" s="7">
        <f t="shared" si="95"/>
        <v>0</v>
      </c>
      <c r="K160" s="7">
        <f t="shared" si="95"/>
        <v>0</v>
      </c>
      <c r="L160" s="7">
        <f t="shared" si="95"/>
        <v>0</v>
      </c>
      <c r="M160" s="7" t="e">
        <f t="shared" si="82"/>
        <v>#DIV/0!</v>
      </c>
    </row>
    <row r="161" spans="1:13" ht="47.25" hidden="1">
      <c r="A161" s="26" t="s">
        <v>185</v>
      </c>
      <c r="B161" s="42" t="s">
        <v>170</v>
      </c>
      <c r="C161" s="42" t="s">
        <v>192</v>
      </c>
      <c r="D161" s="42" t="s">
        <v>832</v>
      </c>
      <c r="E161" s="42" t="s">
        <v>186</v>
      </c>
      <c r="F161" s="7">
        <f>'Прил.№4 ведомств.'!G275</f>
        <v>88.7</v>
      </c>
      <c r="G161" s="7">
        <f>'Прил.№4 ведомств.'!I275</f>
        <v>88.7</v>
      </c>
      <c r="H161" s="7">
        <f>'Прил.№4 ведомств.'!J275</f>
        <v>0</v>
      </c>
      <c r="I161" s="7">
        <f>'Прил.№4 ведомств.'!K275</f>
        <v>0</v>
      </c>
      <c r="J161" s="7">
        <f>'Прил.№4 ведомств.'!L275</f>
        <v>0</v>
      </c>
      <c r="K161" s="7">
        <f>'Прил.№4 ведомств.'!M275</f>
        <v>0</v>
      </c>
      <c r="L161" s="7">
        <f>'Прил.№4 ведомств.'!N275</f>
        <v>0</v>
      </c>
      <c r="M161" s="7" t="e">
        <f t="shared" si="82"/>
        <v>#DIV/0!</v>
      </c>
    </row>
    <row r="162" spans="1:13" ht="63">
      <c r="A162" s="33" t="s">
        <v>778</v>
      </c>
      <c r="B162" s="42" t="s">
        <v>170</v>
      </c>
      <c r="C162" s="42" t="s">
        <v>192</v>
      </c>
      <c r="D162" s="21" t="s">
        <v>780</v>
      </c>
      <c r="E162" s="42"/>
      <c r="F162" s="7">
        <f>F163</f>
        <v>32</v>
      </c>
      <c r="G162" s="7">
        <f aca="true" t="shared" si="96" ref="G162:L163">G163</f>
        <v>32</v>
      </c>
      <c r="H162" s="7">
        <f t="shared" si="96"/>
        <v>32</v>
      </c>
      <c r="I162" s="7">
        <f t="shared" si="96"/>
        <v>32</v>
      </c>
      <c r="J162" s="7">
        <f t="shared" si="96"/>
        <v>32</v>
      </c>
      <c r="K162" s="7">
        <f t="shared" si="96"/>
        <v>50</v>
      </c>
      <c r="L162" s="7">
        <f t="shared" si="96"/>
        <v>0</v>
      </c>
      <c r="M162" s="7">
        <f t="shared" si="82"/>
        <v>0</v>
      </c>
    </row>
    <row r="163" spans="1:13" ht="31.5">
      <c r="A163" s="26" t="s">
        <v>183</v>
      </c>
      <c r="B163" s="42" t="s">
        <v>170</v>
      </c>
      <c r="C163" s="42" t="s">
        <v>192</v>
      </c>
      <c r="D163" s="21" t="s">
        <v>780</v>
      </c>
      <c r="E163" s="42" t="s">
        <v>184</v>
      </c>
      <c r="F163" s="7">
        <f>F164</f>
        <v>32</v>
      </c>
      <c r="G163" s="7">
        <f t="shared" si="96"/>
        <v>32</v>
      </c>
      <c r="H163" s="7">
        <f t="shared" si="96"/>
        <v>32</v>
      </c>
      <c r="I163" s="7">
        <f t="shared" si="96"/>
        <v>32</v>
      </c>
      <c r="J163" s="7">
        <f t="shared" si="96"/>
        <v>32</v>
      </c>
      <c r="K163" s="7">
        <f t="shared" si="96"/>
        <v>50</v>
      </c>
      <c r="L163" s="7">
        <f t="shared" si="96"/>
        <v>0</v>
      </c>
      <c r="M163" s="7">
        <f t="shared" si="82"/>
        <v>0</v>
      </c>
    </row>
    <row r="164" spans="1:13" ht="47.25">
      <c r="A164" s="26" t="s">
        <v>185</v>
      </c>
      <c r="B164" s="42" t="s">
        <v>170</v>
      </c>
      <c r="C164" s="42" t="s">
        <v>192</v>
      </c>
      <c r="D164" s="21" t="s">
        <v>780</v>
      </c>
      <c r="E164" s="42" t="s">
        <v>186</v>
      </c>
      <c r="F164" s="7">
        <f>'Прил.№4 ведомств.'!G1101</f>
        <v>32</v>
      </c>
      <c r="G164" s="7">
        <f>'Прил.№4 ведомств.'!I1101</f>
        <v>32</v>
      </c>
      <c r="H164" s="7">
        <f>'Прил.№4 ведомств.'!J1101</f>
        <v>32</v>
      </c>
      <c r="I164" s="7">
        <f>'Прил.№4 ведомств.'!K1101</f>
        <v>32</v>
      </c>
      <c r="J164" s="7">
        <f>'Прил.№4 ведомств.'!L1101</f>
        <v>32</v>
      </c>
      <c r="K164" s="7">
        <f>'Прил.№4 ведомств.'!M1101</f>
        <v>50</v>
      </c>
      <c r="L164" s="7">
        <f>'Прил.№4 ведомств.'!N1101</f>
        <v>0</v>
      </c>
      <c r="M164" s="7">
        <f t="shared" si="82"/>
        <v>0</v>
      </c>
    </row>
    <row r="165" spans="1:13" ht="47.25" hidden="1">
      <c r="A165" s="35" t="s">
        <v>243</v>
      </c>
      <c r="B165" s="21" t="s">
        <v>170</v>
      </c>
      <c r="C165" s="21" t="s">
        <v>192</v>
      </c>
      <c r="D165" s="21" t="s">
        <v>244</v>
      </c>
      <c r="E165" s="21"/>
      <c r="F165" s="11">
        <f>F166</f>
        <v>40</v>
      </c>
      <c r="G165" s="11">
        <f aca="true" t="shared" si="97" ref="G165:L166">G166</f>
        <v>40</v>
      </c>
      <c r="H165" s="11">
        <f t="shared" si="97"/>
        <v>40</v>
      </c>
      <c r="I165" s="11">
        <f t="shared" si="97"/>
        <v>40</v>
      </c>
      <c r="J165" s="11">
        <f t="shared" si="97"/>
        <v>40</v>
      </c>
      <c r="K165" s="11">
        <f t="shared" si="97"/>
        <v>0</v>
      </c>
      <c r="L165" s="11">
        <f t="shared" si="97"/>
        <v>0</v>
      </c>
      <c r="M165" s="7" t="e">
        <f t="shared" si="82"/>
        <v>#DIV/0!</v>
      </c>
    </row>
    <row r="166" spans="1:13" ht="31.5" hidden="1">
      <c r="A166" s="26" t="s">
        <v>183</v>
      </c>
      <c r="B166" s="21" t="s">
        <v>170</v>
      </c>
      <c r="C166" s="21" t="s">
        <v>192</v>
      </c>
      <c r="D166" s="21" t="s">
        <v>244</v>
      </c>
      <c r="E166" s="21" t="s">
        <v>184</v>
      </c>
      <c r="F166" s="11">
        <f>F167</f>
        <v>40</v>
      </c>
      <c r="G166" s="11">
        <f t="shared" si="97"/>
        <v>40</v>
      </c>
      <c r="H166" s="11">
        <f t="shared" si="97"/>
        <v>40</v>
      </c>
      <c r="I166" s="11">
        <f t="shared" si="97"/>
        <v>40</v>
      </c>
      <c r="J166" s="11">
        <f t="shared" si="97"/>
        <v>40</v>
      </c>
      <c r="K166" s="11">
        <f t="shared" si="97"/>
        <v>0</v>
      </c>
      <c r="L166" s="11">
        <f t="shared" si="97"/>
        <v>0</v>
      </c>
      <c r="M166" s="7" t="e">
        <f t="shared" si="82"/>
        <v>#DIV/0!</v>
      </c>
    </row>
    <row r="167" spans="1:13" ht="47.25" hidden="1">
      <c r="A167" s="26" t="s">
        <v>185</v>
      </c>
      <c r="B167" s="21" t="s">
        <v>170</v>
      </c>
      <c r="C167" s="21" t="s">
        <v>192</v>
      </c>
      <c r="D167" s="21" t="s">
        <v>244</v>
      </c>
      <c r="E167" s="21" t="s">
        <v>186</v>
      </c>
      <c r="F167" s="11">
        <f>'Прил.№4 ведомств.'!G121</f>
        <v>40</v>
      </c>
      <c r="G167" s="11">
        <f>'Прил.№4 ведомств.'!I121</f>
        <v>40</v>
      </c>
      <c r="H167" s="11">
        <f>'Прил.№4 ведомств.'!J121</f>
        <v>40</v>
      </c>
      <c r="I167" s="11">
        <f>'Прил.№4 ведомств.'!K121</f>
        <v>40</v>
      </c>
      <c r="J167" s="11">
        <f>'Прил.№4 ведомств.'!L121</f>
        <v>40</v>
      </c>
      <c r="K167" s="11">
        <f>'Прил.№4 ведомств.'!M121</f>
        <v>0</v>
      </c>
      <c r="L167" s="11">
        <f>'Прил.№4 ведомств.'!N121</f>
        <v>0</v>
      </c>
      <c r="M167" s="7" t="e">
        <f t="shared" si="82"/>
        <v>#DIV/0!</v>
      </c>
    </row>
    <row r="168" spans="1:13" ht="47.25">
      <c r="A168" s="33" t="s">
        <v>246</v>
      </c>
      <c r="B168" s="42" t="s">
        <v>170</v>
      </c>
      <c r="C168" s="42" t="s">
        <v>192</v>
      </c>
      <c r="D168" s="42" t="s">
        <v>247</v>
      </c>
      <c r="E168" s="42"/>
      <c r="F168" s="7">
        <f>SUM(F169:F169)</f>
        <v>1752.9</v>
      </c>
      <c r="G168" s="7">
        <f aca="true" t="shared" si="98" ref="G168:J168">SUM(G169:G169)</f>
        <v>1752.9</v>
      </c>
      <c r="H168" s="7">
        <f t="shared" si="98"/>
        <v>1752.9</v>
      </c>
      <c r="I168" s="7">
        <f t="shared" si="98"/>
        <v>1752.9</v>
      </c>
      <c r="J168" s="7">
        <f t="shared" si="98"/>
        <v>1752.9</v>
      </c>
      <c r="K168" s="7">
        <f>K169+K171</f>
        <v>1752.9</v>
      </c>
      <c r="L168" s="7">
        <f aca="true" t="shared" si="99" ref="L168">L169+L171</f>
        <v>784.4</v>
      </c>
      <c r="M168" s="7">
        <f t="shared" si="82"/>
        <v>44.748702150721655</v>
      </c>
    </row>
    <row r="169" spans="1:13" ht="78.75">
      <c r="A169" s="31" t="s">
        <v>179</v>
      </c>
      <c r="B169" s="42" t="s">
        <v>170</v>
      </c>
      <c r="C169" s="42" t="s">
        <v>192</v>
      </c>
      <c r="D169" s="42" t="s">
        <v>247</v>
      </c>
      <c r="E169" s="42" t="s">
        <v>180</v>
      </c>
      <c r="F169" s="7">
        <f>F170</f>
        <v>1752.9</v>
      </c>
      <c r="G169" s="7">
        <f aca="true" t="shared" si="100" ref="G169:L169">G170</f>
        <v>1752.9</v>
      </c>
      <c r="H169" s="7">
        <f t="shared" si="100"/>
        <v>1752.9</v>
      </c>
      <c r="I169" s="7">
        <f t="shared" si="100"/>
        <v>1752.9</v>
      </c>
      <c r="J169" s="7">
        <f t="shared" si="100"/>
        <v>1752.9</v>
      </c>
      <c r="K169" s="7">
        <f t="shared" si="100"/>
        <v>1712.5</v>
      </c>
      <c r="L169" s="7">
        <f t="shared" si="100"/>
        <v>773.1</v>
      </c>
      <c r="M169" s="7">
        <f t="shared" si="82"/>
        <v>45.144525547445255</v>
      </c>
    </row>
    <row r="170" spans="1:13" ht="31.5">
      <c r="A170" s="31" t="s">
        <v>181</v>
      </c>
      <c r="B170" s="42" t="s">
        <v>170</v>
      </c>
      <c r="C170" s="42" t="s">
        <v>192</v>
      </c>
      <c r="D170" s="42" t="s">
        <v>247</v>
      </c>
      <c r="E170" s="42" t="s">
        <v>182</v>
      </c>
      <c r="F170" s="7">
        <f>'Прил.№4 ведомств.'!G127</f>
        <v>1752.9</v>
      </c>
      <c r="G170" s="7">
        <f>'Прил.№4 ведомств.'!I127</f>
        <v>1752.9</v>
      </c>
      <c r="H170" s="7">
        <f>'Прил.№4 ведомств.'!J127</f>
        <v>1752.9</v>
      </c>
      <c r="I170" s="7">
        <f>'Прил.№4 ведомств.'!K127</f>
        <v>1752.9</v>
      </c>
      <c r="J170" s="7">
        <f>'Прил.№4 ведомств.'!L127</f>
        <v>1752.9</v>
      </c>
      <c r="K170" s="7">
        <f>'Прил.№4 ведомств.'!M127</f>
        <v>1712.5</v>
      </c>
      <c r="L170" s="7">
        <f>'Прил.№4 ведомств.'!N127</f>
        <v>773.1</v>
      </c>
      <c r="M170" s="7">
        <f t="shared" si="82"/>
        <v>45.144525547445255</v>
      </c>
    </row>
    <row r="171" spans="1:13" ht="31.5">
      <c r="A171" s="26" t="s">
        <v>183</v>
      </c>
      <c r="B171" s="42" t="s">
        <v>170</v>
      </c>
      <c r="C171" s="42" t="s">
        <v>192</v>
      </c>
      <c r="D171" s="42" t="s">
        <v>247</v>
      </c>
      <c r="E171" s="42" t="s">
        <v>184</v>
      </c>
      <c r="F171" s="7"/>
      <c r="G171" s="7"/>
      <c r="H171" s="7"/>
      <c r="I171" s="7"/>
      <c r="J171" s="7"/>
      <c r="K171" s="7">
        <f>K172</f>
        <v>40.400000000000006</v>
      </c>
      <c r="L171" s="7">
        <f aca="true" t="shared" si="101" ref="L171">L172</f>
        <v>11.3</v>
      </c>
      <c r="M171" s="7">
        <f t="shared" si="82"/>
        <v>27.970297029702966</v>
      </c>
    </row>
    <row r="172" spans="1:13" ht="47.25">
      <c r="A172" s="26" t="s">
        <v>185</v>
      </c>
      <c r="B172" s="42" t="s">
        <v>170</v>
      </c>
      <c r="C172" s="42" t="s">
        <v>192</v>
      </c>
      <c r="D172" s="42" t="s">
        <v>247</v>
      </c>
      <c r="E172" s="42" t="s">
        <v>186</v>
      </c>
      <c r="F172" s="7"/>
      <c r="G172" s="7"/>
      <c r="H172" s="7"/>
      <c r="I172" s="7"/>
      <c r="J172" s="7"/>
      <c r="K172" s="7">
        <f>'Прил.№4 ведомств.'!M129</f>
        <v>40.400000000000006</v>
      </c>
      <c r="L172" s="7">
        <f>'Прил.№4 ведомств.'!N129</f>
        <v>11.3</v>
      </c>
      <c r="M172" s="7">
        <f t="shared" si="82"/>
        <v>27.970297029702966</v>
      </c>
    </row>
    <row r="173" spans="1:13" ht="47.25">
      <c r="A173" s="47" t="s">
        <v>248</v>
      </c>
      <c r="B173" s="42" t="s">
        <v>170</v>
      </c>
      <c r="C173" s="42" t="s">
        <v>192</v>
      </c>
      <c r="D173" s="42" t="s">
        <v>249</v>
      </c>
      <c r="E173" s="42"/>
      <c r="F173" s="7">
        <f>F174+F176</f>
        <v>1106.1999999999998</v>
      </c>
      <c r="G173" s="7">
        <f aca="true" t="shared" si="102" ref="G173:K173">G174+G176</f>
        <v>1106.1999999999998</v>
      </c>
      <c r="H173" s="7">
        <f t="shared" si="102"/>
        <v>1106.1999999999998</v>
      </c>
      <c r="I173" s="7">
        <f t="shared" si="102"/>
        <v>1106.1999999999998</v>
      </c>
      <c r="J173" s="7">
        <f t="shared" si="102"/>
        <v>1106.1999999999998</v>
      </c>
      <c r="K173" s="7">
        <f t="shared" si="102"/>
        <v>1106.2</v>
      </c>
      <c r="L173" s="7">
        <f aca="true" t="shared" si="103" ref="L173">L174+L176</f>
        <v>281.2</v>
      </c>
      <c r="M173" s="7">
        <f t="shared" si="82"/>
        <v>25.420357982281683</v>
      </c>
    </row>
    <row r="174" spans="1:13" ht="78.75">
      <c r="A174" s="31" t="s">
        <v>179</v>
      </c>
      <c r="B174" s="42" t="s">
        <v>170</v>
      </c>
      <c r="C174" s="42" t="s">
        <v>192</v>
      </c>
      <c r="D174" s="42" t="s">
        <v>249</v>
      </c>
      <c r="E174" s="42" t="s">
        <v>180</v>
      </c>
      <c r="F174" s="7">
        <f>F175</f>
        <v>1073.1</v>
      </c>
      <c r="G174" s="7">
        <f aca="true" t="shared" si="104" ref="G174:L174">G175</f>
        <v>1073.1</v>
      </c>
      <c r="H174" s="7">
        <f t="shared" si="104"/>
        <v>1073.1</v>
      </c>
      <c r="I174" s="7">
        <f t="shared" si="104"/>
        <v>1073.1</v>
      </c>
      <c r="J174" s="7">
        <f t="shared" si="104"/>
        <v>1073.1</v>
      </c>
      <c r="K174" s="7">
        <f t="shared" si="104"/>
        <v>1025.5</v>
      </c>
      <c r="L174" s="7">
        <f t="shared" si="104"/>
        <v>277.5</v>
      </c>
      <c r="M174" s="7">
        <f t="shared" si="82"/>
        <v>27.059970745977573</v>
      </c>
    </row>
    <row r="175" spans="1:13" ht="31.5">
      <c r="A175" s="31" t="s">
        <v>181</v>
      </c>
      <c r="B175" s="42" t="s">
        <v>170</v>
      </c>
      <c r="C175" s="42" t="s">
        <v>192</v>
      </c>
      <c r="D175" s="42" t="s">
        <v>249</v>
      </c>
      <c r="E175" s="42" t="s">
        <v>182</v>
      </c>
      <c r="F175" s="7">
        <f>'Прил.№4 ведомств.'!G132</f>
        <v>1073.1</v>
      </c>
      <c r="G175" s="7">
        <f>'Прил.№4 ведомств.'!I132</f>
        <v>1073.1</v>
      </c>
      <c r="H175" s="7">
        <f>'Прил.№4 ведомств.'!J132</f>
        <v>1073.1</v>
      </c>
      <c r="I175" s="7">
        <f>'Прил.№4 ведомств.'!K132</f>
        <v>1073.1</v>
      </c>
      <c r="J175" s="7">
        <f>'Прил.№4 ведомств.'!L132</f>
        <v>1073.1</v>
      </c>
      <c r="K175" s="7">
        <f>'Прил.№4 ведомств.'!M132</f>
        <v>1025.5</v>
      </c>
      <c r="L175" s="7">
        <f>'Прил.№4 ведомств.'!N132</f>
        <v>277.5</v>
      </c>
      <c r="M175" s="7">
        <f t="shared" si="82"/>
        <v>27.059970745977573</v>
      </c>
    </row>
    <row r="176" spans="1:13" ht="31.5">
      <c r="A176" s="31" t="s">
        <v>183</v>
      </c>
      <c r="B176" s="42" t="s">
        <v>170</v>
      </c>
      <c r="C176" s="42" t="s">
        <v>192</v>
      </c>
      <c r="D176" s="42" t="s">
        <v>249</v>
      </c>
      <c r="E176" s="42" t="s">
        <v>184</v>
      </c>
      <c r="F176" s="7">
        <f>F177</f>
        <v>33.1</v>
      </c>
      <c r="G176" s="7">
        <f aca="true" t="shared" si="105" ref="G176:L176">G177</f>
        <v>33.1</v>
      </c>
      <c r="H176" s="7">
        <f t="shared" si="105"/>
        <v>33.1</v>
      </c>
      <c r="I176" s="7">
        <f t="shared" si="105"/>
        <v>33.1</v>
      </c>
      <c r="J176" s="7">
        <f t="shared" si="105"/>
        <v>33.1</v>
      </c>
      <c r="K176" s="7">
        <f t="shared" si="105"/>
        <v>80.7</v>
      </c>
      <c r="L176" s="7">
        <f t="shared" si="105"/>
        <v>3.7</v>
      </c>
      <c r="M176" s="7">
        <f t="shared" si="82"/>
        <v>4.584882280049566</v>
      </c>
    </row>
    <row r="177" spans="1:13" ht="47.25">
      <c r="A177" s="31" t="s">
        <v>185</v>
      </c>
      <c r="B177" s="42" t="s">
        <v>170</v>
      </c>
      <c r="C177" s="42" t="s">
        <v>192</v>
      </c>
      <c r="D177" s="42" t="s">
        <v>249</v>
      </c>
      <c r="E177" s="42" t="s">
        <v>186</v>
      </c>
      <c r="F177" s="7">
        <f>'Прил.№4 ведомств.'!G134</f>
        <v>33.1</v>
      </c>
      <c r="G177" s="7">
        <f>'Прил.№4 ведомств.'!I134</f>
        <v>33.1</v>
      </c>
      <c r="H177" s="7">
        <f>'Прил.№4 ведомств.'!J134</f>
        <v>33.1</v>
      </c>
      <c r="I177" s="7">
        <f>'Прил.№4 ведомств.'!K134</f>
        <v>33.1</v>
      </c>
      <c r="J177" s="7">
        <f>'Прил.№4 ведомств.'!L134</f>
        <v>33.1</v>
      </c>
      <c r="K177" s="7">
        <f>'Прил.№4 ведомств.'!M134</f>
        <v>80.7</v>
      </c>
      <c r="L177" s="7">
        <f>'Прил.№4 ведомств.'!N134</f>
        <v>3.7</v>
      </c>
      <c r="M177" s="7">
        <f t="shared" si="82"/>
        <v>4.584882280049566</v>
      </c>
    </row>
    <row r="178" spans="1:13" ht="15.75">
      <c r="A178" s="31" t="s">
        <v>193</v>
      </c>
      <c r="B178" s="42" t="s">
        <v>170</v>
      </c>
      <c r="C178" s="42" t="s">
        <v>192</v>
      </c>
      <c r="D178" s="42" t="s">
        <v>194</v>
      </c>
      <c r="E178" s="42"/>
      <c r="F178" s="7">
        <f>F179+F182+F185+F190+F195</f>
        <v>12669.839999999998</v>
      </c>
      <c r="G178" s="7">
        <f aca="true" t="shared" si="106" ref="G178:K178">G179+G182+G185+G190+G195</f>
        <v>12595.74</v>
      </c>
      <c r="H178" s="7">
        <f t="shared" si="106"/>
        <v>13189.3</v>
      </c>
      <c r="I178" s="7">
        <f t="shared" si="106"/>
        <v>13516.099999999999</v>
      </c>
      <c r="J178" s="7">
        <f t="shared" si="106"/>
        <v>13741.5</v>
      </c>
      <c r="K178" s="7">
        <f t="shared" si="106"/>
        <v>11908.599999999999</v>
      </c>
      <c r="L178" s="7">
        <f aca="true" t="shared" si="107" ref="L178">L179+L182+L185+L190+L195</f>
        <v>5152.400000000001</v>
      </c>
      <c r="M178" s="7">
        <f t="shared" si="82"/>
        <v>43.266210973582126</v>
      </c>
    </row>
    <row r="179" spans="1:13" ht="47.25">
      <c r="A179" s="31" t="s">
        <v>441</v>
      </c>
      <c r="B179" s="42" t="s">
        <v>170</v>
      </c>
      <c r="C179" s="42" t="s">
        <v>192</v>
      </c>
      <c r="D179" s="42" t="s">
        <v>442</v>
      </c>
      <c r="E179" s="42"/>
      <c r="F179" s="7">
        <f>F180</f>
        <v>3612.94</v>
      </c>
      <c r="G179" s="7">
        <f aca="true" t="shared" si="108" ref="G179:L180">G180</f>
        <v>3612.94</v>
      </c>
      <c r="H179" s="7">
        <f t="shared" si="108"/>
        <v>3123.5</v>
      </c>
      <c r="I179" s="7">
        <f t="shared" si="108"/>
        <v>3304.4</v>
      </c>
      <c r="J179" s="7">
        <f t="shared" si="108"/>
        <v>3403.5</v>
      </c>
      <c r="K179" s="7">
        <f t="shared" si="108"/>
        <v>5550.9</v>
      </c>
      <c r="L179" s="7">
        <f t="shared" si="108"/>
        <v>2014.2</v>
      </c>
      <c r="M179" s="7">
        <f t="shared" si="82"/>
        <v>36.286007674431175</v>
      </c>
    </row>
    <row r="180" spans="1:13" ht="31.5">
      <c r="A180" s="31" t="s">
        <v>183</v>
      </c>
      <c r="B180" s="42" t="s">
        <v>170</v>
      </c>
      <c r="C180" s="42" t="s">
        <v>192</v>
      </c>
      <c r="D180" s="42" t="s">
        <v>442</v>
      </c>
      <c r="E180" s="42" t="s">
        <v>184</v>
      </c>
      <c r="F180" s="63">
        <f>F181</f>
        <v>3612.94</v>
      </c>
      <c r="G180" s="63">
        <f t="shared" si="108"/>
        <v>3612.94</v>
      </c>
      <c r="H180" s="63">
        <f t="shared" si="108"/>
        <v>3123.5</v>
      </c>
      <c r="I180" s="63">
        <f t="shared" si="108"/>
        <v>3304.4</v>
      </c>
      <c r="J180" s="63">
        <f t="shared" si="108"/>
        <v>3403.5</v>
      </c>
      <c r="K180" s="63">
        <f t="shared" si="108"/>
        <v>5550.9</v>
      </c>
      <c r="L180" s="63">
        <f t="shared" si="108"/>
        <v>2014.2</v>
      </c>
      <c r="M180" s="7">
        <f t="shared" si="82"/>
        <v>36.286007674431175</v>
      </c>
    </row>
    <row r="181" spans="1:13" ht="47.25">
      <c r="A181" s="31" t="s">
        <v>185</v>
      </c>
      <c r="B181" s="42" t="s">
        <v>170</v>
      </c>
      <c r="C181" s="42" t="s">
        <v>192</v>
      </c>
      <c r="D181" s="42" t="s">
        <v>442</v>
      </c>
      <c r="E181" s="42" t="s">
        <v>186</v>
      </c>
      <c r="F181" s="63">
        <f>'Прил.№4 ведомств.'!G553</f>
        <v>3612.94</v>
      </c>
      <c r="G181" s="63">
        <f>'Прил.№4 ведомств.'!I553</f>
        <v>3612.94</v>
      </c>
      <c r="H181" s="63">
        <f>'Прил.№4 ведомств.'!J553</f>
        <v>3123.5</v>
      </c>
      <c r="I181" s="63">
        <f>'Прил.№4 ведомств.'!K553</f>
        <v>3304.4</v>
      </c>
      <c r="J181" s="63">
        <f>'Прил.№4 ведомств.'!L553</f>
        <v>3403.5</v>
      </c>
      <c r="K181" s="63">
        <f>'Прил.№4 ведомств.'!M553</f>
        <v>5550.9</v>
      </c>
      <c r="L181" s="63">
        <f>'Прил.№4 ведомств.'!N553</f>
        <v>2014.2</v>
      </c>
      <c r="M181" s="7">
        <f t="shared" si="82"/>
        <v>36.286007674431175</v>
      </c>
    </row>
    <row r="182" spans="1:13" ht="15.75" hidden="1">
      <c r="A182" s="31" t="s">
        <v>231</v>
      </c>
      <c r="B182" s="42" t="s">
        <v>170</v>
      </c>
      <c r="C182" s="42" t="s">
        <v>192</v>
      </c>
      <c r="D182" s="42" t="s">
        <v>257</v>
      </c>
      <c r="E182" s="42"/>
      <c r="F182" s="7">
        <f>F183</f>
        <v>5</v>
      </c>
      <c r="G182" s="7">
        <f aca="true" t="shared" si="109" ref="G182:L183">G183</f>
        <v>0</v>
      </c>
      <c r="H182" s="7">
        <f t="shared" si="109"/>
        <v>0</v>
      </c>
      <c r="I182" s="7">
        <f t="shared" si="109"/>
        <v>0</v>
      </c>
      <c r="J182" s="7">
        <f t="shared" si="109"/>
        <v>0</v>
      </c>
      <c r="K182" s="7">
        <f t="shared" si="109"/>
        <v>0</v>
      </c>
      <c r="L182" s="7">
        <f t="shared" si="109"/>
        <v>0</v>
      </c>
      <c r="M182" s="7" t="e">
        <f t="shared" si="82"/>
        <v>#DIV/0!</v>
      </c>
    </row>
    <row r="183" spans="1:13" ht="31.5" hidden="1">
      <c r="A183" s="31" t="s">
        <v>183</v>
      </c>
      <c r="B183" s="42" t="s">
        <v>170</v>
      </c>
      <c r="C183" s="42" t="s">
        <v>192</v>
      </c>
      <c r="D183" s="42" t="s">
        <v>257</v>
      </c>
      <c r="E183" s="42" t="s">
        <v>184</v>
      </c>
      <c r="F183" s="7">
        <f>F184</f>
        <v>5</v>
      </c>
      <c r="G183" s="7">
        <f t="shared" si="109"/>
        <v>0</v>
      </c>
      <c r="H183" s="7">
        <f t="shared" si="109"/>
        <v>0</v>
      </c>
      <c r="I183" s="7">
        <f t="shared" si="109"/>
        <v>0</v>
      </c>
      <c r="J183" s="7">
        <f t="shared" si="109"/>
        <v>0</v>
      </c>
      <c r="K183" s="7">
        <f t="shared" si="109"/>
        <v>0</v>
      </c>
      <c r="L183" s="7">
        <f t="shared" si="109"/>
        <v>0</v>
      </c>
      <c r="M183" s="7" t="e">
        <f t="shared" si="82"/>
        <v>#DIV/0!</v>
      </c>
    </row>
    <row r="184" spans="1:13" ht="47.25" hidden="1">
      <c r="A184" s="31" t="s">
        <v>185</v>
      </c>
      <c r="B184" s="42" t="s">
        <v>170</v>
      </c>
      <c r="C184" s="42" t="s">
        <v>192</v>
      </c>
      <c r="D184" s="42" t="s">
        <v>257</v>
      </c>
      <c r="E184" s="42" t="s">
        <v>186</v>
      </c>
      <c r="F184" s="7">
        <f>'Прил.№4 ведомств.'!G589</f>
        <v>5</v>
      </c>
      <c r="G184" s="7">
        <f>'Прил.№4 ведомств.'!I589</f>
        <v>0</v>
      </c>
      <c r="H184" s="7">
        <f>'Прил.№4 ведомств.'!J589</f>
        <v>0</v>
      </c>
      <c r="I184" s="7">
        <f>'Прил.№4 ведомств.'!K589</f>
        <v>0</v>
      </c>
      <c r="J184" s="7">
        <f>'Прил.№4 ведомств.'!L589</f>
        <v>0</v>
      </c>
      <c r="K184" s="7">
        <f>'Прил.№4 ведомств.'!M589</f>
        <v>0</v>
      </c>
      <c r="L184" s="7">
        <f>'Прил.№4 ведомств.'!N589</f>
        <v>0</v>
      </c>
      <c r="M184" s="7" t="e">
        <f t="shared" si="82"/>
        <v>#DIV/0!</v>
      </c>
    </row>
    <row r="185" spans="1:13" ht="15.75">
      <c r="A185" s="31" t="s">
        <v>258</v>
      </c>
      <c r="B185" s="42" t="s">
        <v>170</v>
      </c>
      <c r="C185" s="42" t="s">
        <v>192</v>
      </c>
      <c r="D185" s="42" t="s">
        <v>259</v>
      </c>
      <c r="E185" s="42"/>
      <c r="F185" s="7">
        <f>F186+F188</f>
        <v>6126.7</v>
      </c>
      <c r="G185" s="7">
        <f aca="true" t="shared" si="110" ref="G185:K185">G186+G188</f>
        <v>6085.5</v>
      </c>
      <c r="H185" s="7">
        <f t="shared" si="110"/>
        <v>7619.5</v>
      </c>
      <c r="I185" s="7">
        <f t="shared" si="110"/>
        <v>7734.4</v>
      </c>
      <c r="J185" s="7">
        <f t="shared" si="110"/>
        <v>7839.7</v>
      </c>
      <c r="K185" s="7">
        <f t="shared" si="110"/>
        <v>6357.7</v>
      </c>
      <c r="L185" s="7">
        <f aca="true" t="shared" si="111" ref="L185">L186+L188</f>
        <v>3138.2000000000003</v>
      </c>
      <c r="M185" s="7">
        <f t="shared" si="82"/>
        <v>49.36061783349325</v>
      </c>
    </row>
    <row r="186" spans="1:13" ht="78.75">
      <c r="A186" s="31" t="s">
        <v>179</v>
      </c>
      <c r="B186" s="42" t="s">
        <v>170</v>
      </c>
      <c r="C186" s="42" t="s">
        <v>192</v>
      </c>
      <c r="D186" s="42" t="s">
        <v>259</v>
      </c>
      <c r="E186" s="42" t="s">
        <v>180</v>
      </c>
      <c r="F186" s="7">
        <f>F187</f>
        <v>4952</v>
      </c>
      <c r="G186" s="7">
        <f aca="true" t="shared" si="112" ref="G186:L186">G187</f>
        <v>4952</v>
      </c>
      <c r="H186" s="7">
        <f t="shared" si="112"/>
        <v>6094.8</v>
      </c>
      <c r="I186" s="7">
        <f t="shared" si="112"/>
        <v>6155.8</v>
      </c>
      <c r="J186" s="7">
        <f t="shared" si="112"/>
        <v>6217.4</v>
      </c>
      <c r="K186" s="7">
        <f t="shared" si="112"/>
        <v>5183</v>
      </c>
      <c r="L186" s="7">
        <f t="shared" si="112"/>
        <v>2488.3</v>
      </c>
      <c r="M186" s="7">
        <f t="shared" si="82"/>
        <v>48.00887516882115</v>
      </c>
    </row>
    <row r="187" spans="1:13" ht="31.5">
      <c r="A187" s="26" t="s">
        <v>260</v>
      </c>
      <c r="B187" s="42" t="s">
        <v>170</v>
      </c>
      <c r="C187" s="42" t="s">
        <v>192</v>
      </c>
      <c r="D187" s="42" t="s">
        <v>259</v>
      </c>
      <c r="E187" s="42" t="s">
        <v>261</v>
      </c>
      <c r="F187" s="7">
        <f>'Прил.№4 ведомств.'!G150</f>
        <v>4952</v>
      </c>
      <c r="G187" s="7">
        <f>'Прил.№4 ведомств.'!I150</f>
        <v>4952</v>
      </c>
      <c r="H187" s="7">
        <f>'Прил.№4 ведомств.'!J150</f>
        <v>6094.8</v>
      </c>
      <c r="I187" s="7">
        <f>'Прил.№4 ведомств.'!K150</f>
        <v>6155.8</v>
      </c>
      <c r="J187" s="7">
        <f>'Прил.№4 ведомств.'!L150</f>
        <v>6217.4</v>
      </c>
      <c r="K187" s="7">
        <f>'Прил.№4 ведомств.'!M150</f>
        <v>5183</v>
      </c>
      <c r="L187" s="7">
        <f>'Прил.№4 ведомств.'!N150</f>
        <v>2488.3</v>
      </c>
      <c r="M187" s="7">
        <f t="shared" si="82"/>
        <v>48.00887516882115</v>
      </c>
    </row>
    <row r="188" spans="1:13" ht="31.5">
      <c r="A188" s="31" t="s">
        <v>183</v>
      </c>
      <c r="B188" s="42" t="s">
        <v>170</v>
      </c>
      <c r="C188" s="42" t="s">
        <v>192</v>
      </c>
      <c r="D188" s="42" t="s">
        <v>259</v>
      </c>
      <c r="E188" s="42" t="s">
        <v>184</v>
      </c>
      <c r="F188" s="63">
        <f>F189</f>
        <v>1174.7</v>
      </c>
      <c r="G188" s="63">
        <f aca="true" t="shared" si="113" ref="G188:L188">G189</f>
        <v>1133.5</v>
      </c>
      <c r="H188" s="63">
        <f t="shared" si="113"/>
        <v>1524.7</v>
      </c>
      <c r="I188" s="63">
        <f t="shared" si="113"/>
        <v>1578.6</v>
      </c>
      <c r="J188" s="63">
        <f t="shared" si="113"/>
        <v>1622.3</v>
      </c>
      <c r="K188" s="63">
        <f t="shared" si="113"/>
        <v>1174.7</v>
      </c>
      <c r="L188" s="63">
        <f t="shared" si="113"/>
        <v>649.9</v>
      </c>
      <c r="M188" s="7">
        <f t="shared" si="82"/>
        <v>55.32476376947305</v>
      </c>
    </row>
    <row r="189" spans="1:13" ht="47.25">
      <c r="A189" s="31" t="s">
        <v>185</v>
      </c>
      <c r="B189" s="42" t="s">
        <v>170</v>
      </c>
      <c r="C189" s="42" t="s">
        <v>192</v>
      </c>
      <c r="D189" s="42" t="s">
        <v>259</v>
      </c>
      <c r="E189" s="42" t="s">
        <v>186</v>
      </c>
      <c r="F189" s="63">
        <f>'Прил.№4 ведомств.'!G152</f>
        <v>1174.7</v>
      </c>
      <c r="G189" s="63">
        <f>'Прил.№4 ведомств.'!I152</f>
        <v>1133.5</v>
      </c>
      <c r="H189" s="63">
        <f>'Прил.№4 ведомств.'!J152</f>
        <v>1524.7</v>
      </c>
      <c r="I189" s="63">
        <f>'Прил.№4 ведомств.'!K152</f>
        <v>1578.6</v>
      </c>
      <c r="J189" s="63">
        <f>'Прил.№4 ведомств.'!L152</f>
        <v>1622.3</v>
      </c>
      <c r="K189" s="63">
        <f>'Прил.№4 ведомств.'!M152</f>
        <v>1174.7</v>
      </c>
      <c r="L189" s="63">
        <f>'Прил.№4 ведомств.'!N152</f>
        <v>649.9</v>
      </c>
      <c r="M189" s="7">
        <f t="shared" si="82"/>
        <v>55.32476376947305</v>
      </c>
    </row>
    <row r="190" spans="1:13" ht="47.25" hidden="1">
      <c r="A190" s="31" t="s">
        <v>262</v>
      </c>
      <c r="B190" s="42" t="s">
        <v>170</v>
      </c>
      <c r="C190" s="42" t="s">
        <v>192</v>
      </c>
      <c r="D190" s="42" t="s">
        <v>263</v>
      </c>
      <c r="E190" s="42"/>
      <c r="F190" s="7">
        <f>F191+F193</f>
        <v>2520.4</v>
      </c>
      <c r="G190" s="7">
        <f aca="true" t="shared" si="114" ref="G190:K190">G191+G193</f>
        <v>2492.5</v>
      </c>
      <c r="H190" s="7">
        <f t="shared" si="114"/>
        <v>2446.3</v>
      </c>
      <c r="I190" s="7">
        <f t="shared" si="114"/>
        <v>2477.3</v>
      </c>
      <c r="J190" s="7">
        <f t="shared" si="114"/>
        <v>2498.3</v>
      </c>
      <c r="K190" s="7">
        <f t="shared" si="114"/>
        <v>0</v>
      </c>
      <c r="L190" s="7">
        <f aca="true" t="shared" si="115" ref="L190">L191+L193</f>
        <v>0</v>
      </c>
      <c r="M190" s="7" t="e">
        <f t="shared" si="82"/>
        <v>#DIV/0!</v>
      </c>
    </row>
    <row r="191" spans="1:13" ht="78.75" hidden="1">
      <c r="A191" s="31" t="s">
        <v>179</v>
      </c>
      <c r="B191" s="42" t="s">
        <v>170</v>
      </c>
      <c r="C191" s="42" t="s">
        <v>192</v>
      </c>
      <c r="D191" s="42" t="s">
        <v>263</v>
      </c>
      <c r="E191" s="42" t="s">
        <v>180</v>
      </c>
      <c r="F191" s="63">
        <f>F192</f>
        <v>1895</v>
      </c>
      <c r="G191" s="63">
        <f aca="true" t="shared" si="116" ref="G191:L191">G192</f>
        <v>1895</v>
      </c>
      <c r="H191" s="63">
        <f t="shared" si="116"/>
        <v>1777</v>
      </c>
      <c r="I191" s="63">
        <f t="shared" si="116"/>
        <v>1777</v>
      </c>
      <c r="J191" s="63">
        <f t="shared" si="116"/>
        <v>1777</v>
      </c>
      <c r="K191" s="63">
        <f t="shared" si="116"/>
        <v>0</v>
      </c>
      <c r="L191" s="63">
        <f t="shared" si="116"/>
        <v>0</v>
      </c>
      <c r="M191" s="7" t="e">
        <f t="shared" si="82"/>
        <v>#DIV/0!</v>
      </c>
    </row>
    <row r="192" spans="1:13" ht="31.5" hidden="1">
      <c r="A192" s="31" t="s">
        <v>181</v>
      </c>
      <c r="B192" s="42" t="s">
        <v>170</v>
      </c>
      <c r="C192" s="42" t="s">
        <v>192</v>
      </c>
      <c r="D192" s="42" t="s">
        <v>263</v>
      </c>
      <c r="E192" s="42" t="s">
        <v>182</v>
      </c>
      <c r="F192" s="63">
        <f>'Прил.№4 ведомств.'!G155</f>
        <v>1895</v>
      </c>
      <c r="G192" s="63">
        <f>'Прил.№4 ведомств.'!I155</f>
        <v>1895</v>
      </c>
      <c r="H192" s="63">
        <f>'Прил.№4 ведомств.'!J155</f>
        <v>1777</v>
      </c>
      <c r="I192" s="63">
        <f>'Прил.№4 ведомств.'!K155</f>
        <v>1777</v>
      </c>
      <c r="J192" s="63">
        <f>'Прил.№4 ведомств.'!L155</f>
        <v>1777</v>
      </c>
      <c r="K192" s="63">
        <f>'Прил.№4 ведомств.'!M155</f>
        <v>0</v>
      </c>
      <c r="L192" s="63">
        <f>'Прил.№4 ведомств.'!N155</f>
        <v>0</v>
      </c>
      <c r="M192" s="7" t="e">
        <f t="shared" si="82"/>
        <v>#DIV/0!</v>
      </c>
    </row>
    <row r="193" spans="1:13" ht="31.5" hidden="1">
      <c r="A193" s="31" t="s">
        <v>183</v>
      </c>
      <c r="B193" s="42" t="s">
        <v>170</v>
      </c>
      <c r="C193" s="42" t="s">
        <v>192</v>
      </c>
      <c r="D193" s="42" t="s">
        <v>263</v>
      </c>
      <c r="E193" s="42" t="s">
        <v>184</v>
      </c>
      <c r="F193" s="7">
        <f>F194</f>
        <v>625.4</v>
      </c>
      <c r="G193" s="7">
        <f aca="true" t="shared" si="117" ref="G193:L193">G194</f>
        <v>597.5</v>
      </c>
      <c r="H193" s="7">
        <f t="shared" si="117"/>
        <v>669.3</v>
      </c>
      <c r="I193" s="7">
        <f t="shared" si="117"/>
        <v>700.3</v>
      </c>
      <c r="J193" s="7">
        <f t="shared" si="117"/>
        <v>721.3</v>
      </c>
      <c r="K193" s="7">
        <f t="shared" si="117"/>
        <v>0</v>
      </c>
      <c r="L193" s="7">
        <f t="shared" si="117"/>
        <v>0</v>
      </c>
      <c r="M193" s="7" t="e">
        <f t="shared" si="82"/>
        <v>#DIV/0!</v>
      </c>
    </row>
    <row r="194" spans="1:13" ht="47.25" hidden="1">
      <c r="A194" s="31" t="s">
        <v>185</v>
      </c>
      <c r="B194" s="42" t="s">
        <v>170</v>
      </c>
      <c r="C194" s="42" t="s">
        <v>192</v>
      </c>
      <c r="D194" s="42" t="s">
        <v>263</v>
      </c>
      <c r="E194" s="42" t="s">
        <v>186</v>
      </c>
      <c r="F194" s="63">
        <f>'Прил.№4 ведомств.'!G157</f>
        <v>625.4</v>
      </c>
      <c r="G194" s="63">
        <f>'Прил.№4 ведомств.'!I157</f>
        <v>597.5</v>
      </c>
      <c r="H194" s="63">
        <f>'Прил.№4 ведомств.'!J157</f>
        <v>669.3</v>
      </c>
      <c r="I194" s="63">
        <f>'Прил.№4 ведомств.'!K157</f>
        <v>700.3</v>
      </c>
      <c r="J194" s="63">
        <f>'Прил.№4 ведомств.'!L157</f>
        <v>721.3</v>
      </c>
      <c r="K194" s="63">
        <f>'Прил.№4 ведомств.'!M157</f>
        <v>0</v>
      </c>
      <c r="L194" s="63">
        <f>'Прил.№4 ведомств.'!N157</f>
        <v>0</v>
      </c>
      <c r="M194" s="7" t="e">
        <f t="shared" si="82"/>
        <v>#DIV/0!</v>
      </c>
    </row>
    <row r="195" spans="1:13" ht="15.75" hidden="1">
      <c r="A195" s="26" t="s">
        <v>195</v>
      </c>
      <c r="B195" s="42" t="s">
        <v>170</v>
      </c>
      <c r="C195" s="42" t="s">
        <v>192</v>
      </c>
      <c r="D195" s="42" t="s">
        <v>196</v>
      </c>
      <c r="E195" s="42"/>
      <c r="F195" s="63">
        <f>F196</f>
        <v>404.8</v>
      </c>
      <c r="G195" s="63">
        <f aca="true" t="shared" si="118" ref="G195:L195">G196</f>
        <v>404.8</v>
      </c>
      <c r="H195" s="63">
        <f t="shared" si="118"/>
        <v>0</v>
      </c>
      <c r="I195" s="63">
        <f t="shared" si="118"/>
        <v>0</v>
      </c>
      <c r="J195" s="63">
        <f t="shared" si="118"/>
        <v>0</v>
      </c>
      <c r="K195" s="63">
        <f t="shared" si="118"/>
        <v>0</v>
      </c>
      <c r="L195" s="63">
        <f t="shared" si="118"/>
        <v>0</v>
      </c>
      <c r="M195" s="7" t="e">
        <f t="shared" si="82"/>
        <v>#DIV/0!</v>
      </c>
    </row>
    <row r="196" spans="1:13" ht="15.75" hidden="1">
      <c r="A196" s="26" t="s">
        <v>187</v>
      </c>
      <c r="B196" s="42" t="s">
        <v>170</v>
      </c>
      <c r="C196" s="42" t="s">
        <v>192</v>
      </c>
      <c r="D196" s="42" t="s">
        <v>196</v>
      </c>
      <c r="E196" s="42" t="s">
        <v>197</v>
      </c>
      <c r="F196" s="63">
        <f>F197+F198</f>
        <v>404.8</v>
      </c>
      <c r="G196" s="63">
        <f aca="true" t="shared" si="119" ref="G196:K196">G197+G198</f>
        <v>404.8</v>
      </c>
      <c r="H196" s="63">
        <f t="shared" si="119"/>
        <v>0</v>
      </c>
      <c r="I196" s="63">
        <f t="shared" si="119"/>
        <v>0</v>
      </c>
      <c r="J196" s="63">
        <f t="shared" si="119"/>
        <v>0</v>
      </c>
      <c r="K196" s="63">
        <f t="shared" si="119"/>
        <v>0</v>
      </c>
      <c r="L196" s="63">
        <f aca="true" t="shared" si="120" ref="L196">L197+L198</f>
        <v>0</v>
      </c>
      <c r="M196" s="7" t="e">
        <f t="shared" si="82"/>
        <v>#DIV/0!</v>
      </c>
    </row>
    <row r="197" spans="1:13" ht="15.75" hidden="1">
      <c r="A197" s="26" t="s">
        <v>198</v>
      </c>
      <c r="B197" s="42" t="s">
        <v>170</v>
      </c>
      <c r="C197" s="42" t="s">
        <v>192</v>
      </c>
      <c r="D197" s="42" t="s">
        <v>196</v>
      </c>
      <c r="E197" s="42" t="s">
        <v>199</v>
      </c>
      <c r="F197" s="63">
        <f>'Прил.№4 ведомств.'!G28+'Прил.№4 ведомств.'!G160</f>
        <v>142.3</v>
      </c>
      <c r="G197" s="63">
        <f>'Прил.№4 ведомств.'!I28+'Прил.№4 ведомств.'!I160</f>
        <v>142.3</v>
      </c>
      <c r="H197" s="63">
        <f>'Прил.№4 ведомств.'!J28+'Прил.№4 ведомств.'!J160</f>
        <v>0</v>
      </c>
      <c r="I197" s="63">
        <f>'Прил.№4 ведомств.'!K28+'Прил.№4 ведомств.'!K160</f>
        <v>0</v>
      </c>
      <c r="J197" s="63">
        <f>'Прил.№4 ведомств.'!L28+'Прил.№4 ведомств.'!L160</f>
        <v>0</v>
      </c>
      <c r="K197" s="63">
        <f>'Прил.№4 ведомств.'!M28+'Прил.№4 ведомств.'!M160</f>
        <v>0</v>
      </c>
      <c r="L197" s="63">
        <f>'Прил.№4 ведомств.'!N28+'Прил.№4 ведомств.'!N160</f>
        <v>0</v>
      </c>
      <c r="M197" s="7" t="e">
        <f t="shared" si="82"/>
        <v>#DIV/0!</v>
      </c>
    </row>
    <row r="198" spans="1:13" ht="15.75" hidden="1">
      <c r="A198" s="26" t="s">
        <v>621</v>
      </c>
      <c r="B198" s="42" t="s">
        <v>170</v>
      </c>
      <c r="C198" s="42" t="s">
        <v>192</v>
      </c>
      <c r="D198" s="42" t="s">
        <v>196</v>
      </c>
      <c r="E198" s="21" t="s">
        <v>190</v>
      </c>
      <c r="F198" s="63">
        <f>'Прил.№4 ведомств.'!G870</f>
        <v>262.5</v>
      </c>
      <c r="G198" s="63">
        <f>'Прил.№4 ведомств.'!I870</f>
        <v>262.5</v>
      </c>
      <c r="H198" s="63">
        <f>'Прил.№4 ведомств.'!J870</f>
        <v>0</v>
      </c>
      <c r="I198" s="63">
        <f>'Прил.№4 ведомств.'!K870</f>
        <v>0</v>
      </c>
      <c r="J198" s="63">
        <f>'Прил.№4 ведомств.'!L870</f>
        <v>0</v>
      </c>
      <c r="K198" s="63">
        <f>'Прил.№4 ведомств.'!M870</f>
        <v>0</v>
      </c>
      <c r="L198" s="63">
        <f>'Прил.№4 ведомств.'!N870</f>
        <v>0</v>
      </c>
      <c r="M198" s="7" t="e">
        <f t="shared" si="82"/>
        <v>#DIV/0!</v>
      </c>
    </row>
    <row r="199" spans="1:13" ht="31.5">
      <c r="A199" s="26" t="s">
        <v>637</v>
      </c>
      <c r="B199" s="42" t="s">
        <v>170</v>
      </c>
      <c r="C199" s="42" t="s">
        <v>192</v>
      </c>
      <c r="D199" s="42" t="s">
        <v>638</v>
      </c>
      <c r="E199" s="21"/>
      <c r="F199" s="63">
        <f>F200</f>
        <v>16452.3</v>
      </c>
      <c r="G199" s="63">
        <f aca="true" t="shared" si="121" ref="G199:L199">G200</f>
        <v>10135.52</v>
      </c>
      <c r="H199" s="63">
        <f t="shared" si="121"/>
        <v>33970.5</v>
      </c>
      <c r="I199" s="63">
        <f t="shared" si="121"/>
        <v>34241.9</v>
      </c>
      <c r="J199" s="63">
        <f t="shared" si="121"/>
        <v>34516</v>
      </c>
      <c r="K199" s="63">
        <f t="shared" si="121"/>
        <v>30940.7</v>
      </c>
      <c r="L199" s="63">
        <f t="shared" si="121"/>
        <v>20185.600000000002</v>
      </c>
      <c r="M199" s="7">
        <f t="shared" si="82"/>
        <v>65.23963581948696</v>
      </c>
    </row>
    <row r="200" spans="1:13" ht="31.5">
      <c r="A200" s="26" t="s">
        <v>362</v>
      </c>
      <c r="B200" s="42" t="s">
        <v>170</v>
      </c>
      <c r="C200" s="42" t="s">
        <v>192</v>
      </c>
      <c r="D200" s="21" t="s">
        <v>639</v>
      </c>
      <c r="E200" s="21"/>
      <c r="F200" s="63">
        <f>F201+F203+F205</f>
        <v>16452.3</v>
      </c>
      <c r="G200" s="63">
        <f aca="true" t="shared" si="122" ref="G200:K200">G201+G203+G205</f>
        <v>10135.52</v>
      </c>
      <c r="H200" s="63">
        <f t="shared" si="122"/>
        <v>33970.5</v>
      </c>
      <c r="I200" s="63">
        <f t="shared" si="122"/>
        <v>34241.9</v>
      </c>
      <c r="J200" s="63">
        <f t="shared" si="122"/>
        <v>34516</v>
      </c>
      <c r="K200" s="63">
        <f t="shared" si="122"/>
        <v>30940.7</v>
      </c>
      <c r="L200" s="63">
        <f aca="true" t="shared" si="123" ref="L200">L201+L203+L205</f>
        <v>20185.600000000002</v>
      </c>
      <c r="M200" s="7">
        <f t="shared" si="82"/>
        <v>65.23963581948696</v>
      </c>
    </row>
    <row r="201" spans="1:13" ht="78.75">
      <c r="A201" s="26" t="s">
        <v>179</v>
      </c>
      <c r="B201" s="42" t="s">
        <v>170</v>
      </c>
      <c r="C201" s="42" t="s">
        <v>192</v>
      </c>
      <c r="D201" s="21" t="s">
        <v>639</v>
      </c>
      <c r="E201" s="21" t="s">
        <v>180</v>
      </c>
      <c r="F201" s="63">
        <f>F202</f>
        <v>13760</v>
      </c>
      <c r="G201" s="63">
        <f aca="true" t="shared" si="124" ref="G201:L201">G202</f>
        <v>9276.720000000001</v>
      </c>
      <c r="H201" s="63">
        <f t="shared" si="124"/>
        <v>27139</v>
      </c>
      <c r="I201" s="63">
        <f t="shared" si="124"/>
        <v>27410.4</v>
      </c>
      <c r="J201" s="63">
        <f t="shared" si="124"/>
        <v>27684.5</v>
      </c>
      <c r="K201" s="63">
        <f t="shared" si="124"/>
        <v>23873.4</v>
      </c>
      <c r="L201" s="63">
        <f t="shared" si="124"/>
        <v>15436.8</v>
      </c>
      <c r="M201" s="7">
        <f t="shared" si="82"/>
        <v>64.6610872351655</v>
      </c>
    </row>
    <row r="202" spans="1:13" ht="31.5">
      <c r="A202" s="48" t="s">
        <v>394</v>
      </c>
      <c r="B202" s="42" t="s">
        <v>170</v>
      </c>
      <c r="C202" s="42" t="s">
        <v>192</v>
      </c>
      <c r="D202" s="21" t="s">
        <v>639</v>
      </c>
      <c r="E202" s="21" t="s">
        <v>261</v>
      </c>
      <c r="F202" s="63">
        <f>'Прил.№4 ведомств.'!G874</f>
        <v>13760</v>
      </c>
      <c r="G202" s="63">
        <f>'Прил.№4 ведомств.'!I874</f>
        <v>9276.720000000001</v>
      </c>
      <c r="H202" s="63">
        <f>'Прил.№4 ведомств.'!J874</f>
        <v>27139</v>
      </c>
      <c r="I202" s="63">
        <f>'Прил.№4 ведомств.'!K874</f>
        <v>27410.4</v>
      </c>
      <c r="J202" s="63">
        <f>'Прил.№4 ведомств.'!L874</f>
        <v>27684.5</v>
      </c>
      <c r="K202" s="63">
        <f>'Прил.№4 ведомств.'!M874</f>
        <v>23873.4</v>
      </c>
      <c r="L202" s="63">
        <f>'Прил.№4 ведомств.'!N874</f>
        <v>15436.8</v>
      </c>
      <c r="M202" s="7">
        <f t="shared" si="82"/>
        <v>64.6610872351655</v>
      </c>
    </row>
    <row r="203" spans="1:13" ht="31.5">
      <c r="A203" s="26" t="s">
        <v>183</v>
      </c>
      <c r="B203" s="42" t="s">
        <v>170</v>
      </c>
      <c r="C203" s="42" t="s">
        <v>192</v>
      </c>
      <c r="D203" s="21" t="s">
        <v>639</v>
      </c>
      <c r="E203" s="21" t="s">
        <v>184</v>
      </c>
      <c r="F203" s="63">
        <f>F204</f>
        <v>2678</v>
      </c>
      <c r="G203" s="63">
        <f aca="true" t="shared" si="125" ref="G203:L203">G204</f>
        <v>845</v>
      </c>
      <c r="H203" s="63">
        <f t="shared" si="125"/>
        <v>6803</v>
      </c>
      <c r="I203" s="63">
        <f t="shared" si="125"/>
        <v>6803</v>
      </c>
      <c r="J203" s="63">
        <f t="shared" si="125"/>
        <v>6803</v>
      </c>
      <c r="K203" s="63">
        <f t="shared" si="125"/>
        <v>6929.6</v>
      </c>
      <c r="L203" s="63">
        <f t="shared" si="125"/>
        <v>4689.1</v>
      </c>
      <c r="M203" s="7">
        <f t="shared" si="82"/>
        <v>67.66768644654815</v>
      </c>
    </row>
    <row r="204" spans="1:13" ht="47.25">
      <c r="A204" s="26" t="s">
        <v>185</v>
      </c>
      <c r="B204" s="42" t="s">
        <v>170</v>
      </c>
      <c r="C204" s="42" t="s">
        <v>192</v>
      </c>
      <c r="D204" s="21" t="s">
        <v>639</v>
      </c>
      <c r="E204" s="21" t="s">
        <v>186</v>
      </c>
      <c r="F204" s="63">
        <f>'Прил.№4 ведомств.'!G876</f>
        <v>2678</v>
      </c>
      <c r="G204" s="63">
        <f>'Прил.№4 ведомств.'!I876</f>
        <v>845</v>
      </c>
      <c r="H204" s="63">
        <f>'Прил.№4 ведомств.'!J876</f>
        <v>6803</v>
      </c>
      <c r="I204" s="63">
        <f>'Прил.№4 ведомств.'!K876</f>
        <v>6803</v>
      </c>
      <c r="J204" s="63">
        <f>'Прил.№4 ведомств.'!L876</f>
        <v>6803</v>
      </c>
      <c r="K204" s="63">
        <f>'Прил.№4 ведомств.'!M876</f>
        <v>6929.6</v>
      </c>
      <c r="L204" s="63">
        <f>'Прил.№4 ведомств.'!N876</f>
        <v>4689.1</v>
      </c>
      <c r="M204" s="7">
        <f t="shared" si="82"/>
        <v>67.66768644654815</v>
      </c>
    </row>
    <row r="205" spans="1:13" ht="15.75">
      <c r="A205" s="26" t="s">
        <v>187</v>
      </c>
      <c r="B205" s="42" t="s">
        <v>170</v>
      </c>
      <c r="C205" s="42" t="s">
        <v>192</v>
      </c>
      <c r="D205" s="21" t="s">
        <v>639</v>
      </c>
      <c r="E205" s="21" t="s">
        <v>197</v>
      </c>
      <c r="F205" s="63">
        <f>F206</f>
        <v>14.3</v>
      </c>
      <c r="G205" s="63">
        <f aca="true" t="shared" si="126" ref="G205:L205">G206</f>
        <v>13.8</v>
      </c>
      <c r="H205" s="63">
        <f t="shared" si="126"/>
        <v>28.5</v>
      </c>
      <c r="I205" s="63">
        <f t="shared" si="126"/>
        <v>28.5</v>
      </c>
      <c r="J205" s="63">
        <f t="shared" si="126"/>
        <v>28.5</v>
      </c>
      <c r="K205" s="63">
        <f t="shared" si="126"/>
        <v>137.7</v>
      </c>
      <c r="L205" s="63">
        <f t="shared" si="126"/>
        <v>59.7</v>
      </c>
      <c r="M205" s="7">
        <f aca="true" t="shared" si="127" ref="M205:M268">L205/K205*100</f>
        <v>43.355119825708066</v>
      </c>
    </row>
    <row r="206" spans="1:13" ht="15.75">
      <c r="A206" s="26" t="s">
        <v>801</v>
      </c>
      <c r="B206" s="42" t="s">
        <v>170</v>
      </c>
      <c r="C206" s="42" t="s">
        <v>192</v>
      </c>
      <c r="D206" s="21" t="s">
        <v>639</v>
      </c>
      <c r="E206" s="21" t="s">
        <v>190</v>
      </c>
      <c r="F206" s="63">
        <f>'Прил.№4 ведомств.'!G878</f>
        <v>14.3</v>
      </c>
      <c r="G206" s="63">
        <f>'Прил.№4 ведомств.'!I878</f>
        <v>13.8</v>
      </c>
      <c r="H206" s="63">
        <f>'Прил.№4 ведомств.'!J878</f>
        <v>28.5</v>
      </c>
      <c r="I206" s="63">
        <f>'Прил.№4 ведомств.'!K878</f>
        <v>28.5</v>
      </c>
      <c r="J206" s="63">
        <f>'Прил.№4 ведомств.'!L878</f>
        <v>28.5</v>
      </c>
      <c r="K206" s="63">
        <f>'Прил.№4 ведомств.'!M878</f>
        <v>137.7</v>
      </c>
      <c r="L206" s="63">
        <f>'Прил.№4 ведомств.'!N878</f>
        <v>59.7</v>
      </c>
      <c r="M206" s="7">
        <f t="shared" si="127"/>
        <v>43.355119825708066</v>
      </c>
    </row>
    <row r="207" spans="1:13" ht="15.75" hidden="1">
      <c r="A207" s="24" t="s">
        <v>264</v>
      </c>
      <c r="B207" s="25" t="s">
        <v>265</v>
      </c>
      <c r="C207" s="25"/>
      <c r="D207" s="25"/>
      <c r="E207" s="25"/>
      <c r="F207" s="67">
        <f aca="true" t="shared" si="128" ref="F207:F212">F208</f>
        <v>0</v>
      </c>
      <c r="G207" s="67">
        <f aca="true" t="shared" si="129" ref="G207:L212">G208</f>
        <v>0</v>
      </c>
      <c r="H207" s="67">
        <f t="shared" si="129"/>
        <v>322.9</v>
      </c>
      <c r="I207" s="67">
        <f t="shared" si="129"/>
        <v>22.3</v>
      </c>
      <c r="J207" s="67">
        <f t="shared" si="129"/>
        <v>22.3</v>
      </c>
      <c r="K207" s="67">
        <f t="shared" si="129"/>
        <v>0</v>
      </c>
      <c r="L207" s="67">
        <f t="shared" si="129"/>
        <v>0</v>
      </c>
      <c r="M207" s="4" t="e">
        <f t="shared" si="127"/>
        <v>#DIV/0!</v>
      </c>
    </row>
    <row r="208" spans="1:13" ht="31.5" hidden="1">
      <c r="A208" s="24" t="s">
        <v>270</v>
      </c>
      <c r="B208" s="25" t="s">
        <v>265</v>
      </c>
      <c r="C208" s="25" t="s">
        <v>271</v>
      </c>
      <c r="D208" s="25"/>
      <c r="E208" s="25"/>
      <c r="F208" s="63">
        <f t="shared" si="128"/>
        <v>0</v>
      </c>
      <c r="G208" s="63">
        <f t="shared" si="129"/>
        <v>0</v>
      </c>
      <c r="H208" s="63">
        <f t="shared" si="129"/>
        <v>322.9</v>
      </c>
      <c r="I208" s="63">
        <f t="shared" si="129"/>
        <v>22.3</v>
      </c>
      <c r="J208" s="63">
        <f t="shared" si="129"/>
        <v>22.3</v>
      </c>
      <c r="K208" s="63">
        <f t="shared" si="129"/>
        <v>0</v>
      </c>
      <c r="L208" s="63">
        <f t="shared" si="129"/>
        <v>0</v>
      </c>
      <c r="M208" s="4" t="e">
        <f t="shared" si="127"/>
        <v>#DIV/0!</v>
      </c>
    </row>
    <row r="209" spans="1:13" ht="15.75" hidden="1">
      <c r="A209" s="26" t="s">
        <v>173</v>
      </c>
      <c r="B209" s="21" t="s">
        <v>265</v>
      </c>
      <c r="C209" s="21" t="s">
        <v>271</v>
      </c>
      <c r="D209" s="21" t="s">
        <v>174</v>
      </c>
      <c r="E209" s="21"/>
      <c r="F209" s="63">
        <f t="shared" si="128"/>
        <v>0</v>
      </c>
      <c r="G209" s="63">
        <f t="shared" si="129"/>
        <v>0</v>
      </c>
      <c r="H209" s="63">
        <f t="shared" si="129"/>
        <v>322.9</v>
      </c>
      <c r="I209" s="63">
        <f t="shared" si="129"/>
        <v>22.3</v>
      </c>
      <c r="J209" s="63">
        <f t="shared" si="129"/>
        <v>22.3</v>
      </c>
      <c r="K209" s="63">
        <f t="shared" si="129"/>
        <v>0</v>
      </c>
      <c r="L209" s="63">
        <f t="shared" si="129"/>
        <v>0</v>
      </c>
      <c r="M209" s="4" t="e">
        <f t="shared" si="127"/>
        <v>#DIV/0!</v>
      </c>
    </row>
    <row r="210" spans="1:13" ht="15.75" hidden="1">
      <c r="A210" s="26" t="s">
        <v>193</v>
      </c>
      <c r="B210" s="21" t="s">
        <v>265</v>
      </c>
      <c r="C210" s="21" t="s">
        <v>271</v>
      </c>
      <c r="D210" s="21" t="s">
        <v>194</v>
      </c>
      <c r="E210" s="21"/>
      <c r="F210" s="63">
        <f t="shared" si="128"/>
        <v>0</v>
      </c>
      <c r="G210" s="63">
        <f t="shared" si="129"/>
        <v>0</v>
      </c>
      <c r="H210" s="63">
        <f t="shared" si="129"/>
        <v>322.9</v>
      </c>
      <c r="I210" s="63">
        <f t="shared" si="129"/>
        <v>22.3</v>
      </c>
      <c r="J210" s="63">
        <f t="shared" si="129"/>
        <v>22.3</v>
      </c>
      <c r="K210" s="63">
        <f t="shared" si="129"/>
        <v>0</v>
      </c>
      <c r="L210" s="63">
        <f t="shared" si="129"/>
        <v>0</v>
      </c>
      <c r="M210" s="4" t="e">
        <f t="shared" si="127"/>
        <v>#DIV/0!</v>
      </c>
    </row>
    <row r="211" spans="1:13" ht="15.75" hidden="1">
      <c r="A211" s="26" t="s">
        <v>272</v>
      </c>
      <c r="B211" s="21" t="s">
        <v>265</v>
      </c>
      <c r="C211" s="21" t="s">
        <v>271</v>
      </c>
      <c r="D211" s="21" t="s">
        <v>273</v>
      </c>
      <c r="E211" s="21"/>
      <c r="F211" s="63">
        <f t="shared" si="128"/>
        <v>0</v>
      </c>
      <c r="G211" s="63">
        <f t="shared" si="129"/>
        <v>0</v>
      </c>
      <c r="H211" s="63">
        <f t="shared" si="129"/>
        <v>322.9</v>
      </c>
      <c r="I211" s="63">
        <f t="shared" si="129"/>
        <v>22.3</v>
      </c>
      <c r="J211" s="63">
        <f t="shared" si="129"/>
        <v>22.3</v>
      </c>
      <c r="K211" s="63">
        <f t="shared" si="129"/>
        <v>0</v>
      </c>
      <c r="L211" s="63">
        <f t="shared" si="129"/>
        <v>0</v>
      </c>
      <c r="M211" s="4" t="e">
        <f t="shared" si="127"/>
        <v>#DIV/0!</v>
      </c>
    </row>
    <row r="212" spans="1:13" ht="31.5" hidden="1">
      <c r="A212" s="26" t="s">
        <v>250</v>
      </c>
      <c r="B212" s="21" t="s">
        <v>265</v>
      </c>
      <c r="C212" s="21" t="s">
        <v>271</v>
      </c>
      <c r="D212" s="21" t="s">
        <v>273</v>
      </c>
      <c r="E212" s="21" t="s">
        <v>184</v>
      </c>
      <c r="F212" s="63">
        <f t="shared" si="128"/>
        <v>0</v>
      </c>
      <c r="G212" s="63">
        <f t="shared" si="129"/>
        <v>0</v>
      </c>
      <c r="H212" s="63">
        <f t="shared" si="129"/>
        <v>322.9</v>
      </c>
      <c r="I212" s="63">
        <f t="shared" si="129"/>
        <v>22.3</v>
      </c>
      <c r="J212" s="63">
        <f t="shared" si="129"/>
        <v>22.3</v>
      </c>
      <c r="K212" s="63">
        <f t="shared" si="129"/>
        <v>0</v>
      </c>
      <c r="L212" s="63">
        <f t="shared" si="129"/>
        <v>0</v>
      </c>
      <c r="M212" s="4" t="e">
        <f t="shared" si="127"/>
        <v>#DIV/0!</v>
      </c>
    </row>
    <row r="213" spans="1:13" ht="47.25" hidden="1">
      <c r="A213" s="26" t="s">
        <v>185</v>
      </c>
      <c r="B213" s="21" t="s">
        <v>265</v>
      </c>
      <c r="C213" s="21" t="s">
        <v>271</v>
      </c>
      <c r="D213" s="21" t="s">
        <v>273</v>
      </c>
      <c r="E213" s="21" t="s">
        <v>186</v>
      </c>
      <c r="F213" s="63">
        <f>'Прил.№4 ведомств.'!G167</f>
        <v>0</v>
      </c>
      <c r="G213" s="63">
        <f>'Прил.№4 ведомств.'!I167</f>
        <v>0</v>
      </c>
      <c r="H213" s="63">
        <f>'Прил.№4 ведомств.'!J167</f>
        <v>322.9</v>
      </c>
      <c r="I213" s="63">
        <f>'Прил.№4 ведомств.'!K167</f>
        <v>22.3</v>
      </c>
      <c r="J213" s="63">
        <f>'Прил.№4 ведомств.'!L167</f>
        <v>22.3</v>
      </c>
      <c r="K213" s="63">
        <f>'Прил.№4 ведомств.'!M167</f>
        <v>0</v>
      </c>
      <c r="L213" s="63">
        <f>'Прил.№4 ведомств.'!N167</f>
        <v>0</v>
      </c>
      <c r="M213" s="4" t="e">
        <f t="shared" si="127"/>
        <v>#DIV/0!</v>
      </c>
    </row>
    <row r="214" spans="1:13" ht="31.5">
      <c r="A214" s="43" t="s">
        <v>274</v>
      </c>
      <c r="B214" s="8" t="s">
        <v>267</v>
      </c>
      <c r="C214" s="8"/>
      <c r="D214" s="8"/>
      <c r="E214" s="8"/>
      <c r="F214" s="4">
        <f>F215</f>
        <v>7209.400000000001</v>
      </c>
      <c r="G214" s="4">
        <f aca="true" t="shared" si="130" ref="G214:L216">G215</f>
        <v>5540.366666666667</v>
      </c>
      <c r="H214" s="4">
        <f t="shared" si="130"/>
        <v>10330.9</v>
      </c>
      <c r="I214" s="4">
        <f t="shared" si="130"/>
        <v>8923.6</v>
      </c>
      <c r="J214" s="4">
        <f t="shared" si="130"/>
        <v>8970.1</v>
      </c>
      <c r="K214" s="4">
        <f t="shared" si="130"/>
        <v>9234.4</v>
      </c>
      <c r="L214" s="4">
        <f t="shared" si="130"/>
        <v>2740.2999999999997</v>
      </c>
      <c r="M214" s="4">
        <f t="shared" si="127"/>
        <v>29.67491120159404</v>
      </c>
    </row>
    <row r="215" spans="1:15" ht="47.25">
      <c r="A215" s="43" t="s">
        <v>275</v>
      </c>
      <c r="B215" s="8" t="s">
        <v>267</v>
      </c>
      <c r="C215" s="8" t="s">
        <v>271</v>
      </c>
      <c r="D215" s="42"/>
      <c r="E215" s="42"/>
      <c r="F215" s="4">
        <f>F216</f>
        <v>7209.400000000001</v>
      </c>
      <c r="G215" s="4">
        <f t="shared" si="130"/>
        <v>5540.366666666667</v>
      </c>
      <c r="H215" s="4">
        <f t="shared" si="130"/>
        <v>10330.9</v>
      </c>
      <c r="I215" s="4">
        <f t="shared" si="130"/>
        <v>8923.6</v>
      </c>
      <c r="J215" s="4">
        <f t="shared" si="130"/>
        <v>8970.1</v>
      </c>
      <c r="K215" s="4">
        <f t="shared" si="130"/>
        <v>9234.4</v>
      </c>
      <c r="L215" s="4">
        <f t="shared" si="130"/>
        <v>2740.2999999999997</v>
      </c>
      <c r="M215" s="4">
        <f t="shared" si="127"/>
        <v>29.67491120159404</v>
      </c>
      <c r="N215" s="23"/>
      <c r="O215" s="23"/>
    </row>
    <row r="216" spans="1:13" ht="15.75">
      <c r="A216" s="31" t="s">
        <v>173</v>
      </c>
      <c r="B216" s="42" t="s">
        <v>267</v>
      </c>
      <c r="C216" s="42" t="s">
        <v>271</v>
      </c>
      <c r="D216" s="42" t="s">
        <v>174</v>
      </c>
      <c r="E216" s="42"/>
      <c r="F216" s="7">
        <f>F217</f>
        <v>7209.400000000001</v>
      </c>
      <c r="G216" s="7">
        <f t="shared" si="130"/>
        <v>5540.366666666667</v>
      </c>
      <c r="H216" s="7">
        <f t="shared" si="130"/>
        <v>10330.9</v>
      </c>
      <c r="I216" s="7">
        <f t="shared" si="130"/>
        <v>8923.6</v>
      </c>
      <c r="J216" s="7">
        <f t="shared" si="130"/>
        <v>8970.1</v>
      </c>
      <c r="K216" s="7">
        <f t="shared" si="130"/>
        <v>9234.4</v>
      </c>
      <c r="L216" s="7">
        <f t="shared" si="130"/>
        <v>2740.2999999999997</v>
      </c>
      <c r="M216" s="7">
        <f t="shared" si="127"/>
        <v>29.67491120159404</v>
      </c>
    </row>
    <row r="217" spans="1:13" ht="15.75">
      <c r="A217" s="31" t="s">
        <v>193</v>
      </c>
      <c r="B217" s="42" t="s">
        <v>267</v>
      </c>
      <c r="C217" s="42" t="s">
        <v>271</v>
      </c>
      <c r="D217" s="42" t="s">
        <v>194</v>
      </c>
      <c r="E217" s="42"/>
      <c r="F217" s="7">
        <f>F218+F224+F229+F221</f>
        <v>7209.400000000001</v>
      </c>
      <c r="G217" s="7">
        <f aca="true" t="shared" si="131" ref="G217:K217">G218+G224+G229+G221</f>
        <v>5540.366666666667</v>
      </c>
      <c r="H217" s="7">
        <f t="shared" si="131"/>
        <v>10330.9</v>
      </c>
      <c r="I217" s="7">
        <f t="shared" si="131"/>
        <v>8923.6</v>
      </c>
      <c r="J217" s="7">
        <f t="shared" si="131"/>
        <v>8970.1</v>
      </c>
      <c r="K217" s="7">
        <f t="shared" si="131"/>
        <v>9234.4</v>
      </c>
      <c r="L217" s="7">
        <f aca="true" t="shared" si="132" ref="L217">L218+L224+L229+L221</f>
        <v>2740.2999999999997</v>
      </c>
      <c r="M217" s="7">
        <f t="shared" si="127"/>
        <v>29.67491120159404</v>
      </c>
    </row>
    <row r="218" spans="1:13" ht="47.25">
      <c r="A218" s="31" t="s">
        <v>276</v>
      </c>
      <c r="B218" s="42" t="s">
        <v>267</v>
      </c>
      <c r="C218" s="42" t="s">
        <v>271</v>
      </c>
      <c r="D218" s="42" t="s">
        <v>277</v>
      </c>
      <c r="E218" s="42"/>
      <c r="F218" s="7">
        <f>F219</f>
        <v>2064.1</v>
      </c>
      <c r="G218" s="7">
        <f aca="true" t="shared" si="133" ref="G218:L219">G219</f>
        <v>445.06666666666666</v>
      </c>
      <c r="H218" s="7">
        <f t="shared" si="133"/>
        <v>3881.9</v>
      </c>
      <c r="I218" s="7">
        <f t="shared" si="133"/>
        <v>3042.9</v>
      </c>
      <c r="J218" s="7">
        <f t="shared" si="133"/>
        <v>3042.9</v>
      </c>
      <c r="K218" s="7">
        <f t="shared" si="133"/>
        <v>650</v>
      </c>
      <c r="L218" s="7">
        <f t="shared" si="133"/>
        <v>173</v>
      </c>
      <c r="M218" s="7">
        <f t="shared" si="127"/>
        <v>26.615384615384613</v>
      </c>
    </row>
    <row r="219" spans="1:13" ht="31.5">
      <c r="A219" s="31" t="s">
        <v>183</v>
      </c>
      <c r="B219" s="42" t="s">
        <v>267</v>
      </c>
      <c r="C219" s="42" t="s">
        <v>271</v>
      </c>
      <c r="D219" s="42" t="s">
        <v>277</v>
      </c>
      <c r="E219" s="42" t="s">
        <v>184</v>
      </c>
      <c r="F219" s="7">
        <f>F220</f>
        <v>2064.1</v>
      </c>
      <c r="G219" s="7">
        <f t="shared" si="133"/>
        <v>445.06666666666666</v>
      </c>
      <c r="H219" s="7">
        <f t="shared" si="133"/>
        <v>3881.9</v>
      </c>
      <c r="I219" s="7">
        <f t="shared" si="133"/>
        <v>3042.9</v>
      </c>
      <c r="J219" s="7">
        <f t="shared" si="133"/>
        <v>3042.9</v>
      </c>
      <c r="K219" s="7">
        <f t="shared" si="133"/>
        <v>650</v>
      </c>
      <c r="L219" s="7">
        <f t="shared" si="133"/>
        <v>173</v>
      </c>
      <c r="M219" s="7">
        <f t="shared" si="127"/>
        <v>26.615384615384613</v>
      </c>
    </row>
    <row r="220" spans="1:13" ht="47.25">
      <c r="A220" s="31" t="s">
        <v>185</v>
      </c>
      <c r="B220" s="42" t="s">
        <v>267</v>
      </c>
      <c r="C220" s="42" t="s">
        <v>271</v>
      </c>
      <c r="D220" s="42" t="s">
        <v>277</v>
      </c>
      <c r="E220" s="42" t="s">
        <v>186</v>
      </c>
      <c r="F220" s="121">
        <f>'Прил.№4 ведомств.'!G174</f>
        <v>2064.1</v>
      </c>
      <c r="G220" s="121">
        <f>'Прил.№4 ведомств.'!I174</f>
        <v>445.06666666666666</v>
      </c>
      <c r="H220" s="121">
        <f>'Прил.№4 ведомств.'!J174</f>
        <v>3881.9</v>
      </c>
      <c r="I220" s="121">
        <f>'Прил.№4 ведомств.'!K174</f>
        <v>3042.9</v>
      </c>
      <c r="J220" s="121">
        <f>'Прил.№4 ведомств.'!L174</f>
        <v>3042.9</v>
      </c>
      <c r="K220" s="121">
        <f>'Прил.№4 ведомств.'!M174</f>
        <v>650</v>
      </c>
      <c r="L220" s="121">
        <f>'Прил.№4 ведомств.'!N174</f>
        <v>173</v>
      </c>
      <c r="M220" s="7">
        <f t="shared" si="127"/>
        <v>26.615384615384613</v>
      </c>
    </row>
    <row r="221" spans="1:13" ht="15.75">
      <c r="A221" s="26" t="s">
        <v>278</v>
      </c>
      <c r="B221" s="21" t="s">
        <v>267</v>
      </c>
      <c r="C221" s="21" t="s">
        <v>271</v>
      </c>
      <c r="D221" s="21" t="s">
        <v>279</v>
      </c>
      <c r="E221" s="21"/>
      <c r="F221" s="121">
        <f>F222</f>
        <v>0</v>
      </c>
      <c r="G221" s="121">
        <f aca="true" t="shared" si="134" ref="G221:L222">G222</f>
        <v>0</v>
      </c>
      <c r="H221" s="121">
        <f t="shared" si="134"/>
        <v>764.4</v>
      </c>
      <c r="I221" s="121">
        <f t="shared" si="134"/>
        <v>150</v>
      </c>
      <c r="J221" s="121">
        <f t="shared" si="134"/>
        <v>150</v>
      </c>
      <c r="K221" s="121">
        <f t="shared" si="134"/>
        <v>764.4</v>
      </c>
      <c r="L221" s="121">
        <f t="shared" si="134"/>
        <v>0</v>
      </c>
      <c r="M221" s="7">
        <f t="shared" si="127"/>
        <v>0</v>
      </c>
    </row>
    <row r="222" spans="1:13" ht="31.5">
      <c r="A222" s="26" t="s">
        <v>250</v>
      </c>
      <c r="B222" s="21" t="s">
        <v>267</v>
      </c>
      <c r="C222" s="21" t="s">
        <v>271</v>
      </c>
      <c r="D222" s="21" t="s">
        <v>279</v>
      </c>
      <c r="E222" s="21" t="s">
        <v>184</v>
      </c>
      <c r="F222" s="121">
        <f>F223</f>
        <v>0</v>
      </c>
      <c r="G222" s="121">
        <f t="shared" si="134"/>
        <v>0</v>
      </c>
      <c r="H222" s="121">
        <f t="shared" si="134"/>
        <v>764.4</v>
      </c>
      <c r="I222" s="121">
        <f t="shared" si="134"/>
        <v>150</v>
      </c>
      <c r="J222" s="121">
        <f t="shared" si="134"/>
        <v>150</v>
      </c>
      <c r="K222" s="121">
        <f t="shared" si="134"/>
        <v>764.4</v>
      </c>
      <c r="L222" s="121">
        <f t="shared" si="134"/>
        <v>0</v>
      </c>
      <c r="M222" s="7">
        <f t="shared" si="127"/>
        <v>0</v>
      </c>
    </row>
    <row r="223" spans="1:13" ht="47.25">
      <c r="A223" s="26" t="s">
        <v>185</v>
      </c>
      <c r="B223" s="21" t="s">
        <v>267</v>
      </c>
      <c r="C223" s="21" t="s">
        <v>271</v>
      </c>
      <c r="D223" s="21" t="s">
        <v>279</v>
      </c>
      <c r="E223" s="21" t="s">
        <v>186</v>
      </c>
      <c r="F223" s="121">
        <f>'Прил.№4 ведомств.'!G177</f>
        <v>0</v>
      </c>
      <c r="G223" s="121">
        <f>'Прил.№4 ведомств.'!I177</f>
        <v>0</v>
      </c>
      <c r="H223" s="121">
        <f>'Прил.№4 ведомств.'!J177</f>
        <v>764.4</v>
      </c>
      <c r="I223" s="121">
        <f>'Прил.№4 ведомств.'!K177</f>
        <v>150</v>
      </c>
      <c r="J223" s="121">
        <f>'Прил.№4 ведомств.'!L177</f>
        <v>150</v>
      </c>
      <c r="K223" s="121">
        <f>'Прил.№4 ведомств.'!M177</f>
        <v>764.4</v>
      </c>
      <c r="L223" s="121">
        <f>'Прил.№4 ведомств.'!N177</f>
        <v>0</v>
      </c>
      <c r="M223" s="7">
        <f t="shared" si="127"/>
        <v>0</v>
      </c>
    </row>
    <row r="224" spans="1:13" ht="31.5">
      <c r="A224" s="31" t="s">
        <v>280</v>
      </c>
      <c r="B224" s="42" t="s">
        <v>267</v>
      </c>
      <c r="C224" s="42" t="s">
        <v>271</v>
      </c>
      <c r="D224" s="42" t="s">
        <v>281</v>
      </c>
      <c r="E224" s="42"/>
      <c r="F224" s="7">
        <f>F225+F227</f>
        <v>4997</v>
      </c>
      <c r="G224" s="7">
        <f aca="true" t="shared" si="135" ref="G224:K224">G225+G227</f>
        <v>4997</v>
      </c>
      <c r="H224" s="7">
        <f t="shared" si="135"/>
        <v>5074.2</v>
      </c>
      <c r="I224" s="7">
        <f t="shared" si="135"/>
        <v>5120.3</v>
      </c>
      <c r="J224" s="7">
        <f t="shared" si="135"/>
        <v>5166.8</v>
      </c>
      <c r="K224" s="7">
        <f t="shared" si="135"/>
        <v>7721</v>
      </c>
      <c r="L224" s="7">
        <f aca="true" t="shared" si="136" ref="L224">L225+L227</f>
        <v>2567.2999999999997</v>
      </c>
      <c r="M224" s="7">
        <f t="shared" si="127"/>
        <v>33.2508742390882</v>
      </c>
    </row>
    <row r="225" spans="1:13" ht="78.75">
      <c r="A225" s="31" t="s">
        <v>179</v>
      </c>
      <c r="B225" s="42" t="s">
        <v>267</v>
      </c>
      <c r="C225" s="42" t="s">
        <v>271</v>
      </c>
      <c r="D225" s="42" t="s">
        <v>281</v>
      </c>
      <c r="E225" s="42" t="s">
        <v>180</v>
      </c>
      <c r="F225" s="63">
        <f>F226</f>
        <v>4692.3</v>
      </c>
      <c r="G225" s="63">
        <f aca="true" t="shared" si="137" ref="G225:L225">G226</f>
        <v>4692.3</v>
      </c>
      <c r="H225" s="63">
        <f t="shared" si="137"/>
        <v>4606</v>
      </c>
      <c r="I225" s="63">
        <f t="shared" si="137"/>
        <v>4652.1</v>
      </c>
      <c r="J225" s="63">
        <f t="shared" si="137"/>
        <v>4698.6</v>
      </c>
      <c r="K225" s="63">
        <f t="shared" si="137"/>
        <v>4620</v>
      </c>
      <c r="L225" s="63">
        <f t="shared" si="137"/>
        <v>2448.1</v>
      </c>
      <c r="M225" s="7">
        <f t="shared" si="127"/>
        <v>52.989177489177486</v>
      </c>
    </row>
    <row r="226" spans="1:13" ht="31.5">
      <c r="A226" s="31" t="s">
        <v>394</v>
      </c>
      <c r="B226" s="42" t="s">
        <v>267</v>
      </c>
      <c r="C226" s="42" t="s">
        <v>271</v>
      </c>
      <c r="D226" s="42" t="s">
        <v>281</v>
      </c>
      <c r="E226" s="42" t="s">
        <v>261</v>
      </c>
      <c r="F226" s="63">
        <f>'Прил.№4 ведомств.'!G180</f>
        <v>4692.3</v>
      </c>
      <c r="G226" s="63">
        <f>'Прил.№4 ведомств.'!I180</f>
        <v>4692.3</v>
      </c>
      <c r="H226" s="63">
        <f>'Прил.№4 ведомств.'!J180</f>
        <v>4606</v>
      </c>
      <c r="I226" s="63">
        <f>'Прил.№4 ведомств.'!K180</f>
        <v>4652.1</v>
      </c>
      <c r="J226" s="63">
        <f>'Прил.№4 ведомств.'!L180</f>
        <v>4698.6</v>
      </c>
      <c r="K226" s="63">
        <f>'Прил.№4 ведомств.'!M180</f>
        <v>4620</v>
      </c>
      <c r="L226" s="63">
        <f>'Прил.№4 ведомств.'!N180</f>
        <v>2448.1</v>
      </c>
      <c r="M226" s="7">
        <f t="shared" si="127"/>
        <v>52.989177489177486</v>
      </c>
    </row>
    <row r="227" spans="1:13" ht="31.5">
      <c r="A227" s="31" t="s">
        <v>183</v>
      </c>
      <c r="B227" s="42" t="s">
        <v>267</v>
      </c>
      <c r="C227" s="42" t="s">
        <v>271</v>
      </c>
      <c r="D227" s="42" t="s">
        <v>281</v>
      </c>
      <c r="E227" s="42" t="s">
        <v>184</v>
      </c>
      <c r="F227" s="7">
        <f>F228</f>
        <v>304.7</v>
      </c>
      <c r="G227" s="7">
        <f aca="true" t="shared" si="138" ref="G227:L227">G228</f>
        <v>304.7</v>
      </c>
      <c r="H227" s="7">
        <f t="shared" si="138"/>
        <v>468.2</v>
      </c>
      <c r="I227" s="7">
        <f t="shared" si="138"/>
        <v>468.2</v>
      </c>
      <c r="J227" s="7">
        <f t="shared" si="138"/>
        <v>468.2</v>
      </c>
      <c r="K227" s="7">
        <f t="shared" si="138"/>
        <v>3101</v>
      </c>
      <c r="L227" s="7">
        <f t="shared" si="138"/>
        <v>119.2</v>
      </c>
      <c r="M227" s="7">
        <f t="shared" si="127"/>
        <v>3.8439213157046113</v>
      </c>
    </row>
    <row r="228" spans="1:13" ht="47.25">
      <c r="A228" s="31" t="s">
        <v>185</v>
      </c>
      <c r="B228" s="42" t="s">
        <v>267</v>
      </c>
      <c r="C228" s="42" t="s">
        <v>271</v>
      </c>
      <c r="D228" s="42" t="s">
        <v>281</v>
      </c>
      <c r="E228" s="42" t="s">
        <v>186</v>
      </c>
      <c r="F228" s="7">
        <f>'Прил.№4 ведомств.'!G182</f>
        <v>304.7</v>
      </c>
      <c r="G228" s="7">
        <f>'Прил.№4 ведомств.'!I182</f>
        <v>304.7</v>
      </c>
      <c r="H228" s="7">
        <f>'Прил.№4 ведомств.'!J182</f>
        <v>468.2</v>
      </c>
      <c r="I228" s="7">
        <f>'Прил.№4 ведомств.'!K182</f>
        <v>468.2</v>
      </c>
      <c r="J228" s="7">
        <f>'Прил.№4 ведомств.'!L182</f>
        <v>468.2</v>
      </c>
      <c r="K228" s="7">
        <f>'Прил.№4 ведомств.'!M182</f>
        <v>3101</v>
      </c>
      <c r="L228" s="7">
        <f>'Прил.№4 ведомств.'!N182</f>
        <v>119.2</v>
      </c>
      <c r="M228" s="7">
        <f t="shared" si="127"/>
        <v>3.8439213157046113</v>
      </c>
    </row>
    <row r="229" spans="1:13" ht="15.75">
      <c r="A229" s="31" t="s">
        <v>282</v>
      </c>
      <c r="B229" s="42" t="s">
        <v>267</v>
      </c>
      <c r="C229" s="42" t="s">
        <v>271</v>
      </c>
      <c r="D229" s="42" t="s">
        <v>283</v>
      </c>
      <c r="E229" s="42"/>
      <c r="F229" s="7">
        <f>F230</f>
        <v>148.3</v>
      </c>
      <c r="G229" s="7">
        <f aca="true" t="shared" si="139" ref="G229:L230">G230</f>
        <v>98.3</v>
      </c>
      <c r="H229" s="7">
        <f t="shared" si="139"/>
        <v>610.4</v>
      </c>
      <c r="I229" s="7">
        <f t="shared" si="139"/>
        <v>610.4</v>
      </c>
      <c r="J229" s="7">
        <f t="shared" si="139"/>
        <v>610.4</v>
      </c>
      <c r="K229" s="7">
        <f t="shared" si="139"/>
        <v>99</v>
      </c>
      <c r="L229" s="7">
        <f t="shared" si="139"/>
        <v>0</v>
      </c>
      <c r="M229" s="4">
        <f t="shared" si="127"/>
        <v>0</v>
      </c>
    </row>
    <row r="230" spans="1:13" ht="31.5">
      <c r="A230" s="31" t="s">
        <v>183</v>
      </c>
      <c r="B230" s="42" t="s">
        <v>267</v>
      </c>
      <c r="C230" s="42" t="s">
        <v>271</v>
      </c>
      <c r="D230" s="42" t="s">
        <v>283</v>
      </c>
      <c r="E230" s="42" t="s">
        <v>184</v>
      </c>
      <c r="F230" s="7">
        <f>F231</f>
        <v>148.3</v>
      </c>
      <c r="G230" s="7">
        <f t="shared" si="139"/>
        <v>98.3</v>
      </c>
      <c r="H230" s="7">
        <f t="shared" si="139"/>
        <v>610.4</v>
      </c>
      <c r="I230" s="7">
        <f t="shared" si="139"/>
        <v>610.4</v>
      </c>
      <c r="J230" s="7">
        <f t="shared" si="139"/>
        <v>610.4</v>
      </c>
      <c r="K230" s="7">
        <f t="shared" si="139"/>
        <v>99</v>
      </c>
      <c r="L230" s="7">
        <f t="shared" si="139"/>
        <v>0</v>
      </c>
      <c r="M230" s="4">
        <f t="shared" si="127"/>
        <v>0</v>
      </c>
    </row>
    <row r="231" spans="1:13" ht="47.25">
      <c r="A231" s="31" t="s">
        <v>185</v>
      </c>
      <c r="B231" s="42" t="s">
        <v>267</v>
      </c>
      <c r="C231" s="42" t="s">
        <v>271</v>
      </c>
      <c r="D231" s="42" t="s">
        <v>283</v>
      </c>
      <c r="E231" s="42" t="s">
        <v>186</v>
      </c>
      <c r="F231" s="7">
        <f>'Прил.№4 ведомств.'!G885+'Прил.№4 ведомств.'!G185</f>
        <v>148.3</v>
      </c>
      <c r="G231" s="7">
        <f>'Прил.№4 ведомств.'!I885+'Прил.№4 ведомств.'!I185</f>
        <v>98.3</v>
      </c>
      <c r="H231" s="7">
        <f>'Прил.№4 ведомств.'!J885+'Прил.№4 ведомств.'!J185</f>
        <v>610.4</v>
      </c>
      <c r="I231" s="7">
        <f>'Прил.№4 ведомств.'!K885+'Прил.№4 ведомств.'!K185</f>
        <v>610.4</v>
      </c>
      <c r="J231" s="7">
        <f>'Прил.№4 ведомств.'!L885+'Прил.№4 ведомств.'!L185</f>
        <v>610.4</v>
      </c>
      <c r="K231" s="7">
        <f>'Прил.№4 ведомств.'!M885+'Прил.№4 ведомств.'!M185</f>
        <v>99</v>
      </c>
      <c r="L231" s="7">
        <f>'Прил.№4 ведомств.'!N885+'Прил.№4 ведомств.'!N185</f>
        <v>0</v>
      </c>
      <c r="M231" s="4">
        <f t="shared" si="127"/>
        <v>0</v>
      </c>
    </row>
    <row r="232" spans="1:13" ht="15.75">
      <c r="A232" s="43" t="s">
        <v>284</v>
      </c>
      <c r="B232" s="8" t="s">
        <v>202</v>
      </c>
      <c r="C232" s="8"/>
      <c r="D232" s="8"/>
      <c r="E232" s="8"/>
      <c r="F232" s="4">
        <f aca="true" t="shared" si="140" ref="F232:K232">F249+F255+F262+F233</f>
        <v>20153.2</v>
      </c>
      <c r="G232" s="4">
        <f t="shared" si="140"/>
        <v>20153.2</v>
      </c>
      <c r="H232" s="4">
        <f t="shared" si="140"/>
        <v>20153.2</v>
      </c>
      <c r="I232" s="4">
        <f t="shared" si="140"/>
        <v>20793.2</v>
      </c>
      <c r="J232" s="4">
        <f t="shared" si="140"/>
        <v>20793.2</v>
      </c>
      <c r="K232" s="4">
        <f t="shared" si="140"/>
        <v>12224.5</v>
      </c>
      <c r="L232" s="4">
        <f aca="true" t="shared" si="141" ref="L232">L249+L255+L262+L233</f>
        <v>3370.2</v>
      </c>
      <c r="M232" s="4">
        <f t="shared" si="127"/>
        <v>27.569225735203894</v>
      </c>
    </row>
    <row r="233" spans="1:13" ht="15.75">
      <c r="A233" s="43" t="s">
        <v>285</v>
      </c>
      <c r="B233" s="8" t="s">
        <v>202</v>
      </c>
      <c r="C233" s="8" t="s">
        <v>286</v>
      </c>
      <c r="D233" s="8"/>
      <c r="E233" s="8"/>
      <c r="F233" s="4">
        <f>F241+F234</f>
        <v>450</v>
      </c>
      <c r="G233" s="4">
        <f aca="true" t="shared" si="142" ref="G233:K233">G241+G234</f>
        <v>450</v>
      </c>
      <c r="H233" s="4">
        <f t="shared" si="142"/>
        <v>450</v>
      </c>
      <c r="I233" s="4">
        <f t="shared" si="142"/>
        <v>550</v>
      </c>
      <c r="J233" s="4">
        <f t="shared" si="142"/>
        <v>550</v>
      </c>
      <c r="K233" s="4">
        <f t="shared" si="142"/>
        <v>919.6</v>
      </c>
      <c r="L233" s="4">
        <f aca="true" t="shared" si="143" ref="L233">L241+L234</f>
        <v>555.6</v>
      </c>
      <c r="M233" s="4">
        <f t="shared" si="127"/>
        <v>60.41757285776425</v>
      </c>
    </row>
    <row r="234" spans="1:13" ht="47.25">
      <c r="A234" s="33" t="s">
        <v>233</v>
      </c>
      <c r="B234" s="21" t="s">
        <v>202</v>
      </c>
      <c r="C234" s="21" t="s">
        <v>286</v>
      </c>
      <c r="D234" s="32" t="s">
        <v>234</v>
      </c>
      <c r="E234" s="34"/>
      <c r="F234" s="7">
        <f>F235</f>
        <v>0</v>
      </c>
      <c r="G234" s="7">
        <f aca="true" t="shared" si="144" ref="G234:L236">G235</f>
        <v>0</v>
      </c>
      <c r="H234" s="7">
        <f t="shared" si="144"/>
        <v>0</v>
      </c>
      <c r="I234" s="7">
        <f t="shared" si="144"/>
        <v>100</v>
      </c>
      <c r="J234" s="7">
        <f t="shared" si="144"/>
        <v>100</v>
      </c>
      <c r="K234" s="7">
        <f>K235+K239</f>
        <v>120</v>
      </c>
      <c r="L234" s="7">
        <f aca="true" t="shared" si="145" ref="L234">L235+L239</f>
        <v>11</v>
      </c>
      <c r="M234" s="7">
        <f t="shared" si="127"/>
        <v>9.166666666666666</v>
      </c>
    </row>
    <row r="235" spans="1:13" ht="31.5">
      <c r="A235" s="26" t="s">
        <v>209</v>
      </c>
      <c r="B235" s="21" t="s">
        <v>202</v>
      </c>
      <c r="C235" s="21" t="s">
        <v>286</v>
      </c>
      <c r="D235" s="21" t="s">
        <v>235</v>
      </c>
      <c r="E235" s="34"/>
      <c r="F235" s="7">
        <f>F236</f>
        <v>0</v>
      </c>
      <c r="G235" s="7">
        <f t="shared" si="144"/>
        <v>0</v>
      </c>
      <c r="H235" s="7">
        <f t="shared" si="144"/>
        <v>0</v>
      </c>
      <c r="I235" s="7">
        <f t="shared" si="144"/>
        <v>100</v>
      </c>
      <c r="J235" s="7">
        <f t="shared" si="144"/>
        <v>100</v>
      </c>
      <c r="K235" s="7">
        <f t="shared" si="144"/>
        <v>119</v>
      </c>
      <c r="L235" s="7">
        <f t="shared" si="144"/>
        <v>10</v>
      </c>
      <c r="M235" s="7">
        <f t="shared" si="127"/>
        <v>8.403361344537815</v>
      </c>
    </row>
    <row r="236" spans="1:13" ht="15.75">
      <c r="A236" s="31" t="s">
        <v>187</v>
      </c>
      <c r="B236" s="21" t="s">
        <v>202</v>
      </c>
      <c r="C236" s="21" t="s">
        <v>286</v>
      </c>
      <c r="D236" s="21" t="s">
        <v>235</v>
      </c>
      <c r="E236" s="34" t="s">
        <v>197</v>
      </c>
      <c r="F236" s="7">
        <f>F237</f>
        <v>0</v>
      </c>
      <c r="G236" s="7">
        <f t="shared" si="144"/>
        <v>0</v>
      </c>
      <c r="H236" s="7">
        <f t="shared" si="144"/>
        <v>0</v>
      </c>
      <c r="I236" s="7">
        <f t="shared" si="144"/>
        <v>100</v>
      </c>
      <c r="J236" s="7">
        <f t="shared" si="144"/>
        <v>100</v>
      </c>
      <c r="K236" s="7">
        <f t="shared" si="144"/>
        <v>119</v>
      </c>
      <c r="L236" s="7">
        <f t="shared" si="144"/>
        <v>10</v>
      </c>
      <c r="M236" s="7">
        <f t="shared" si="127"/>
        <v>8.403361344537815</v>
      </c>
    </row>
    <row r="237" spans="1:13" ht="47.25">
      <c r="A237" s="31" t="s">
        <v>236</v>
      </c>
      <c r="B237" s="21" t="s">
        <v>202</v>
      </c>
      <c r="C237" s="21" t="s">
        <v>286</v>
      </c>
      <c r="D237" s="21" t="s">
        <v>235</v>
      </c>
      <c r="E237" s="34" t="s">
        <v>212</v>
      </c>
      <c r="F237" s="7">
        <f>'Прил.№4 ведомств.'!G191</f>
        <v>0</v>
      </c>
      <c r="G237" s="7">
        <f>'Прил.№4 ведомств.'!H191</f>
        <v>0</v>
      </c>
      <c r="H237" s="7">
        <f>'Прил.№4 ведомств.'!I191</f>
        <v>0</v>
      </c>
      <c r="I237" s="7">
        <f>'Прил.№4 ведомств.'!J191</f>
        <v>100</v>
      </c>
      <c r="J237" s="7">
        <f>'Прил.№4 ведомств.'!K191</f>
        <v>100</v>
      </c>
      <c r="K237" s="7">
        <f>'Прил.№4 ведомств.'!M191</f>
        <v>119</v>
      </c>
      <c r="L237" s="7">
        <f>'Прил.№4 ведомств.'!N191</f>
        <v>10</v>
      </c>
      <c r="M237" s="7">
        <f t="shared" si="127"/>
        <v>8.403361344537815</v>
      </c>
    </row>
    <row r="238" spans="1:13" ht="31.5">
      <c r="A238" s="26" t="s">
        <v>974</v>
      </c>
      <c r="B238" s="21" t="s">
        <v>202</v>
      </c>
      <c r="C238" s="21" t="s">
        <v>286</v>
      </c>
      <c r="D238" s="21" t="s">
        <v>976</v>
      </c>
      <c r="E238" s="34"/>
      <c r="F238" s="7"/>
      <c r="G238" s="7"/>
      <c r="H238" s="7"/>
      <c r="I238" s="7"/>
      <c r="J238" s="7"/>
      <c r="K238" s="7">
        <f>K239</f>
        <v>1</v>
      </c>
      <c r="L238" s="7">
        <f aca="true" t="shared" si="146" ref="L238:L239">L239</f>
        <v>1</v>
      </c>
      <c r="M238" s="7">
        <f t="shared" si="127"/>
        <v>100</v>
      </c>
    </row>
    <row r="239" spans="1:13" ht="15.75">
      <c r="A239" s="31" t="s">
        <v>187</v>
      </c>
      <c r="B239" s="21" t="s">
        <v>202</v>
      </c>
      <c r="C239" s="21" t="s">
        <v>286</v>
      </c>
      <c r="D239" s="21" t="s">
        <v>976</v>
      </c>
      <c r="E239" s="34" t="s">
        <v>197</v>
      </c>
      <c r="F239" s="7"/>
      <c r="G239" s="7"/>
      <c r="H239" s="7"/>
      <c r="I239" s="7"/>
      <c r="J239" s="7"/>
      <c r="K239" s="7">
        <f>K240</f>
        <v>1</v>
      </c>
      <c r="L239" s="7">
        <f t="shared" si="146"/>
        <v>1</v>
      </c>
      <c r="M239" s="7">
        <f t="shared" si="127"/>
        <v>100</v>
      </c>
    </row>
    <row r="240" spans="1:13" ht="47.25">
      <c r="A240" s="31" t="s">
        <v>236</v>
      </c>
      <c r="B240" s="21" t="s">
        <v>202</v>
      </c>
      <c r="C240" s="21" t="s">
        <v>286</v>
      </c>
      <c r="D240" s="21" t="s">
        <v>976</v>
      </c>
      <c r="E240" s="34" t="s">
        <v>212</v>
      </c>
      <c r="F240" s="7"/>
      <c r="G240" s="7"/>
      <c r="H240" s="7"/>
      <c r="I240" s="7"/>
      <c r="J240" s="7"/>
      <c r="K240" s="7">
        <f>'Прил.№4 ведомств.'!M194</f>
        <v>1</v>
      </c>
      <c r="L240" s="7">
        <f>'Прил.№4 ведомств.'!N194</f>
        <v>1</v>
      </c>
      <c r="M240" s="7">
        <f t="shared" si="127"/>
        <v>100</v>
      </c>
    </row>
    <row r="241" spans="1:13" ht="15.75">
      <c r="A241" s="31" t="s">
        <v>173</v>
      </c>
      <c r="B241" s="42" t="s">
        <v>202</v>
      </c>
      <c r="C241" s="42" t="s">
        <v>286</v>
      </c>
      <c r="D241" s="42" t="s">
        <v>174</v>
      </c>
      <c r="E241" s="42"/>
      <c r="F241" s="7">
        <f>F242</f>
        <v>450</v>
      </c>
      <c r="G241" s="7">
        <f aca="true" t="shared" si="147" ref="G241:L247">G242</f>
        <v>450</v>
      </c>
      <c r="H241" s="7">
        <f t="shared" si="147"/>
        <v>450</v>
      </c>
      <c r="I241" s="7">
        <f t="shared" si="147"/>
        <v>450</v>
      </c>
      <c r="J241" s="7">
        <f t="shared" si="147"/>
        <v>450</v>
      </c>
      <c r="K241" s="7">
        <f>K242</f>
        <v>799.6</v>
      </c>
      <c r="L241" s="7">
        <f aca="true" t="shared" si="148" ref="L241">L242</f>
        <v>544.6</v>
      </c>
      <c r="M241" s="7">
        <f t="shared" si="127"/>
        <v>68.10905452726364</v>
      </c>
    </row>
    <row r="242" spans="1:13" ht="31.5">
      <c r="A242" s="31" t="s">
        <v>237</v>
      </c>
      <c r="B242" s="42" t="s">
        <v>202</v>
      </c>
      <c r="C242" s="42" t="s">
        <v>286</v>
      </c>
      <c r="D242" s="42" t="s">
        <v>238</v>
      </c>
      <c r="E242" s="42"/>
      <c r="F242" s="7">
        <f>F246</f>
        <v>450</v>
      </c>
      <c r="G242" s="7">
        <f>G246</f>
        <v>450</v>
      </c>
      <c r="H242" s="7">
        <f>H246</f>
        <v>450</v>
      </c>
      <c r="I242" s="7">
        <f>I246</f>
        <v>450</v>
      </c>
      <c r="J242" s="7">
        <f>J246</f>
        <v>450</v>
      </c>
      <c r="K242" s="7">
        <f>K246+K243</f>
        <v>799.6</v>
      </c>
      <c r="L242" s="7">
        <f aca="true" t="shared" si="149" ref="L242">L246+L243</f>
        <v>544.6</v>
      </c>
      <c r="M242" s="7">
        <f t="shared" si="127"/>
        <v>68.10905452726364</v>
      </c>
    </row>
    <row r="243" spans="1:13" ht="31.5">
      <c r="A243" s="26" t="s">
        <v>974</v>
      </c>
      <c r="B243" s="42" t="s">
        <v>202</v>
      </c>
      <c r="C243" s="42" t="s">
        <v>286</v>
      </c>
      <c r="D243" s="21" t="s">
        <v>975</v>
      </c>
      <c r="E243" s="42"/>
      <c r="F243" s="7"/>
      <c r="G243" s="7"/>
      <c r="H243" s="7"/>
      <c r="I243" s="7"/>
      <c r="J243" s="7"/>
      <c r="K243" s="7">
        <f>K244</f>
        <v>289.6</v>
      </c>
      <c r="L243" s="7">
        <f aca="true" t="shared" si="150" ref="L243:L244">L244</f>
        <v>289.6</v>
      </c>
      <c r="M243" s="7">
        <f t="shared" si="127"/>
        <v>100</v>
      </c>
    </row>
    <row r="244" spans="1:13" ht="15.75">
      <c r="A244" s="31" t="s">
        <v>187</v>
      </c>
      <c r="B244" s="42" t="s">
        <v>202</v>
      </c>
      <c r="C244" s="42" t="s">
        <v>286</v>
      </c>
      <c r="D244" s="21" t="s">
        <v>975</v>
      </c>
      <c r="E244" s="42" t="s">
        <v>197</v>
      </c>
      <c r="F244" s="7"/>
      <c r="G244" s="7"/>
      <c r="H244" s="7"/>
      <c r="I244" s="7"/>
      <c r="J244" s="7"/>
      <c r="K244" s="7">
        <f>K245</f>
        <v>289.6</v>
      </c>
      <c r="L244" s="7">
        <f t="shared" si="150"/>
        <v>289.6</v>
      </c>
      <c r="M244" s="7">
        <f t="shared" si="127"/>
        <v>100</v>
      </c>
    </row>
    <row r="245" spans="1:13" ht="47.25">
      <c r="A245" s="31" t="s">
        <v>236</v>
      </c>
      <c r="B245" s="42" t="s">
        <v>202</v>
      </c>
      <c r="C245" s="42" t="s">
        <v>286</v>
      </c>
      <c r="D245" s="21" t="s">
        <v>975</v>
      </c>
      <c r="E245" s="42" t="s">
        <v>212</v>
      </c>
      <c r="F245" s="7"/>
      <c r="G245" s="7"/>
      <c r="H245" s="7"/>
      <c r="I245" s="7"/>
      <c r="J245" s="7"/>
      <c r="K245" s="7">
        <f>'Прил.№4 ведомств.'!M199</f>
        <v>289.6</v>
      </c>
      <c r="L245" s="7">
        <f>'Прил.№4 ведомств.'!N199</f>
        <v>289.6</v>
      </c>
      <c r="M245" s="7">
        <f t="shared" si="127"/>
        <v>100</v>
      </c>
    </row>
    <row r="246" spans="1:13" ht="31.5">
      <c r="A246" s="26" t="s">
        <v>654</v>
      </c>
      <c r="B246" s="42" t="s">
        <v>202</v>
      </c>
      <c r="C246" s="42" t="s">
        <v>286</v>
      </c>
      <c r="D246" s="42" t="s">
        <v>288</v>
      </c>
      <c r="E246" s="42"/>
      <c r="F246" s="7">
        <f>F247</f>
        <v>450</v>
      </c>
      <c r="G246" s="7">
        <f t="shared" si="147"/>
        <v>450</v>
      </c>
      <c r="H246" s="7">
        <f t="shared" si="147"/>
        <v>450</v>
      </c>
      <c r="I246" s="7">
        <f t="shared" si="147"/>
        <v>450</v>
      </c>
      <c r="J246" s="7">
        <f t="shared" si="147"/>
        <v>450</v>
      </c>
      <c r="K246" s="7">
        <f t="shared" si="147"/>
        <v>510</v>
      </c>
      <c r="L246" s="7">
        <f t="shared" si="147"/>
        <v>255</v>
      </c>
      <c r="M246" s="7">
        <f t="shared" si="127"/>
        <v>50</v>
      </c>
    </row>
    <row r="247" spans="1:13" ht="15.75">
      <c r="A247" s="31" t="s">
        <v>187</v>
      </c>
      <c r="B247" s="42" t="s">
        <v>202</v>
      </c>
      <c r="C247" s="42" t="s">
        <v>286</v>
      </c>
      <c r="D247" s="42" t="s">
        <v>288</v>
      </c>
      <c r="E247" s="42" t="s">
        <v>197</v>
      </c>
      <c r="F247" s="7">
        <f>F248</f>
        <v>450</v>
      </c>
      <c r="G247" s="7">
        <f t="shared" si="147"/>
        <v>450</v>
      </c>
      <c r="H247" s="7">
        <f t="shared" si="147"/>
        <v>450</v>
      </c>
      <c r="I247" s="7">
        <f t="shared" si="147"/>
        <v>450</v>
      </c>
      <c r="J247" s="7">
        <f t="shared" si="147"/>
        <v>450</v>
      </c>
      <c r="K247" s="7">
        <f t="shared" si="147"/>
        <v>510</v>
      </c>
      <c r="L247" s="7">
        <f t="shared" si="147"/>
        <v>255</v>
      </c>
      <c r="M247" s="7">
        <f t="shared" si="127"/>
        <v>50</v>
      </c>
    </row>
    <row r="248" spans="1:13" ht="47.25">
      <c r="A248" s="26" t="s">
        <v>236</v>
      </c>
      <c r="B248" s="42" t="s">
        <v>202</v>
      </c>
      <c r="C248" s="42" t="s">
        <v>286</v>
      </c>
      <c r="D248" s="42" t="s">
        <v>288</v>
      </c>
      <c r="E248" s="42" t="s">
        <v>212</v>
      </c>
      <c r="F248" s="7">
        <f>'Прил.№4 ведомств.'!G202</f>
        <v>450</v>
      </c>
      <c r="G248" s="7">
        <f>'Прил.№4 ведомств.'!I202</f>
        <v>450</v>
      </c>
      <c r="H248" s="7">
        <f>'Прил.№4 ведомств.'!J202</f>
        <v>450</v>
      </c>
      <c r="I248" s="7">
        <f>'Прил.№4 ведомств.'!K202</f>
        <v>450</v>
      </c>
      <c r="J248" s="7">
        <f>'Прил.№4 ведомств.'!L202</f>
        <v>450</v>
      </c>
      <c r="K248" s="7">
        <f>'Прил.№4 ведомств.'!M202</f>
        <v>510</v>
      </c>
      <c r="L248" s="7">
        <f>'Прил.№4 ведомств.'!N202</f>
        <v>255</v>
      </c>
      <c r="M248" s="7">
        <f t="shared" si="127"/>
        <v>50</v>
      </c>
    </row>
    <row r="249" spans="1:13" ht="15.75">
      <c r="A249" s="43" t="s">
        <v>558</v>
      </c>
      <c r="B249" s="8" t="s">
        <v>202</v>
      </c>
      <c r="C249" s="8" t="s">
        <v>351</v>
      </c>
      <c r="D249" s="8"/>
      <c r="E249" s="8"/>
      <c r="F249" s="4">
        <f>F250</f>
        <v>3207.7</v>
      </c>
      <c r="G249" s="4">
        <f aca="true" t="shared" si="151" ref="G249:L253">G250</f>
        <v>3207.7</v>
      </c>
      <c r="H249" s="4">
        <f t="shared" si="151"/>
        <v>3207.7</v>
      </c>
      <c r="I249" s="4">
        <f t="shared" si="151"/>
        <v>3207.7</v>
      </c>
      <c r="J249" s="4">
        <f t="shared" si="151"/>
        <v>3207.7</v>
      </c>
      <c r="K249" s="4">
        <f t="shared" si="151"/>
        <v>3258.3</v>
      </c>
      <c r="L249" s="4">
        <f t="shared" si="151"/>
        <v>1349.6</v>
      </c>
      <c r="M249" s="4">
        <f t="shared" si="127"/>
        <v>41.42037258693183</v>
      </c>
    </row>
    <row r="250" spans="1:13" ht="15.75">
      <c r="A250" s="31" t="s">
        <v>173</v>
      </c>
      <c r="B250" s="42" t="s">
        <v>202</v>
      </c>
      <c r="C250" s="42" t="s">
        <v>351</v>
      </c>
      <c r="D250" s="42" t="s">
        <v>174</v>
      </c>
      <c r="E250" s="8"/>
      <c r="F250" s="7">
        <f>F251</f>
        <v>3207.7</v>
      </c>
      <c r="G250" s="7">
        <f t="shared" si="151"/>
        <v>3207.7</v>
      </c>
      <c r="H250" s="7">
        <f t="shared" si="151"/>
        <v>3207.7</v>
      </c>
      <c r="I250" s="7">
        <f t="shared" si="151"/>
        <v>3207.7</v>
      </c>
      <c r="J250" s="7">
        <f t="shared" si="151"/>
        <v>3207.7</v>
      </c>
      <c r="K250" s="7">
        <f t="shared" si="151"/>
        <v>3258.3</v>
      </c>
      <c r="L250" s="7">
        <f t="shared" si="151"/>
        <v>1349.6</v>
      </c>
      <c r="M250" s="7">
        <f t="shared" si="127"/>
        <v>41.42037258693183</v>
      </c>
    </row>
    <row r="251" spans="1:13" ht="15.75">
      <c r="A251" s="31" t="s">
        <v>193</v>
      </c>
      <c r="B251" s="42" t="s">
        <v>202</v>
      </c>
      <c r="C251" s="42" t="s">
        <v>351</v>
      </c>
      <c r="D251" s="42" t="s">
        <v>194</v>
      </c>
      <c r="E251" s="8"/>
      <c r="F251" s="7">
        <f>F252</f>
        <v>3207.7</v>
      </c>
      <c r="G251" s="7">
        <f t="shared" si="151"/>
        <v>3207.7</v>
      </c>
      <c r="H251" s="7">
        <f t="shared" si="151"/>
        <v>3207.7</v>
      </c>
      <c r="I251" s="7">
        <f t="shared" si="151"/>
        <v>3207.7</v>
      </c>
      <c r="J251" s="7">
        <f t="shared" si="151"/>
        <v>3207.7</v>
      </c>
      <c r="K251" s="7">
        <f t="shared" si="151"/>
        <v>3258.3</v>
      </c>
      <c r="L251" s="7">
        <f t="shared" si="151"/>
        <v>1349.6</v>
      </c>
      <c r="M251" s="7">
        <f t="shared" si="127"/>
        <v>41.42037258693183</v>
      </c>
    </row>
    <row r="252" spans="1:13" ht="31.5">
      <c r="A252" s="31" t="s">
        <v>559</v>
      </c>
      <c r="B252" s="42" t="s">
        <v>202</v>
      </c>
      <c r="C252" s="42" t="s">
        <v>351</v>
      </c>
      <c r="D252" s="42" t="s">
        <v>560</v>
      </c>
      <c r="E252" s="42"/>
      <c r="F252" s="7">
        <f>F253</f>
        <v>3207.7</v>
      </c>
      <c r="G252" s="7">
        <f t="shared" si="151"/>
        <v>3207.7</v>
      </c>
      <c r="H252" s="7">
        <f t="shared" si="151"/>
        <v>3207.7</v>
      </c>
      <c r="I252" s="7">
        <f t="shared" si="151"/>
        <v>3207.7</v>
      </c>
      <c r="J252" s="7">
        <f t="shared" si="151"/>
        <v>3207.7</v>
      </c>
      <c r="K252" s="7">
        <f t="shared" si="151"/>
        <v>3258.3</v>
      </c>
      <c r="L252" s="7">
        <f t="shared" si="151"/>
        <v>1349.6</v>
      </c>
      <c r="M252" s="7">
        <f t="shared" si="127"/>
        <v>41.42037258693183</v>
      </c>
    </row>
    <row r="253" spans="1:13" ht="31.5">
      <c r="A253" s="31" t="s">
        <v>183</v>
      </c>
      <c r="B253" s="42" t="s">
        <v>202</v>
      </c>
      <c r="C253" s="42" t="s">
        <v>351</v>
      </c>
      <c r="D253" s="42" t="s">
        <v>560</v>
      </c>
      <c r="E253" s="42" t="s">
        <v>184</v>
      </c>
      <c r="F253" s="7">
        <f>F254</f>
        <v>3207.7</v>
      </c>
      <c r="G253" s="7">
        <f t="shared" si="151"/>
        <v>3207.7</v>
      </c>
      <c r="H253" s="7">
        <f t="shared" si="151"/>
        <v>3207.7</v>
      </c>
      <c r="I253" s="7">
        <f t="shared" si="151"/>
        <v>3207.7</v>
      </c>
      <c r="J253" s="7">
        <f t="shared" si="151"/>
        <v>3207.7</v>
      </c>
      <c r="K253" s="7">
        <f t="shared" si="151"/>
        <v>3258.3</v>
      </c>
      <c r="L253" s="7">
        <f t="shared" si="151"/>
        <v>1349.6</v>
      </c>
      <c r="M253" s="7">
        <f t="shared" si="127"/>
        <v>41.42037258693183</v>
      </c>
    </row>
    <row r="254" spans="1:13" ht="47.25">
      <c r="A254" s="31" t="s">
        <v>185</v>
      </c>
      <c r="B254" s="42" t="s">
        <v>202</v>
      </c>
      <c r="C254" s="42" t="s">
        <v>351</v>
      </c>
      <c r="D254" s="42" t="s">
        <v>560</v>
      </c>
      <c r="E254" s="42" t="s">
        <v>186</v>
      </c>
      <c r="F254" s="63">
        <f>'Прил.№4 ведомств.'!G892</f>
        <v>3207.7</v>
      </c>
      <c r="G254" s="63">
        <f>'Прил.№4 ведомств.'!I892</f>
        <v>3207.7</v>
      </c>
      <c r="H254" s="63">
        <f>'Прил.№4 ведомств.'!J892</f>
        <v>3207.7</v>
      </c>
      <c r="I254" s="63">
        <f>'Прил.№4 ведомств.'!K892</f>
        <v>3207.7</v>
      </c>
      <c r="J254" s="63">
        <f>'Прил.№4 ведомств.'!L892</f>
        <v>3207.7</v>
      </c>
      <c r="K254" s="63">
        <f>'Прил.№4 ведомств.'!M892</f>
        <v>3258.3</v>
      </c>
      <c r="L254" s="63">
        <f>'Прил.№4 ведомств.'!N892</f>
        <v>1349.6</v>
      </c>
      <c r="M254" s="7">
        <f t="shared" si="127"/>
        <v>41.42037258693183</v>
      </c>
    </row>
    <row r="255" spans="1:13" ht="15.75">
      <c r="A255" s="43" t="s">
        <v>561</v>
      </c>
      <c r="B255" s="8" t="s">
        <v>202</v>
      </c>
      <c r="C255" s="8" t="s">
        <v>271</v>
      </c>
      <c r="D255" s="42"/>
      <c r="E255" s="8"/>
      <c r="F255" s="4">
        <f>F256</f>
        <v>15124.1</v>
      </c>
      <c r="G255" s="4">
        <f aca="true" t="shared" si="152" ref="G255:L256">G256</f>
        <v>15124.1</v>
      </c>
      <c r="H255" s="4">
        <f t="shared" si="152"/>
        <v>15124.1</v>
      </c>
      <c r="I255" s="4">
        <f t="shared" si="152"/>
        <v>15124.1</v>
      </c>
      <c r="J255" s="4">
        <f t="shared" si="152"/>
        <v>15124.1</v>
      </c>
      <c r="K255" s="4">
        <f t="shared" si="152"/>
        <v>6895.3</v>
      </c>
      <c r="L255" s="4">
        <f t="shared" si="152"/>
        <v>1240.1</v>
      </c>
      <c r="M255" s="4">
        <f t="shared" si="127"/>
        <v>17.98471422563195</v>
      </c>
    </row>
    <row r="256" spans="1:13" ht="47.25">
      <c r="A256" s="31" t="s">
        <v>1012</v>
      </c>
      <c r="B256" s="42" t="s">
        <v>202</v>
      </c>
      <c r="C256" s="42" t="s">
        <v>271</v>
      </c>
      <c r="D256" s="42" t="s">
        <v>563</v>
      </c>
      <c r="E256" s="42"/>
      <c r="F256" s="11">
        <f>F257</f>
        <v>15124.1</v>
      </c>
      <c r="G256" s="11">
        <f t="shared" si="152"/>
        <v>15124.1</v>
      </c>
      <c r="H256" s="11">
        <f t="shared" si="152"/>
        <v>15124.1</v>
      </c>
      <c r="I256" s="11">
        <f t="shared" si="152"/>
        <v>15124.1</v>
      </c>
      <c r="J256" s="11">
        <f t="shared" si="152"/>
        <v>15124.1</v>
      </c>
      <c r="K256" s="11">
        <f t="shared" si="152"/>
        <v>6895.3</v>
      </c>
      <c r="L256" s="11">
        <f t="shared" si="152"/>
        <v>1240.1</v>
      </c>
      <c r="M256" s="7">
        <f t="shared" si="127"/>
        <v>17.98471422563195</v>
      </c>
    </row>
    <row r="257" spans="1:13" ht="15.75">
      <c r="A257" s="31" t="s">
        <v>564</v>
      </c>
      <c r="B257" s="42" t="s">
        <v>202</v>
      </c>
      <c r="C257" s="42" t="s">
        <v>271</v>
      </c>
      <c r="D257" s="42" t="s">
        <v>565</v>
      </c>
      <c r="E257" s="42"/>
      <c r="F257" s="11">
        <f>F258+F260</f>
        <v>15124.1</v>
      </c>
      <c r="G257" s="11">
        <f aca="true" t="shared" si="153" ref="G257:K257">G258+G260</f>
        <v>15124.1</v>
      </c>
      <c r="H257" s="11">
        <f t="shared" si="153"/>
        <v>15124.1</v>
      </c>
      <c r="I257" s="11">
        <f t="shared" si="153"/>
        <v>15124.1</v>
      </c>
      <c r="J257" s="11">
        <f t="shared" si="153"/>
        <v>15124.1</v>
      </c>
      <c r="K257" s="11">
        <f t="shared" si="153"/>
        <v>6895.3</v>
      </c>
      <c r="L257" s="11">
        <f aca="true" t="shared" si="154" ref="L257">L258+L260</f>
        <v>1240.1</v>
      </c>
      <c r="M257" s="7">
        <f t="shared" si="127"/>
        <v>17.98471422563195</v>
      </c>
    </row>
    <row r="258" spans="1:13" ht="31.5">
      <c r="A258" s="31" t="s">
        <v>183</v>
      </c>
      <c r="B258" s="42" t="s">
        <v>202</v>
      </c>
      <c r="C258" s="42" t="s">
        <v>271</v>
      </c>
      <c r="D258" s="42" t="s">
        <v>565</v>
      </c>
      <c r="E258" s="42" t="s">
        <v>184</v>
      </c>
      <c r="F258" s="11">
        <f>F259</f>
        <v>15108.1</v>
      </c>
      <c r="G258" s="11">
        <f aca="true" t="shared" si="155" ref="G258:L258">G259</f>
        <v>15108.1</v>
      </c>
      <c r="H258" s="11">
        <f t="shared" si="155"/>
        <v>15108.1</v>
      </c>
      <c r="I258" s="11">
        <f t="shared" si="155"/>
        <v>15108.1</v>
      </c>
      <c r="J258" s="11">
        <f t="shared" si="155"/>
        <v>15108.1</v>
      </c>
      <c r="K258" s="11">
        <f t="shared" si="155"/>
        <v>6879.3</v>
      </c>
      <c r="L258" s="11">
        <f t="shared" si="155"/>
        <v>1240.1</v>
      </c>
      <c r="M258" s="7">
        <f t="shared" si="127"/>
        <v>18.026543398310874</v>
      </c>
    </row>
    <row r="259" spans="1:13" ht="47.25">
      <c r="A259" s="31" t="s">
        <v>185</v>
      </c>
      <c r="B259" s="42" t="s">
        <v>202</v>
      </c>
      <c r="C259" s="42" t="s">
        <v>271</v>
      </c>
      <c r="D259" s="42" t="s">
        <v>565</v>
      </c>
      <c r="E259" s="42" t="s">
        <v>186</v>
      </c>
      <c r="F259" s="63">
        <f>'Прил.№4 ведомств.'!G897</f>
        <v>15108.1</v>
      </c>
      <c r="G259" s="63">
        <f>'Прил.№4 ведомств.'!I897</f>
        <v>15108.1</v>
      </c>
      <c r="H259" s="63">
        <f>'Прил.№4 ведомств.'!J897</f>
        <v>15108.1</v>
      </c>
      <c r="I259" s="63">
        <f>'Прил.№4 ведомств.'!K897</f>
        <v>15108.1</v>
      </c>
      <c r="J259" s="63">
        <f>'Прил.№4 ведомств.'!L897</f>
        <v>15108.1</v>
      </c>
      <c r="K259" s="63">
        <f>'Прил.№4 ведомств.'!M897</f>
        <v>6879.3</v>
      </c>
      <c r="L259" s="63">
        <f>'Прил.№4 ведомств.'!N897</f>
        <v>1240.1</v>
      </c>
      <c r="M259" s="7">
        <f t="shared" si="127"/>
        <v>18.026543398310874</v>
      </c>
    </row>
    <row r="260" spans="1:13" ht="15.75">
      <c r="A260" s="31" t="s">
        <v>187</v>
      </c>
      <c r="B260" s="42" t="s">
        <v>202</v>
      </c>
      <c r="C260" s="42" t="s">
        <v>271</v>
      </c>
      <c r="D260" s="42" t="s">
        <v>565</v>
      </c>
      <c r="E260" s="42" t="s">
        <v>197</v>
      </c>
      <c r="F260" s="63">
        <f>F261</f>
        <v>16</v>
      </c>
      <c r="G260" s="63">
        <f aca="true" t="shared" si="156" ref="G260:L260">G261</f>
        <v>16</v>
      </c>
      <c r="H260" s="63">
        <f t="shared" si="156"/>
        <v>16</v>
      </c>
      <c r="I260" s="63">
        <f t="shared" si="156"/>
        <v>16</v>
      </c>
      <c r="J260" s="63">
        <f t="shared" si="156"/>
        <v>16</v>
      </c>
      <c r="K260" s="63">
        <f t="shared" si="156"/>
        <v>16</v>
      </c>
      <c r="L260" s="63">
        <f t="shared" si="156"/>
        <v>0</v>
      </c>
      <c r="M260" s="7">
        <f t="shared" si="127"/>
        <v>0</v>
      </c>
    </row>
    <row r="261" spans="1:13" ht="15.75">
      <c r="A261" s="31" t="s">
        <v>621</v>
      </c>
      <c r="B261" s="42" t="s">
        <v>202</v>
      </c>
      <c r="C261" s="42" t="s">
        <v>271</v>
      </c>
      <c r="D261" s="42" t="s">
        <v>565</v>
      </c>
      <c r="E261" s="42" t="s">
        <v>190</v>
      </c>
      <c r="F261" s="63">
        <f>'Прил.№4 ведомств.'!G899</f>
        <v>16</v>
      </c>
      <c r="G261" s="63">
        <f>'Прил.№4 ведомств.'!I899</f>
        <v>16</v>
      </c>
      <c r="H261" s="63">
        <f>'Прил.№4 ведомств.'!J899</f>
        <v>16</v>
      </c>
      <c r="I261" s="63">
        <f>'Прил.№4 ведомств.'!K899</f>
        <v>16</v>
      </c>
      <c r="J261" s="63">
        <f>'Прил.№4 ведомств.'!L899</f>
        <v>16</v>
      </c>
      <c r="K261" s="63">
        <f>'Прил.№4 ведомств.'!M899</f>
        <v>16</v>
      </c>
      <c r="L261" s="63">
        <f>'Прил.№4 ведомств.'!N899</f>
        <v>0</v>
      </c>
      <c r="M261" s="7">
        <f t="shared" si="127"/>
        <v>0</v>
      </c>
    </row>
    <row r="262" spans="1:13" ht="31.5">
      <c r="A262" s="43" t="s">
        <v>289</v>
      </c>
      <c r="B262" s="8" t="s">
        <v>202</v>
      </c>
      <c r="C262" s="8" t="s">
        <v>290</v>
      </c>
      <c r="D262" s="8"/>
      <c r="E262" s="8"/>
      <c r="F262" s="68">
        <f>F267+F263</f>
        <v>1371.3999999999999</v>
      </c>
      <c r="G262" s="68">
        <f aca="true" t="shared" si="157" ref="G262:K262">G267+G263</f>
        <v>1371.3999999999999</v>
      </c>
      <c r="H262" s="68">
        <f t="shared" si="157"/>
        <v>1371.3999999999999</v>
      </c>
      <c r="I262" s="68">
        <f t="shared" si="157"/>
        <v>1911.3999999999999</v>
      </c>
      <c r="J262" s="68">
        <f t="shared" si="157"/>
        <v>1911.3999999999999</v>
      </c>
      <c r="K262" s="68">
        <f t="shared" si="157"/>
        <v>1151.3</v>
      </c>
      <c r="L262" s="68">
        <f aca="true" t="shared" si="158" ref="L262">L267+L263</f>
        <v>224.89999999999998</v>
      </c>
      <c r="M262" s="4">
        <f t="shared" si="127"/>
        <v>19.534439329453658</v>
      </c>
    </row>
    <row r="263" spans="1:13" ht="47.25">
      <c r="A263" s="26" t="s">
        <v>986</v>
      </c>
      <c r="B263" s="21" t="s">
        <v>202</v>
      </c>
      <c r="C263" s="21" t="s">
        <v>290</v>
      </c>
      <c r="D263" s="21" t="s">
        <v>208</v>
      </c>
      <c r="E263" s="21"/>
      <c r="F263" s="11">
        <f>F264</f>
        <v>0</v>
      </c>
      <c r="G263" s="11">
        <f aca="true" t="shared" si="159" ref="G263:L265">G264</f>
        <v>0</v>
      </c>
      <c r="H263" s="11">
        <f t="shared" si="159"/>
        <v>0</v>
      </c>
      <c r="I263" s="11">
        <f t="shared" si="159"/>
        <v>540</v>
      </c>
      <c r="J263" s="11">
        <f t="shared" si="159"/>
        <v>540</v>
      </c>
      <c r="K263" s="11">
        <f t="shared" si="159"/>
        <v>250</v>
      </c>
      <c r="L263" s="11">
        <f t="shared" si="159"/>
        <v>0</v>
      </c>
      <c r="M263" s="7">
        <f t="shared" si="127"/>
        <v>0</v>
      </c>
    </row>
    <row r="264" spans="1:13" ht="31.5">
      <c r="A264" s="26" t="s">
        <v>209</v>
      </c>
      <c r="B264" s="21" t="s">
        <v>202</v>
      </c>
      <c r="C264" s="21" t="s">
        <v>290</v>
      </c>
      <c r="D264" s="21" t="s">
        <v>210</v>
      </c>
      <c r="E264" s="21"/>
      <c r="F264" s="11">
        <f>F265</f>
        <v>0</v>
      </c>
      <c r="G264" s="11">
        <f t="shared" si="159"/>
        <v>0</v>
      </c>
      <c r="H264" s="11">
        <f t="shared" si="159"/>
        <v>0</v>
      </c>
      <c r="I264" s="11">
        <f t="shared" si="159"/>
        <v>540</v>
      </c>
      <c r="J264" s="11">
        <f t="shared" si="159"/>
        <v>540</v>
      </c>
      <c r="K264" s="11">
        <f t="shared" si="159"/>
        <v>250</v>
      </c>
      <c r="L264" s="11">
        <f t="shared" si="159"/>
        <v>0</v>
      </c>
      <c r="M264" s="7">
        <f t="shared" si="127"/>
        <v>0</v>
      </c>
    </row>
    <row r="265" spans="1:13" ht="15.75">
      <c r="A265" s="26" t="s">
        <v>187</v>
      </c>
      <c r="B265" s="21" t="s">
        <v>202</v>
      </c>
      <c r="C265" s="21" t="s">
        <v>290</v>
      </c>
      <c r="D265" s="21" t="s">
        <v>210</v>
      </c>
      <c r="E265" s="21" t="s">
        <v>197</v>
      </c>
      <c r="F265" s="11">
        <f>F266</f>
        <v>0</v>
      </c>
      <c r="G265" s="11">
        <f t="shared" si="159"/>
        <v>0</v>
      </c>
      <c r="H265" s="11">
        <f t="shared" si="159"/>
        <v>0</v>
      </c>
      <c r="I265" s="11">
        <f t="shared" si="159"/>
        <v>540</v>
      </c>
      <c r="J265" s="11">
        <f t="shared" si="159"/>
        <v>540</v>
      </c>
      <c r="K265" s="11">
        <f t="shared" si="159"/>
        <v>250</v>
      </c>
      <c r="L265" s="11">
        <f t="shared" si="159"/>
        <v>0</v>
      </c>
      <c r="M265" s="7">
        <f t="shared" si="127"/>
        <v>0</v>
      </c>
    </row>
    <row r="266" spans="1:13" ht="63">
      <c r="A266" s="26" t="s">
        <v>211</v>
      </c>
      <c r="B266" s="21" t="s">
        <v>202</v>
      </c>
      <c r="C266" s="21" t="s">
        <v>290</v>
      </c>
      <c r="D266" s="21" t="s">
        <v>210</v>
      </c>
      <c r="E266" s="21" t="s">
        <v>212</v>
      </c>
      <c r="F266" s="11">
        <f>'Прил.№4 ведомств.'!G207</f>
        <v>0</v>
      </c>
      <c r="G266" s="11">
        <f>'Прил.№4 ведомств.'!H207</f>
        <v>0</v>
      </c>
      <c r="H266" s="11">
        <f>'Прил.№4 ведомств.'!I207</f>
        <v>0</v>
      </c>
      <c r="I266" s="11">
        <f>'Прил.№4 ведомств.'!J207</f>
        <v>540</v>
      </c>
      <c r="J266" s="11">
        <f>'Прил.№4 ведомств.'!K207</f>
        <v>540</v>
      </c>
      <c r="K266" s="11">
        <f>'Прил.№4 ведомств.'!M207</f>
        <v>250</v>
      </c>
      <c r="L266" s="11">
        <f>'Прил.№4 ведомств.'!N207</f>
        <v>0</v>
      </c>
      <c r="M266" s="7">
        <f t="shared" si="127"/>
        <v>0</v>
      </c>
    </row>
    <row r="267" spans="1:13" ht="15.75">
      <c r="A267" s="31" t="s">
        <v>173</v>
      </c>
      <c r="B267" s="42" t="s">
        <v>202</v>
      </c>
      <c r="C267" s="42" t="s">
        <v>290</v>
      </c>
      <c r="D267" s="42" t="s">
        <v>174</v>
      </c>
      <c r="E267" s="8"/>
      <c r="F267" s="11">
        <f>F268</f>
        <v>1371.3999999999999</v>
      </c>
      <c r="G267" s="11">
        <f aca="true" t="shared" si="160" ref="G267:L267">G268</f>
        <v>1371.3999999999999</v>
      </c>
      <c r="H267" s="11">
        <f t="shared" si="160"/>
        <v>1371.3999999999999</v>
      </c>
      <c r="I267" s="11">
        <f t="shared" si="160"/>
        <v>1371.3999999999999</v>
      </c>
      <c r="J267" s="11">
        <f t="shared" si="160"/>
        <v>1371.3999999999999</v>
      </c>
      <c r="K267" s="11">
        <f t="shared" si="160"/>
        <v>901.3</v>
      </c>
      <c r="L267" s="11">
        <f t="shared" si="160"/>
        <v>224.89999999999998</v>
      </c>
      <c r="M267" s="7">
        <f t="shared" si="127"/>
        <v>24.952845889271053</v>
      </c>
    </row>
    <row r="268" spans="1:13" ht="31.5">
      <c r="A268" s="31" t="s">
        <v>237</v>
      </c>
      <c r="B268" s="42" t="s">
        <v>202</v>
      </c>
      <c r="C268" s="42" t="s">
        <v>290</v>
      </c>
      <c r="D268" s="42" t="s">
        <v>238</v>
      </c>
      <c r="E268" s="8"/>
      <c r="F268" s="11">
        <f>F272+F269</f>
        <v>1371.3999999999999</v>
      </c>
      <c r="G268" s="11">
        <f aca="true" t="shared" si="161" ref="G268:K268">G272+G269</f>
        <v>1371.3999999999999</v>
      </c>
      <c r="H268" s="11">
        <f t="shared" si="161"/>
        <v>1371.3999999999999</v>
      </c>
      <c r="I268" s="11">
        <f t="shared" si="161"/>
        <v>1371.3999999999999</v>
      </c>
      <c r="J268" s="11">
        <f t="shared" si="161"/>
        <v>1371.3999999999999</v>
      </c>
      <c r="K268" s="11">
        <f t="shared" si="161"/>
        <v>901.3</v>
      </c>
      <c r="L268" s="11">
        <f aca="true" t="shared" si="162" ref="L268">L272+L269</f>
        <v>224.89999999999998</v>
      </c>
      <c r="M268" s="7">
        <f t="shared" si="127"/>
        <v>24.952845889271053</v>
      </c>
    </row>
    <row r="269" spans="1:13" ht="31.5" hidden="1">
      <c r="A269" s="26" t="s">
        <v>291</v>
      </c>
      <c r="B269" s="21" t="s">
        <v>202</v>
      </c>
      <c r="C269" s="21" t="s">
        <v>290</v>
      </c>
      <c r="D269" s="21" t="s">
        <v>292</v>
      </c>
      <c r="E269" s="25"/>
      <c r="F269" s="11">
        <f>F270</f>
        <v>90</v>
      </c>
      <c r="G269" s="11">
        <f aca="true" t="shared" si="163" ref="G269:L270">G270</f>
        <v>90</v>
      </c>
      <c r="H269" s="11">
        <f t="shared" si="163"/>
        <v>90</v>
      </c>
      <c r="I269" s="11">
        <f t="shared" si="163"/>
        <v>90</v>
      </c>
      <c r="J269" s="11">
        <f t="shared" si="163"/>
        <v>90</v>
      </c>
      <c r="K269" s="11">
        <f t="shared" si="163"/>
        <v>0</v>
      </c>
      <c r="L269" s="11">
        <f t="shared" si="163"/>
        <v>0</v>
      </c>
      <c r="M269" s="7" t="e">
        <f aca="true" t="shared" si="164" ref="M269:M332">L269/K269*100</f>
        <v>#DIV/0!</v>
      </c>
    </row>
    <row r="270" spans="1:13" ht="15.75" hidden="1">
      <c r="A270" s="26" t="s">
        <v>187</v>
      </c>
      <c r="B270" s="21" t="s">
        <v>202</v>
      </c>
      <c r="C270" s="21" t="s">
        <v>290</v>
      </c>
      <c r="D270" s="21" t="s">
        <v>292</v>
      </c>
      <c r="E270" s="21" t="s">
        <v>197</v>
      </c>
      <c r="F270" s="11">
        <f>F271</f>
        <v>90</v>
      </c>
      <c r="G270" s="11">
        <f t="shared" si="163"/>
        <v>90</v>
      </c>
      <c r="H270" s="11">
        <f t="shared" si="163"/>
        <v>90</v>
      </c>
      <c r="I270" s="11">
        <f t="shared" si="163"/>
        <v>90</v>
      </c>
      <c r="J270" s="11">
        <f t="shared" si="163"/>
        <v>90</v>
      </c>
      <c r="K270" s="11">
        <f t="shared" si="163"/>
        <v>0</v>
      </c>
      <c r="L270" s="11">
        <f t="shared" si="163"/>
        <v>0</v>
      </c>
      <c r="M270" s="7" t="e">
        <f t="shared" si="164"/>
        <v>#DIV/0!</v>
      </c>
    </row>
    <row r="271" spans="1:13" ht="47.25" hidden="1">
      <c r="A271" s="26" t="s">
        <v>236</v>
      </c>
      <c r="B271" s="21" t="s">
        <v>202</v>
      </c>
      <c r="C271" s="21" t="s">
        <v>290</v>
      </c>
      <c r="D271" s="21" t="s">
        <v>292</v>
      </c>
      <c r="E271" s="21" t="s">
        <v>212</v>
      </c>
      <c r="F271" s="11">
        <f>'Прил.№4 ведомств.'!G212</f>
        <v>90</v>
      </c>
      <c r="G271" s="11">
        <f>'Прил.№4 ведомств.'!I212</f>
        <v>90</v>
      </c>
      <c r="H271" s="11">
        <f>'Прил.№4 ведомств.'!J212</f>
        <v>90</v>
      </c>
      <c r="I271" s="11">
        <f>'Прил.№4 ведомств.'!K212</f>
        <v>90</v>
      </c>
      <c r="J271" s="11">
        <f>'Прил.№4 ведомств.'!L212</f>
        <v>90</v>
      </c>
      <c r="K271" s="11">
        <f>'Прил.№4 ведомств.'!M212</f>
        <v>0</v>
      </c>
      <c r="L271" s="11">
        <f>'Прил.№4 ведомств.'!N212</f>
        <v>0</v>
      </c>
      <c r="M271" s="7" t="e">
        <f t="shared" si="164"/>
        <v>#DIV/0!</v>
      </c>
    </row>
    <row r="272" spans="1:13" ht="63">
      <c r="A272" s="47" t="s">
        <v>293</v>
      </c>
      <c r="B272" s="42" t="s">
        <v>202</v>
      </c>
      <c r="C272" s="42" t="s">
        <v>290</v>
      </c>
      <c r="D272" s="42" t="s">
        <v>294</v>
      </c>
      <c r="E272" s="42"/>
      <c r="F272" s="7">
        <f>F273+F275</f>
        <v>1281.3999999999999</v>
      </c>
      <c r="G272" s="7">
        <f aca="true" t="shared" si="165" ref="G272:K272">G273+G275</f>
        <v>1281.3999999999999</v>
      </c>
      <c r="H272" s="7">
        <f t="shared" si="165"/>
        <v>1281.3999999999999</v>
      </c>
      <c r="I272" s="7">
        <f t="shared" si="165"/>
        <v>1281.3999999999999</v>
      </c>
      <c r="J272" s="7">
        <f t="shared" si="165"/>
        <v>1281.3999999999999</v>
      </c>
      <c r="K272" s="7">
        <f t="shared" si="165"/>
        <v>901.3</v>
      </c>
      <c r="L272" s="7">
        <f aca="true" t="shared" si="166" ref="L272">L273+L275</f>
        <v>224.89999999999998</v>
      </c>
      <c r="M272" s="7">
        <f t="shared" si="164"/>
        <v>24.952845889271053</v>
      </c>
    </row>
    <row r="273" spans="1:13" ht="78.75">
      <c r="A273" s="31" t="s">
        <v>179</v>
      </c>
      <c r="B273" s="42" t="s">
        <v>202</v>
      </c>
      <c r="C273" s="42" t="s">
        <v>290</v>
      </c>
      <c r="D273" s="42" t="s">
        <v>294</v>
      </c>
      <c r="E273" s="42" t="s">
        <v>180</v>
      </c>
      <c r="F273" s="7">
        <f>F274</f>
        <v>1116.3999999999999</v>
      </c>
      <c r="G273" s="7">
        <f aca="true" t="shared" si="167" ref="G273:L273">G274</f>
        <v>1116.3999999999999</v>
      </c>
      <c r="H273" s="7">
        <f t="shared" si="167"/>
        <v>1116.3999999999999</v>
      </c>
      <c r="I273" s="7">
        <f t="shared" si="167"/>
        <v>1116.3999999999999</v>
      </c>
      <c r="J273" s="7">
        <f t="shared" si="167"/>
        <v>1116.3999999999999</v>
      </c>
      <c r="K273" s="7">
        <f t="shared" si="167"/>
        <v>779.6999999999999</v>
      </c>
      <c r="L273" s="7">
        <f t="shared" si="167"/>
        <v>190.6</v>
      </c>
      <c r="M273" s="7">
        <f t="shared" si="164"/>
        <v>24.44529947415673</v>
      </c>
    </row>
    <row r="274" spans="1:13" ht="31.5">
      <c r="A274" s="31" t="s">
        <v>181</v>
      </c>
      <c r="B274" s="42" t="s">
        <v>202</v>
      </c>
      <c r="C274" s="42" t="s">
        <v>290</v>
      </c>
      <c r="D274" s="42" t="s">
        <v>294</v>
      </c>
      <c r="E274" s="42" t="s">
        <v>182</v>
      </c>
      <c r="F274" s="7">
        <f>'Прил.№4 ведомств.'!G215</f>
        <v>1116.3999999999999</v>
      </c>
      <c r="G274" s="7">
        <f>'Прил.№4 ведомств.'!I215</f>
        <v>1116.3999999999999</v>
      </c>
      <c r="H274" s="7">
        <f>'Прил.№4 ведомств.'!J215</f>
        <v>1116.3999999999999</v>
      </c>
      <c r="I274" s="7">
        <f>'Прил.№4 ведомств.'!K215</f>
        <v>1116.3999999999999</v>
      </c>
      <c r="J274" s="7">
        <f>'Прил.№4 ведомств.'!L215</f>
        <v>1116.3999999999999</v>
      </c>
      <c r="K274" s="7">
        <f>'Прил.№4 ведомств.'!M215</f>
        <v>779.6999999999999</v>
      </c>
      <c r="L274" s="7">
        <f>'Прил.№4 ведомств.'!N215</f>
        <v>190.6</v>
      </c>
      <c r="M274" s="7">
        <f t="shared" si="164"/>
        <v>24.44529947415673</v>
      </c>
    </row>
    <row r="275" spans="1:13" ht="31.5">
      <c r="A275" s="31" t="s">
        <v>183</v>
      </c>
      <c r="B275" s="42" t="s">
        <v>202</v>
      </c>
      <c r="C275" s="42" t="s">
        <v>290</v>
      </c>
      <c r="D275" s="42" t="s">
        <v>294</v>
      </c>
      <c r="E275" s="42" t="s">
        <v>184</v>
      </c>
      <c r="F275" s="7">
        <f>F276</f>
        <v>165</v>
      </c>
      <c r="G275" s="7">
        <f aca="true" t="shared" si="168" ref="G275:L275">G276</f>
        <v>165</v>
      </c>
      <c r="H275" s="7">
        <f t="shared" si="168"/>
        <v>165</v>
      </c>
      <c r="I275" s="7">
        <f t="shared" si="168"/>
        <v>165</v>
      </c>
      <c r="J275" s="7">
        <f t="shared" si="168"/>
        <v>165</v>
      </c>
      <c r="K275" s="7">
        <f t="shared" si="168"/>
        <v>121.60000000000002</v>
      </c>
      <c r="L275" s="7">
        <f t="shared" si="168"/>
        <v>34.3</v>
      </c>
      <c r="M275" s="7">
        <f t="shared" si="164"/>
        <v>28.207236842105253</v>
      </c>
    </row>
    <row r="276" spans="1:13" ht="47.25">
      <c r="A276" s="31" t="s">
        <v>185</v>
      </c>
      <c r="B276" s="42" t="s">
        <v>202</v>
      </c>
      <c r="C276" s="42" t="s">
        <v>290</v>
      </c>
      <c r="D276" s="42" t="s">
        <v>294</v>
      </c>
      <c r="E276" s="42" t="s">
        <v>186</v>
      </c>
      <c r="F276" s="7">
        <f>'Прил.№4 ведомств.'!G217</f>
        <v>165</v>
      </c>
      <c r="G276" s="7">
        <f>'Прил.№4 ведомств.'!I217</f>
        <v>165</v>
      </c>
      <c r="H276" s="7">
        <f>'Прил.№4 ведомств.'!J217</f>
        <v>165</v>
      </c>
      <c r="I276" s="7">
        <f>'Прил.№4 ведомств.'!K217</f>
        <v>165</v>
      </c>
      <c r="J276" s="7">
        <f>'Прил.№4 ведомств.'!L217</f>
        <v>165</v>
      </c>
      <c r="K276" s="7">
        <f>'Прил.№4 ведомств.'!M217</f>
        <v>121.60000000000002</v>
      </c>
      <c r="L276" s="7">
        <f>'Прил.№4 ведомств.'!N217</f>
        <v>34.3</v>
      </c>
      <c r="M276" s="7">
        <f t="shared" si="164"/>
        <v>28.207236842105253</v>
      </c>
    </row>
    <row r="277" spans="1:13" ht="15.75">
      <c r="A277" s="43" t="s">
        <v>443</v>
      </c>
      <c r="B277" s="8" t="s">
        <v>286</v>
      </c>
      <c r="C277" s="8"/>
      <c r="D277" s="8"/>
      <c r="E277" s="8"/>
      <c r="F277" s="4">
        <f aca="true" t="shared" si="169" ref="F277:K277">F278++F297+F358+F418</f>
        <v>109165.59999999999</v>
      </c>
      <c r="G277" s="4">
        <f t="shared" si="169"/>
        <v>90925.80588235294</v>
      </c>
      <c r="H277" s="4">
        <f t="shared" si="169"/>
        <v>65675</v>
      </c>
      <c r="I277" s="4">
        <f t="shared" si="169"/>
        <v>65971.9</v>
      </c>
      <c r="J277" s="4">
        <f t="shared" si="169"/>
        <v>67991.9</v>
      </c>
      <c r="K277" s="4">
        <f t="shared" si="169"/>
        <v>115443.78</v>
      </c>
      <c r="L277" s="4">
        <f aca="true" t="shared" si="170" ref="L277">L278++L297+L358+L418</f>
        <v>36018.5</v>
      </c>
      <c r="M277" s="4">
        <f t="shared" si="164"/>
        <v>31.2000352032825</v>
      </c>
    </row>
    <row r="278" spans="1:17" ht="15.75">
      <c r="A278" s="43" t="s">
        <v>444</v>
      </c>
      <c r="B278" s="8" t="s">
        <v>286</v>
      </c>
      <c r="C278" s="8" t="s">
        <v>170</v>
      </c>
      <c r="D278" s="8"/>
      <c r="E278" s="8"/>
      <c r="F278" s="4">
        <f>F279</f>
        <v>8865.2</v>
      </c>
      <c r="G278" s="4">
        <f aca="true" t="shared" si="171" ref="G278:L279">G279</f>
        <v>8757.6</v>
      </c>
      <c r="H278" s="4">
        <f t="shared" si="171"/>
        <v>8964.4</v>
      </c>
      <c r="I278" s="4">
        <f t="shared" si="171"/>
        <v>8964.4</v>
      </c>
      <c r="J278" s="4">
        <f t="shared" si="171"/>
        <v>8964.4</v>
      </c>
      <c r="K278" s="4">
        <f t="shared" si="171"/>
        <v>7821.7</v>
      </c>
      <c r="L278" s="4">
        <f t="shared" si="171"/>
        <v>3263.2</v>
      </c>
      <c r="M278" s="4">
        <f t="shared" si="164"/>
        <v>41.71983072733549</v>
      </c>
      <c r="N278" s="23"/>
      <c r="Q278" s="23"/>
    </row>
    <row r="279" spans="1:13" ht="15.75">
      <c r="A279" s="31" t="s">
        <v>173</v>
      </c>
      <c r="B279" s="42" t="s">
        <v>286</v>
      </c>
      <c r="C279" s="42" t="s">
        <v>170</v>
      </c>
      <c r="D279" s="42" t="s">
        <v>174</v>
      </c>
      <c r="E279" s="42"/>
      <c r="F279" s="7">
        <f>F280</f>
        <v>8865.2</v>
      </c>
      <c r="G279" s="7">
        <f t="shared" si="171"/>
        <v>8757.6</v>
      </c>
      <c r="H279" s="7">
        <f t="shared" si="171"/>
        <v>8964.4</v>
      </c>
      <c r="I279" s="7">
        <f t="shared" si="171"/>
        <v>8964.4</v>
      </c>
      <c r="J279" s="7">
        <f t="shared" si="171"/>
        <v>8964.4</v>
      </c>
      <c r="K279" s="7">
        <f t="shared" si="171"/>
        <v>7821.7</v>
      </c>
      <c r="L279" s="7">
        <f t="shared" si="171"/>
        <v>3263.2</v>
      </c>
      <c r="M279" s="7">
        <f t="shared" si="164"/>
        <v>41.71983072733549</v>
      </c>
    </row>
    <row r="280" spans="1:13" ht="15.75">
      <c r="A280" s="31" t="s">
        <v>193</v>
      </c>
      <c r="B280" s="42" t="s">
        <v>286</v>
      </c>
      <c r="C280" s="42" t="s">
        <v>170</v>
      </c>
      <c r="D280" s="42" t="s">
        <v>194</v>
      </c>
      <c r="E280" s="8"/>
      <c r="F280" s="7">
        <f>F292+F286+F281</f>
        <v>8865.2</v>
      </c>
      <c r="G280" s="7">
        <f aca="true" t="shared" si="172" ref="G280:J280">G292+G286+G281</f>
        <v>8757.6</v>
      </c>
      <c r="H280" s="7">
        <f t="shared" si="172"/>
        <v>8964.4</v>
      </c>
      <c r="I280" s="7">
        <f t="shared" si="172"/>
        <v>8964.4</v>
      </c>
      <c r="J280" s="7">
        <f t="shared" si="172"/>
        <v>8964.4</v>
      </c>
      <c r="K280" s="7">
        <f>K286+K289+K292+K281</f>
        <v>7821.7</v>
      </c>
      <c r="L280" s="7">
        <f aca="true" t="shared" si="173" ref="L280">L286+L289+L292+L281</f>
        <v>3263.2</v>
      </c>
      <c r="M280" s="7">
        <f t="shared" si="164"/>
        <v>41.71983072733549</v>
      </c>
    </row>
    <row r="281" spans="1:13" ht="15.75">
      <c r="A281" s="26" t="s">
        <v>568</v>
      </c>
      <c r="B281" s="42" t="s">
        <v>286</v>
      </c>
      <c r="C281" s="42" t="s">
        <v>170</v>
      </c>
      <c r="D281" s="42" t="s">
        <v>569</v>
      </c>
      <c r="E281" s="8"/>
      <c r="F281" s="7">
        <f>F282+F284</f>
        <v>3531.3</v>
      </c>
      <c r="G281" s="7">
        <f aca="true" t="shared" si="174" ref="G281:K281">G282+G284</f>
        <v>3531.3</v>
      </c>
      <c r="H281" s="7">
        <f t="shared" si="174"/>
        <v>4875.4</v>
      </c>
      <c r="I281" s="7">
        <f t="shared" si="174"/>
        <v>4875.4</v>
      </c>
      <c r="J281" s="7">
        <f t="shared" si="174"/>
        <v>4875.4</v>
      </c>
      <c r="K281" s="7">
        <f t="shared" si="174"/>
        <v>2040.8999999999999</v>
      </c>
      <c r="L281" s="7">
        <f aca="true" t="shared" si="175" ref="L281">L282+L284</f>
        <v>515.3</v>
      </c>
      <c r="M281" s="7">
        <f t="shared" si="164"/>
        <v>25.248664804743004</v>
      </c>
    </row>
    <row r="282" spans="1:13" ht="31.5" hidden="1">
      <c r="A282" s="31" t="s">
        <v>183</v>
      </c>
      <c r="B282" s="42" t="s">
        <v>286</v>
      </c>
      <c r="C282" s="42" t="s">
        <v>170</v>
      </c>
      <c r="D282" s="42" t="s">
        <v>569</v>
      </c>
      <c r="E282" s="42" t="s">
        <v>184</v>
      </c>
      <c r="F282" s="7">
        <f>F283</f>
        <v>1131.3</v>
      </c>
      <c r="G282" s="7">
        <f aca="true" t="shared" si="176" ref="G282:L282">G283</f>
        <v>1131.3</v>
      </c>
      <c r="H282" s="7">
        <f t="shared" si="176"/>
        <v>1131.3</v>
      </c>
      <c r="I282" s="7">
        <f t="shared" si="176"/>
        <v>1131.3</v>
      </c>
      <c r="J282" s="7">
        <f t="shared" si="176"/>
        <v>1131.3</v>
      </c>
      <c r="K282" s="7">
        <f t="shared" si="176"/>
        <v>0</v>
      </c>
      <c r="L282" s="7">
        <f t="shared" si="176"/>
        <v>0</v>
      </c>
      <c r="M282" s="7" t="e">
        <f t="shared" si="164"/>
        <v>#DIV/0!</v>
      </c>
    </row>
    <row r="283" spans="1:13" ht="47.25" hidden="1">
      <c r="A283" s="31" t="s">
        <v>185</v>
      </c>
      <c r="B283" s="42" t="s">
        <v>286</v>
      </c>
      <c r="C283" s="42" t="s">
        <v>170</v>
      </c>
      <c r="D283" s="42" t="s">
        <v>569</v>
      </c>
      <c r="E283" s="42" t="s">
        <v>186</v>
      </c>
      <c r="F283" s="7">
        <f>'Прил.№4 ведомств.'!G916</f>
        <v>1131.3</v>
      </c>
      <c r="G283" s="7">
        <f>'Прил.№4 ведомств.'!I916</f>
        <v>1131.3</v>
      </c>
      <c r="H283" s="7">
        <f>'Прил.№4 ведомств.'!J916</f>
        <v>1131.3</v>
      </c>
      <c r="I283" s="7">
        <f>'Прил.№4 ведомств.'!K916</f>
        <v>1131.3</v>
      </c>
      <c r="J283" s="7">
        <f>'Прил.№4 ведомств.'!L916</f>
        <v>1131.3</v>
      </c>
      <c r="K283" s="7"/>
      <c r="L283" s="7"/>
      <c r="M283" s="7" t="e">
        <f t="shared" si="164"/>
        <v>#DIV/0!</v>
      </c>
    </row>
    <row r="284" spans="1:13" ht="15.75">
      <c r="A284" s="31" t="s">
        <v>187</v>
      </c>
      <c r="B284" s="42" t="s">
        <v>286</v>
      </c>
      <c r="C284" s="42" t="s">
        <v>170</v>
      </c>
      <c r="D284" s="42" t="s">
        <v>569</v>
      </c>
      <c r="E284" s="42" t="s">
        <v>197</v>
      </c>
      <c r="F284" s="7">
        <f>F285</f>
        <v>2400</v>
      </c>
      <c r="G284" s="7">
        <f aca="true" t="shared" si="177" ref="G284:L284">G285</f>
        <v>2400</v>
      </c>
      <c r="H284" s="7">
        <f t="shared" si="177"/>
        <v>3744.1</v>
      </c>
      <c r="I284" s="7">
        <f t="shared" si="177"/>
        <v>3744.1</v>
      </c>
      <c r="J284" s="7">
        <f t="shared" si="177"/>
        <v>3744.1</v>
      </c>
      <c r="K284" s="7">
        <f t="shared" si="177"/>
        <v>2040.8999999999999</v>
      </c>
      <c r="L284" s="7">
        <f t="shared" si="177"/>
        <v>515.3</v>
      </c>
      <c r="M284" s="7">
        <f t="shared" si="164"/>
        <v>25.248664804743004</v>
      </c>
    </row>
    <row r="285" spans="1:13" ht="47.25">
      <c r="A285" s="31" t="s">
        <v>236</v>
      </c>
      <c r="B285" s="42" t="s">
        <v>286</v>
      </c>
      <c r="C285" s="42" t="s">
        <v>170</v>
      </c>
      <c r="D285" s="42" t="s">
        <v>569</v>
      </c>
      <c r="E285" s="42" t="s">
        <v>212</v>
      </c>
      <c r="F285" s="7">
        <f>'Прил.№4 ведомств.'!G910</f>
        <v>2400</v>
      </c>
      <c r="G285" s="7">
        <f>'Прил.№4 ведомств.'!I910</f>
        <v>2400</v>
      </c>
      <c r="H285" s="7">
        <f>'Прил.№4 ведомств.'!J910</f>
        <v>3744.1</v>
      </c>
      <c r="I285" s="7">
        <f>'Прил.№4 ведомств.'!K910</f>
        <v>3744.1</v>
      </c>
      <c r="J285" s="7">
        <f>'Прил.№4 ведомств.'!L910</f>
        <v>3744.1</v>
      </c>
      <c r="K285" s="7">
        <f>'Прил.№4 ведомств.'!M910</f>
        <v>2040.8999999999999</v>
      </c>
      <c r="L285" s="7">
        <f>'Прил.№4 ведомств.'!N910</f>
        <v>515.3</v>
      </c>
      <c r="M285" s="7">
        <f t="shared" si="164"/>
        <v>25.248664804743004</v>
      </c>
    </row>
    <row r="286" spans="1:13" ht="31.5">
      <c r="A286" s="31" t="s">
        <v>451</v>
      </c>
      <c r="B286" s="42" t="s">
        <v>286</v>
      </c>
      <c r="C286" s="42" t="s">
        <v>170</v>
      </c>
      <c r="D286" s="42" t="s">
        <v>452</v>
      </c>
      <c r="E286" s="8"/>
      <c r="F286" s="7">
        <f>F287</f>
        <v>4494.900000000001</v>
      </c>
      <c r="G286" s="7">
        <f aca="true" t="shared" si="178" ref="G286:L287">G287</f>
        <v>4494.900000000001</v>
      </c>
      <c r="H286" s="7">
        <f t="shared" si="178"/>
        <v>4089</v>
      </c>
      <c r="I286" s="7">
        <f t="shared" si="178"/>
        <v>4089</v>
      </c>
      <c r="J286" s="7">
        <f t="shared" si="178"/>
        <v>4089</v>
      </c>
      <c r="K286" s="7">
        <f t="shared" si="178"/>
        <v>4280.8</v>
      </c>
      <c r="L286" s="7">
        <f t="shared" si="178"/>
        <v>2153.7999999999997</v>
      </c>
      <c r="M286" s="7">
        <f t="shared" si="164"/>
        <v>50.31302560269108</v>
      </c>
    </row>
    <row r="287" spans="1:13" ht="31.5">
      <c r="A287" s="31" t="s">
        <v>183</v>
      </c>
      <c r="B287" s="42" t="s">
        <v>286</v>
      </c>
      <c r="C287" s="42" t="s">
        <v>170</v>
      </c>
      <c r="D287" s="42" t="s">
        <v>452</v>
      </c>
      <c r="E287" s="42" t="s">
        <v>184</v>
      </c>
      <c r="F287" s="7">
        <f>F288</f>
        <v>4494.900000000001</v>
      </c>
      <c r="G287" s="7">
        <f t="shared" si="178"/>
        <v>4494.900000000001</v>
      </c>
      <c r="H287" s="7">
        <f t="shared" si="178"/>
        <v>4089</v>
      </c>
      <c r="I287" s="7">
        <f t="shared" si="178"/>
        <v>4089</v>
      </c>
      <c r="J287" s="7">
        <f t="shared" si="178"/>
        <v>4089</v>
      </c>
      <c r="K287" s="7">
        <f t="shared" si="178"/>
        <v>4280.8</v>
      </c>
      <c r="L287" s="7">
        <f t="shared" si="178"/>
        <v>2153.7999999999997</v>
      </c>
      <c r="M287" s="7">
        <f t="shared" si="164"/>
        <v>50.31302560269108</v>
      </c>
    </row>
    <row r="288" spans="1:13" ht="47.25">
      <c r="A288" s="31" t="s">
        <v>185</v>
      </c>
      <c r="B288" s="42" t="s">
        <v>286</v>
      </c>
      <c r="C288" s="42" t="s">
        <v>170</v>
      </c>
      <c r="D288" s="42" t="s">
        <v>452</v>
      </c>
      <c r="E288" s="42" t="s">
        <v>186</v>
      </c>
      <c r="F288" s="7">
        <f>'Прил.№4 ведомств.'!G913+'Прил.№4 ведомств.'!G565</f>
        <v>4494.900000000001</v>
      </c>
      <c r="G288" s="7">
        <f>'Прил.№4 ведомств.'!I913+'Прил.№4 ведомств.'!I565</f>
        <v>4494.900000000001</v>
      </c>
      <c r="H288" s="7">
        <f>'Прил.№4 ведомств.'!J913+'Прил.№4 ведомств.'!J565</f>
        <v>4089</v>
      </c>
      <c r="I288" s="7">
        <f>'Прил.№4 ведомств.'!K913+'Прил.№4 ведомств.'!K565</f>
        <v>4089</v>
      </c>
      <c r="J288" s="7">
        <f>'Прил.№4 ведомств.'!L913+'Прил.№4 ведомств.'!L565</f>
        <v>4089</v>
      </c>
      <c r="K288" s="7">
        <f>'Прил.№4 ведомств.'!M913+'Прил.№4 ведомств.'!M565</f>
        <v>4280.8</v>
      </c>
      <c r="L288" s="7">
        <f>'Прил.№4 ведомств.'!N913+'Прил.№4 ведомств.'!N565</f>
        <v>2153.7999999999997</v>
      </c>
      <c r="M288" s="7">
        <f t="shared" si="164"/>
        <v>50.31302560269108</v>
      </c>
    </row>
    <row r="289" spans="1:13" ht="15.75">
      <c r="A289" s="26" t="s">
        <v>592</v>
      </c>
      <c r="B289" s="42" t="s">
        <v>286</v>
      </c>
      <c r="C289" s="42" t="s">
        <v>170</v>
      </c>
      <c r="D289" s="42" t="s">
        <v>593</v>
      </c>
      <c r="E289" s="42"/>
      <c r="F289" s="7"/>
      <c r="G289" s="7"/>
      <c r="H289" s="7"/>
      <c r="I289" s="7"/>
      <c r="J289" s="7"/>
      <c r="K289" s="7">
        <f>K290</f>
        <v>1500</v>
      </c>
      <c r="L289" s="7">
        <f aca="true" t="shared" si="179" ref="L289:L290">L290</f>
        <v>594.1</v>
      </c>
      <c r="M289" s="7">
        <f t="shared" si="164"/>
        <v>39.60666666666667</v>
      </c>
    </row>
    <row r="290" spans="1:13" ht="31.5">
      <c r="A290" s="26" t="s">
        <v>183</v>
      </c>
      <c r="B290" s="42" t="s">
        <v>286</v>
      </c>
      <c r="C290" s="42" t="s">
        <v>170</v>
      </c>
      <c r="D290" s="42" t="s">
        <v>593</v>
      </c>
      <c r="E290" s="42" t="s">
        <v>184</v>
      </c>
      <c r="F290" s="7"/>
      <c r="G290" s="7"/>
      <c r="H290" s="7"/>
      <c r="I290" s="7"/>
      <c r="J290" s="7"/>
      <c r="K290" s="7">
        <f>K291</f>
        <v>1500</v>
      </c>
      <c r="L290" s="7">
        <f t="shared" si="179"/>
        <v>594.1</v>
      </c>
      <c r="M290" s="7">
        <f t="shared" si="164"/>
        <v>39.60666666666667</v>
      </c>
    </row>
    <row r="291" spans="1:13" ht="47.25">
      <c r="A291" s="26" t="s">
        <v>185</v>
      </c>
      <c r="B291" s="42" t="s">
        <v>286</v>
      </c>
      <c r="C291" s="42" t="s">
        <v>170</v>
      </c>
      <c r="D291" s="42" t="s">
        <v>593</v>
      </c>
      <c r="E291" s="42" t="s">
        <v>186</v>
      </c>
      <c r="F291" s="7"/>
      <c r="G291" s="7"/>
      <c r="H291" s="7"/>
      <c r="I291" s="7"/>
      <c r="J291" s="7"/>
      <c r="K291" s="7">
        <f>'Прил.№4 ведомств.'!M916</f>
        <v>1500</v>
      </c>
      <c r="L291" s="7">
        <f>'Прил.№4 ведомств.'!N916</f>
        <v>594.1</v>
      </c>
      <c r="M291" s="7">
        <f t="shared" si="164"/>
        <v>39.60666666666667</v>
      </c>
    </row>
    <row r="292" spans="1:13" ht="15.75" hidden="1">
      <c r="A292" s="31" t="s">
        <v>449</v>
      </c>
      <c r="B292" s="42" t="s">
        <v>286</v>
      </c>
      <c r="C292" s="42" t="s">
        <v>170</v>
      </c>
      <c r="D292" s="42" t="s">
        <v>450</v>
      </c>
      <c r="E292" s="8"/>
      <c r="F292" s="7">
        <f>F295+F293</f>
        <v>839</v>
      </c>
      <c r="G292" s="7">
        <f aca="true" t="shared" si="180" ref="G292:K292">G295+G293</f>
        <v>731.4</v>
      </c>
      <c r="H292" s="7">
        <f t="shared" si="180"/>
        <v>0</v>
      </c>
      <c r="I292" s="7">
        <f t="shared" si="180"/>
        <v>0</v>
      </c>
      <c r="J292" s="7">
        <f t="shared" si="180"/>
        <v>0</v>
      </c>
      <c r="K292" s="7">
        <f t="shared" si="180"/>
        <v>0</v>
      </c>
      <c r="L292" s="7">
        <f aca="true" t="shared" si="181" ref="L292">L295+L293</f>
        <v>0</v>
      </c>
      <c r="M292" s="4" t="e">
        <f t="shared" si="164"/>
        <v>#DIV/0!</v>
      </c>
    </row>
    <row r="293" spans="1:13" ht="31.5" hidden="1">
      <c r="A293" s="31" t="s">
        <v>183</v>
      </c>
      <c r="B293" s="42" t="s">
        <v>286</v>
      </c>
      <c r="C293" s="42" t="s">
        <v>170</v>
      </c>
      <c r="D293" s="42" t="s">
        <v>450</v>
      </c>
      <c r="E293" s="42" t="s">
        <v>184</v>
      </c>
      <c r="F293" s="7">
        <f>F294</f>
        <v>839</v>
      </c>
      <c r="G293" s="7">
        <f aca="true" t="shared" si="182" ref="G293:L293">G294</f>
        <v>731.4</v>
      </c>
      <c r="H293" s="7">
        <f t="shared" si="182"/>
        <v>0</v>
      </c>
      <c r="I293" s="7">
        <f t="shared" si="182"/>
        <v>0</v>
      </c>
      <c r="J293" s="7">
        <f t="shared" si="182"/>
        <v>0</v>
      </c>
      <c r="K293" s="7">
        <f t="shared" si="182"/>
        <v>0</v>
      </c>
      <c r="L293" s="7">
        <f t="shared" si="182"/>
        <v>0</v>
      </c>
      <c r="M293" s="4" t="e">
        <f t="shared" si="164"/>
        <v>#DIV/0!</v>
      </c>
    </row>
    <row r="294" spans="1:13" ht="47.25" hidden="1">
      <c r="A294" s="31" t="s">
        <v>185</v>
      </c>
      <c r="B294" s="42" t="s">
        <v>286</v>
      </c>
      <c r="C294" s="42" t="s">
        <v>170</v>
      </c>
      <c r="D294" s="42" t="s">
        <v>450</v>
      </c>
      <c r="E294" s="42" t="s">
        <v>186</v>
      </c>
      <c r="F294" s="7">
        <f>'Прил.№4 ведомств.'!G568</f>
        <v>839</v>
      </c>
      <c r="G294" s="7">
        <f>'Прил.№4 ведомств.'!I568</f>
        <v>731.4</v>
      </c>
      <c r="H294" s="7">
        <f>'Прил.№4 ведомств.'!J568</f>
        <v>0</v>
      </c>
      <c r="I294" s="7">
        <f>'Прил.№4 ведомств.'!K568</f>
        <v>0</v>
      </c>
      <c r="J294" s="7">
        <f>'Прил.№4 ведомств.'!L568</f>
        <v>0</v>
      </c>
      <c r="K294" s="7">
        <f>'Прил.№4 ведомств.'!M568</f>
        <v>0</v>
      </c>
      <c r="L294" s="7">
        <f>'Прил.№4 ведомств.'!N568</f>
        <v>0</v>
      </c>
      <c r="M294" s="4" t="e">
        <f t="shared" si="164"/>
        <v>#DIV/0!</v>
      </c>
    </row>
    <row r="295" spans="1:13" ht="15.75" customHeight="1" hidden="1">
      <c r="A295" s="31" t="s">
        <v>187</v>
      </c>
      <c r="B295" s="42" t="s">
        <v>286</v>
      </c>
      <c r="C295" s="42" t="s">
        <v>170</v>
      </c>
      <c r="D295" s="42" t="s">
        <v>450</v>
      </c>
      <c r="E295" s="42" t="s">
        <v>197</v>
      </c>
      <c r="F295" s="7">
        <f>F296</f>
        <v>0</v>
      </c>
      <c r="G295" s="7">
        <f aca="true" t="shared" si="183" ref="G295:L295">G296</f>
        <v>0</v>
      </c>
      <c r="H295" s="7">
        <f t="shared" si="183"/>
        <v>0</v>
      </c>
      <c r="I295" s="7">
        <f t="shared" si="183"/>
        <v>0</v>
      </c>
      <c r="J295" s="7">
        <f t="shared" si="183"/>
        <v>0</v>
      </c>
      <c r="K295" s="7">
        <f t="shared" si="183"/>
        <v>0</v>
      </c>
      <c r="L295" s="7">
        <f t="shared" si="183"/>
        <v>0</v>
      </c>
      <c r="M295" s="4" t="e">
        <f t="shared" si="164"/>
        <v>#DIV/0!</v>
      </c>
    </row>
    <row r="296" spans="1:13" ht="47.25" customHeight="1" hidden="1">
      <c r="A296" s="31" t="s">
        <v>236</v>
      </c>
      <c r="B296" s="42" t="s">
        <v>286</v>
      </c>
      <c r="C296" s="42" t="s">
        <v>170</v>
      </c>
      <c r="D296" s="42" t="s">
        <v>450</v>
      </c>
      <c r="E296" s="42" t="s">
        <v>212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4" t="e">
        <f t="shared" si="164"/>
        <v>#DIV/0!</v>
      </c>
    </row>
    <row r="297" spans="1:13" ht="15.75">
      <c r="A297" s="43" t="s">
        <v>570</v>
      </c>
      <c r="B297" s="8" t="s">
        <v>286</v>
      </c>
      <c r="C297" s="8" t="s">
        <v>265</v>
      </c>
      <c r="D297" s="8"/>
      <c r="E297" s="8"/>
      <c r="F297" s="4">
        <f>F327+F298</f>
        <v>53711.1</v>
      </c>
      <c r="G297" s="4">
        <f aca="true" t="shared" si="184" ref="G297:K297">G327+G298</f>
        <v>44351.4</v>
      </c>
      <c r="H297" s="4">
        <f t="shared" si="184"/>
        <v>12383.3</v>
      </c>
      <c r="I297" s="4">
        <f t="shared" si="184"/>
        <v>12383.3</v>
      </c>
      <c r="J297" s="4">
        <f t="shared" si="184"/>
        <v>12383.3</v>
      </c>
      <c r="K297" s="4">
        <f t="shared" si="184"/>
        <v>61109.799999999996</v>
      </c>
      <c r="L297" s="4">
        <f aca="true" t="shared" si="185" ref="L297">L327+L298</f>
        <v>18912.399999999998</v>
      </c>
      <c r="M297" s="4">
        <f t="shared" si="164"/>
        <v>30.94822761651977</v>
      </c>
    </row>
    <row r="298" spans="1:13" ht="63">
      <c r="A298" s="26" t="s">
        <v>655</v>
      </c>
      <c r="B298" s="42" t="s">
        <v>286</v>
      </c>
      <c r="C298" s="42" t="s">
        <v>265</v>
      </c>
      <c r="D298" s="21" t="s">
        <v>571</v>
      </c>
      <c r="E298" s="8"/>
      <c r="F298" s="7">
        <f>F302+F305+F310+F315+F318+F321+F324</f>
        <v>5427.9</v>
      </c>
      <c r="G298" s="7">
        <f aca="true" t="shared" si="186" ref="G298:K298">G302+G305+G310+G315+G318+G321+G324</f>
        <v>5427.9</v>
      </c>
      <c r="H298" s="7">
        <f t="shared" si="186"/>
        <v>967</v>
      </c>
      <c r="I298" s="7">
        <f t="shared" si="186"/>
        <v>967</v>
      </c>
      <c r="J298" s="7">
        <f t="shared" si="186"/>
        <v>967</v>
      </c>
      <c r="K298" s="7">
        <f t="shared" si="186"/>
        <v>5125.1</v>
      </c>
      <c r="L298" s="7">
        <f aca="true" t="shared" si="187" ref="L298">L302+L305+L310+L315+L318+L321+L324</f>
        <v>2009.2999999999997</v>
      </c>
      <c r="M298" s="7">
        <f t="shared" si="164"/>
        <v>39.20508868119646</v>
      </c>
    </row>
    <row r="299" spans="1:13" ht="47.25" customHeight="1" hidden="1">
      <c r="A299" s="37" t="s">
        <v>572</v>
      </c>
      <c r="B299" s="42" t="s">
        <v>286</v>
      </c>
      <c r="C299" s="42" t="s">
        <v>265</v>
      </c>
      <c r="D299" s="21" t="s">
        <v>573</v>
      </c>
      <c r="E299" s="8"/>
      <c r="F299" s="7">
        <f>F300</f>
        <v>0</v>
      </c>
      <c r="G299" s="7">
        <f aca="true" t="shared" si="188" ref="G299:L300">G300</f>
        <v>0</v>
      </c>
      <c r="H299" s="7">
        <f t="shared" si="188"/>
        <v>0</v>
      </c>
      <c r="I299" s="7">
        <f t="shared" si="188"/>
        <v>0</v>
      </c>
      <c r="J299" s="7">
        <f t="shared" si="188"/>
        <v>0</v>
      </c>
      <c r="K299" s="7">
        <f t="shared" si="188"/>
        <v>0</v>
      </c>
      <c r="L299" s="7">
        <f t="shared" si="188"/>
        <v>0</v>
      </c>
      <c r="M299" s="7" t="e">
        <f t="shared" si="164"/>
        <v>#DIV/0!</v>
      </c>
    </row>
    <row r="300" spans="1:13" ht="31.5" customHeight="1" hidden="1">
      <c r="A300" s="26" t="s">
        <v>183</v>
      </c>
      <c r="B300" s="42" t="s">
        <v>286</v>
      </c>
      <c r="C300" s="42" t="s">
        <v>265</v>
      </c>
      <c r="D300" s="21" t="s">
        <v>573</v>
      </c>
      <c r="E300" s="42" t="s">
        <v>184</v>
      </c>
      <c r="F300" s="7">
        <f>F301</f>
        <v>0</v>
      </c>
      <c r="G300" s="7">
        <f t="shared" si="188"/>
        <v>0</v>
      </c>
      <c r="H300" s="7">
        <f t="shared" si="188"/>
        <v>0</v>
      </c>
      <c r="I300" s="7">
        <f t="shared" si="188"/>
        <v>0</v>
      </c>
      <c r="J300" s="7">
        <f t="shared" si="188"/>
        <v>0</v>
      </c>
      <c r="K300" s="7">
        <f t="shared" si="188"/>
        <v>0</v>
      </c>
      <c r="L300" s="7">
        <f t="shared" si="188"/>
        <v>0</v>
      </c>
      <c r="M300" s="7" t="e">
        <f t="shared" si="164"/>
        <v>#DIV/0!</v>
      </c>
    </row>
    <row r="301" spans="1:13" ht="47.25" customHeight="1" hidden="1">
      <c r="A301" s="26" t="s">
        <v>185</v>
      </c>
      <c r="B301" s="42" t="s">
        <v>286</v>
      </c>
      <c r="C301" s="42" t="s">
        <v>265</v>
      </c>
      <c r="D301" s="21" t="s">
        <v>573</v>
      </c>
      <c r="E301" s="42" t="s">
        <v>186</v>
      </c>
      <c r="F301" s="7"/>
      <c r="G301" s="7"/>
      <c r="H301" s="7"/>
      <c r="I301" s="7"/>
      <c r="J301" s="7"/>
      <c r="K301" s="7"/>
      <c r="L301" s="7"/>
      <c r="M301" s="7" t="e">
        <f t="shared" si="164"/>
        <v>#DIV/0!</v>
      </c>
    </row>
    <row r="302" spans="1:13" ht="15.75">
      <c r="A302" s="122" t="s">
        <v>574</v>
      </c>
      <c r="B302" s="42" t="s">
        <v>286</v>
      </c>
      <c r="C302" s="42" t="s">
        <v>265</v>
      </c>
      <c r="D302" s="21" t="s">
        <v>575</v>
      </c>
      <c r="E302" s="42"/>
      <c r="F302" s="7">
        <f>F303</f>
        <v>450</v>
      </c>
      <c r="G302" s="7">
        <f aca="true" t="shared" si="189" ref="G302:L303">G303</f>
        <v>450</v>
      </c>
      <c r="H302" s="7">
        <f t="shared" si="189"/>
        <v>450</v>
      </c>
      <c r="I302" s="7">
        <f t="shared" si="189"/>
        <v>450</v>
      </c>
      <c r="J302" s="7">
        <f t="shared" si="189"/>
        <v>450</v>
      </c>
      <c r="K302" s="7">
        <f t="shared" si="189"/>
        <v>1588.5</v>
      </c>
      <c r="L302" s="7">
        <f t="shared" si="189"/>
        <v>1548.3</v>
      </c>
      <c r="M302" s="7">
        <f t="shared" si="164"/>
        <v>97.4693106704438</v>
      </c>
    </row>
    <row r="303" spans="1:13" ht="31.5">
      <c r="A303" s="33" t="s">
        <v>183</v>
      </c>
      <c r="B303" s="42" t="s">
        <v>286</v>
      </c>
      <c r="C303" s="42" t="s">
        <v>265</v>
      </c>
      <c r="D303" s="21" t="s">
        <v>575</v>
      </c>
      <c r="E303" s="42" t="s">
        <v>184</v>
      </c>
      <c r="F303" s="7">
        <f>F304</f>
        <v>450</v>
      </c>
      <c r="G303" s="7">
        <f t="shared" si="189"/>
        <v>450</v>
      </c>
      <c r="H303" s="7">
        <f t="shared" si="189"/>
        <v>450</v>
      </c>
      <c r="I303" s="7">
        <f t="shared" si="189"/>
        <v>450</v>
      </c>
      <c r="J303" s="7">
        <f t="shared" si="189"/>
        <v>450</v>
      </c>
      <c r="K303" s="7">
        <f t="shared" si="189"/>
        <v>1588.5</v>
      </c>
      <c r="L303" s="7">
        <f t="shared" si="189"/>
        <v>1548.3</v>
      </c>
      <c r="M303" s="7">
        <f t="shared" si="164"/>
        <v>97.4693106704438</v>
      </c>
    </row>
    <row r="304" spans="1:13" ht="47.25">
      <c r="A304" s="33" t="s">
        <v>185</v>
      </c>
      <c r="B304" s="42" t="s">
        <v>286</v>
      </c>
      <c r="C304" s="42" t="s">
        <v>265</v>
      </c>
      <c r="D304" s="21" t="s">
        <v>575</v>
      </c>
      <c r="E304" s="42" t="s">
        <v>186</v>
      </c>
      <c r="F304" s="7">
        <f>'Прил.№4 ведомств.'!G924</f>
        <v>450</v>
      </c>
      <c r="G304" s="7">
        <f>'Прил.№4 ведомств.'!I924</f>
        <v>450</v>
      </c>
      <c r="H304" s="7">
        <f>'Прил.№4 ведомств.'!J924</f>
        <v>450</v>
      </c>
      <c r="I304" s="7">
        <f>'Прил.№4 ведомств.'!K924</f>
        <v>450</v>
      </c>
      <c r="J304" s="7">
        <f>'Прил.№4 ведомств.'!L924</f>
        <v>450</v>
      </c>
      <c r="K304" s="7">
        <f>'Прил.№4 ведомств.'!M924</f>
        <v>1588.5</v>
      </c>
      <c r="L304" s="7">
        <f>'Прил.№4 ведомств.'!N924</f>
        <v>1548.3</v>
      </c>
      <c r="M304" s="7">
        <f t="shared" si="164"/>
        <v>97.4693106704438</v>
      </c>
    </row>
    <row r="305" spans="1:13" ht="15.75">
      <c r="A305" s="122" t="s">
        <v>576</v>
      </c>
      <c r="B305" s="42" t="s">
        <v>286</v>
      </c>
      <c r="C305" s="42" t="s">
        <v>265</v>
      </c>
      <c r="D305" s="21" t="s">
        <v>577</v>
      </c>
      <c r="E305" s="42"/>
      <c r="F305" s="7">
        <f>F306</f>
        <v>3107</v>
      </c>
      <c r="G305" s="7">
        <f aca="true" t="shared" si="190" ref="G305:L306">G306</f>
        <v>3107</v>
      </c>
      <c r="H305" s="7">
        <f t="shared" si="190"/>
        <v>160</v>
      </c>
      <c r="I305" s="7">
        <f t="shared" si="190"/>
        <v>160</v>
      </c>
      <c r="J305" s="7">
        <f t="shared" si="190"/>
        <v>160</v>
      </c>
      <c r="K305" s="7">
        <f>K306+K308</f>
        <v>40.6</v>
      </c>
      <c r="L305" s="7">
        <f aca="true" t="shared" si="191" ref="L305">L306+L308</f>
        <v>40.6</v>
      </c>
      <c r="M305" s="7">
        <f t="shared" si="164"/>
        <v>100</v>
      </c>
    </row>
    <row r="306" spans="1:13" ht="31.5" hidden="1">
      <c r="A306" s="33" t="s">
        <v>183</v>
      </c>
      <c r="B306" s="42" t="s">
        <v>286</v>
      </c>
      <c r="C306" s="42" t="s">
        <v>265</v>
      </c>
      <c r="D306" s="21" t="s">
        <v>577</v>
      </c>
      <c r="E306" s="42" t="s">
        <v>184</v>
      </c>
      <c r="F306" s="7">
        <f>F307</f>
        <v>3107</v>
      </c>
      <c r="G306" s="7">
        <f t="shared" si="190"/>
        <v>3107</v>
      </c>
      <c r="H306" s="7">
        <f t="shared" si="190"/>
        <v>160</v>
      </c>
      <c r="I306" s="7">
        <f t="shared" si="190"/>
        <v>160</v>
      </c>
      <c r="J306" s="7">
        <f t="shared" si="190"/>
        <v>160</v>
      </c>
      <c r="K306" s="7">
        <f t="shared" si="190"/>
        <v>0</v>
      </c>
      <c r="L306" s="7">
        <f t="shared" si="190"/>
        <v>0</v>
      </c>
      <c r="M306" s="7" t="e">
        <f t="shared" si="164"/>
        <v>#DIV/0!</v>
      </c>
    </row>
    <row r="307" spans="1:13" ht="47.25" hidden="1">
      <c r="A307" s="33" t="s">
        <v>185</v>
      </c>
      <c r="B307" s="42" t="s">
        <v>286</v>
      </c>
      <c r="C307" s="42" t="s">
        <v>265</v>
      </c>
      <c r="D307" s="21" t="s">
        <v>577</v>
      </c>
      <c r="E307" s="42" t="s">
        <v>186</v>
      </c>
      <c r="F307" s="7">
        <f>'Прил.№4 ведомств.'!G927</f>
        <v>3107</v>
      </c>
      <c r="G307" s="7">
        <f>'Прил.№4 ведомств.'!I927</f>
        <v>3107</v>
      </c>
      <c r="H307" s="7">
        <f>'Прил.№4 ведомств.'!J927</f>
        <v>160</v>
      </c>
      <c r="I307" s="7">
        <f>'Прил.№4 ведомств.'!K927</f>
        <v>160</v>
      </c>
      <c r="J307" s="7">
        <f>'Прил.№4 ведомств.'!L927</f>
        <v>160</v>
      </c>
      <c r="K307" s="7">
        <f>'Прил.№4 ведомств.'!M927</f>
        <v>0</v>
      </c>
      <c r="L307" s="7">
        <f>'Прил.№4 ведомств.'!N927</f>
        <v>0</v>
      </c>
      <c r="M307" s="7" t="e">
        <f t="shared" si="164"/>
        <v>#DIV/0!</v>
      </c>
    </row>
    <row r="308" spans="1:13" ht="15.75">
      <c r="A308" s="31" t="s">
        <v>187</v>
      </c>
      <c r="B308" s="42" t="s">
        <v>286</v>
      </c>
      <c r="C308" s="42" t="s">
        <v>265</v>
      </c>
      <c r="D308" s="21" t="s">
        <v>577</v>
      </c>
      <c r="E308" s="42" t="s">
        <v>197</v>
      </c>
      <c r="F308" s="7"/>
      <c r="G308" s="7"/>
      <c r="H308" s="7"/>
      <c r="I308" s="7"/>
      <c r="J308" s="7"/>
      <c r="K308" s="7">
        <f>K309</f>
        <v>40.6</v>
      </c>
      <c r="L308" s="7">
        <f aca="true" t="shared" si="192" ref="L308">L309</f>
        <v>40.6</v>
      </c>
      <c r="M308" s="7">
        <f t="shared" si="164"/>
        <v>100</v>
      </c>
    </row>
    <row r="309" spans="1:13" ht="15.75">
      <c r="A309" s="31" t="s">
        <v>198</v>
      </c>
      <c r="B309" s="42" t="s">
        <v>286</v>
      </c>
      <c r="C309" s="42" t="s">
        <v>265</v>
      </c>
      <c r="D309" s="21" t="s">
        <v>577</v>
      </c>
      <c r="E309" s="42" t="s">
        <v>199</v>
      </c>
      <c r="F309" s="7"/>
      <c r="G309" s="7"/>
      <c r="H309" s="7"/>
      <c r="I309" s="7"/>
      <c r="J309" s="7"/>
      <c r="K309" s="7">
        <f>'Прил.№4 ведомств.'!M929</f>
        <v>40.6</v>
      </c>
      <c r="L309" s="7">
        <f>'Прил.№4 ведомств.'!N929</f>
        <v>40.6</v>
      </c>
      <c r="M309" s="7">
        <f t="shared" si="164"/>
        <v>100</v>
      </c>
    </row>
    <row r="310" spans="1:13" ht="15.75">
      <c r="A310" s="122" t="s">
        <v>578</v>
      </c>
      <c r="B310" s="42" t="s">
        <v>286</v>
      </c>
      <c r="C310" s="42" t="s">
        <v>265</v>
      </c>
      <c r="D310" s="21" t="s">
        <v>579</v>
      </c>
      <c r="E310" s="42"/>
      <c r="F310" s="7">
        <f>F311</f>
        <v>1389.8999999999999</v>
      </c>
      <c r="G310" s="7">
        <f aca="true" t="shared" si="193" ref="G310:L311">G311</f>
        <v>1389.8999999999999</v>
      </c>
      <c r="H310" s="7">
        <f t="shared" si="193"/>
        <v>40</v>
      </c>
      <c r="I310" s="7">
        <f t="shared" si="193"/>
        <v>40</v>
      </c>
      <c r="J310" s="7">
        <f t="shared" si="193"/>
        <v>40</v>
      </c>
      <c r="K310" s="7">
        <f>K311+K313</f>
        <v>1434.7</v>
      </c>
      <c r="L310" s="7">
        <f aca="true" t="shared" si="194" ref="L310">L311+L313</f>
        <v>420.4</v>
      </c>
      <c r="M310" s="7">
        <f t="shared" si="164"/>
        <v>29.302293162333587</v>
      </c>
    </row>
    <row r="311" spans="1:13" ht="31.5">
      <c r="A311" s="33" t="s">
        <v>183</v>
      </c>
      <c r="B311" s="42" t="s">
        <v>286</v>
      </c>
      <c r="C311" s="42" t="s">
        <v>265</v>
      </c>
      <c r="D311" s="21" t="s">
        <v>579</v>
      </c>
      <c r="E311" s="42" t="s">
        <v>184</v>
      </c>
      <c r="F311" s="7">
        <f>F312</f>
        <v>1389.8999999999999</v>
      </c>
      <c r="G311" s="7">
        <f t="shared" si="193"/>
        <v>1389.8999999999999</v>
      </c>
      <c r="H311" s="7">
        <f t="shared" si="193"/>
        <v>40</v>
      </c>
      <c r="I311" s="7">
        <f t="shared" si="193"/>
        <v>40</v>
      </c>
      <c r="J311" s="7">
        <f t="shared" si="193"/>
        <v>40</v>
      </c>
      <c r="K311" s="7">
        <f t="shared" si="193"/>
        <v>1433.9</v>
      </c>
      <c r="L311" s="7">
        <f t="shared" si="193"/>
        <v>419.7</v>
      </c>
      <c r="M311" s="7">
        <f t="shared" si="164"/>
        <v>29.269823558128177</v>
      </c>
    </row>
    <row r="312" spans="1:13" ht="47.25">
      <c r="A312" s="33" t="s">
        <v>185</v>
      </c>
      <c r="B312" s="42" t="s">
        <v>286</v>
      </c>
      <c r="C312" s="42" t="s">
        <v>265</v>
      </c>
      <c r="D312" s="21" t="s">
        <v>579</v>
      </c>
      <c r="E312" s="42" t="s">
        <v>186</v>
      </c>
      <c r="F312" s="7">
        <f>'Прил.№4 ведомств.'!G932</f>
        <v>1389.8999999999999</v>
      </c>
      <c r="G312" s="7">
        <f>'Прил.№4 ведомств.'!I932</f>
        <v>1389.8999999999999</v>
      </c>
      <c r="H312" s="7">
        <f>'Прил.№4 ведомств.'!J932</f>
        <v>40</v>
      </c>
      <c r="I312" s="7">
        <f>'Прил.№4 ведомств.'!K932</f>
        <v>40</v>
      </c>
      <c r="J312" s="7">
        <f>'Прил.№4 ведомств.'!L932</f>
        <v>40</v>
      </c>
      <c r="K312" s="7">
        <f>'Прил.№4 ведомств.'!M932</f>
        <v>1433.9</v>
      </c>
      <c r="L312" s="7">
        <f>'Прил.№4 ведомств.'!N932</f>
        <v>419.7</v>
      </c>
      <c r="M312" s="7">
        <f t="shared" si="164"/>
        <v>29.269823558128177</v>
      </c>
    </row>
    <row r="313" spans="1:13" ht="15.75">
      <c r="A313" s="31" t="s">
        <v>187</v>
      </c>
      <c r="B313" s="42" t="s">
        <v>286</v>
      </c>
      <c r="C313" s="42" t="s">
        <v>265</v>
      </c>
      <c r="D313" s="21" t="s">
        <v>579</v>
      </c>
      <c r="E313" s="42" t="s">
        <v>197</v>
      </c>
      <c r="F313" s="7"/>
      <c r="G313" s="7"/>
      <c r="H313" s="7"/>
      <c r="I313" s="7"/>
      <c r="J313" s="7"/>
      <c r="K313" s="7">
        <f>K314</f>
        <v>0.8</v>
      </c>
      <c r="L313" s="7">
        <f aca="true" t="shared" si="195" ref="L313">L314</f>
        <v>0.7</v>
      </c>
      <c r="M313" s="7">
        <f t="shared" si="164"/>
        <v>87.49999999999999</v>
      </c>
    </row>
    <row r="314" spans="1:13" ht="15.75">
      <c r="A314" s="31" t="s">
        <v>621</v>
      </c>
      <c r="B314" s="42" t="s">
        <v>286</v>
      </c>
      <c r="C314" s="42" t="s">
        <v>265</v>
      </c>
      <c r="D314" s="21" t="s">
        <v>579</v>
      </c>
      <c r="E314" s="42" t="s">
        <v>190</v>
      </c>
      <c r="F314" s="7"/>
      <c r="G314" s="7"/>
      <c r="H314" s="7"/>
      <c r="I314" s="7"/>
      <c r="J314" s="7"/>
      <c r="K314" s="7">
        <v>0.8</v>
      </c>
      <c r="L314" s="7">
        <f>'Прил.№4 ведомств.'!N934</f>
        <v>0.7</v>
      </c>
      <c r="M314" s="7">
        <f t="shared" si="164"/>
        <v>87.49999999999999</v>
      </c>
    </row>
    <row r="315" spans="1:13" ht="15.75">
      <c r="A315" s="122" t="s">
        <v>580</v>
      </c>
      <c r="B315" s="42" t="s">
        <v>286</v>
      </c>
      <c r="C315" s="42" t="s">
        <v>265</v>
      </c>
      <c r="D315" s="21" t="s">
        <v>581</v>
      </c>
      <c r="E315" s="42"/>
      <c r="F315" s="7">
        <f>F316</f>
        <v>159.10000000000002</v>
      </c>
      <c r="G315" s="7">
        <f aca="true" t="shared" si="196" ref="G315:L316">G316</f>
        <v>159.10000000000002</v>
      </c>
      <c r="H315" s="7">
        <f t="shared" si="196"/>
        <v>305</v>
      </c>
      <c r="I315" s="7">
        <f t="shared" si="196"/>
        <v>305</v>
      </c>
      <c r="J315" s="7">
        <f t="shared" si="196"/>
        <v>305</v>
      </c>
      <c r="K315" s="7">
        <f t="shared" si="196"/>
        <v>1930.3</v>
      </c>
      <c r="L315" s="7">
        <f t="shared" si="196"/>
        <v>0</v>
      </c>
      <c r="M315" s="7">
        <f t="shared" si="164"/>
        <v>0</v>
      </c>
    </row>
    <row r="316" spans="1:13" ht="31.5">
      <c r="A316" s="33" t="s">
        <v>183</v>
      </c>
      <c r="B316" s="42" t="s">
        <v>286</v>
      </c>
      <c r="C316" s="42" t="s">
        <v>265</v>
      </c>
      <c r="D316" s="21" t="s">
        <v>581</v>
      </c>
      <c r="E316" s="42" t="s">
        <v>184</v>
      </c>
      <c r="F316" s="7">
        <f>F317</f>
        <v>159.10000000000002</v>
      </c>
      <c r="G316" s="7">
        <f t="shared" si="196"/>
        <v>159.10000000000002</v>
      </c>
      <c r="H316" s="7">
        <f t="shared" si="196"/>
        <v>305</v>
      </c>
      <c r="I316" s="7">
        <f t="shared" si="196"/>
        <v>305</v>
      </c>
      <c r="J316" s="7">
        <f t="shared" si="196"/>
        <v>305</v>
      </c>
      <c r="K316" s="7">
        <f t="shared" si="196"/>
        <v>1930.3</v>
      </c>
      <c r="L316" s="7">
        <f t="shared" si="196"/>
        <v>0</v>
      </c>
      <c r="M316" s="7">
        <f t="shared" si="164"/>
        <v>0</v>
      </c>
    </row>
    <row r="317" spans="1:13" ht="47.25">
      <c r="A317" s="33" t="s">
        <v>185</v>
      </c>
      <c r="B317" s="42" t="s">
        <v>286</v>
      </c>
      <c r="C317" s="42" t="s">
        <v>265</v>
      </c>
      <c r="D317" s="21" t="s">
        <v>581</v>
      </c>
      <c r="E317" s="42" t="s">
        <v>186</v>
      </c>
      <c r="F317" s="7">
        <f>'Прил.№4 ведомств.'!G937</f>
        <v>159.10000000000002</v>
      </c>
      <c r="G317" s="7">
        <f>'Прил.№4 ведомств.'!I937</f>
        <v>159.10000000000002</v>
      </c>
      <c r="H317" s="7">
        <f>'Прил.№4 ведомств.'!J937</f>
        <v>305</v>
      </c>
      <c r="I317" s="7">
        <f>'Прил.№4 ведомств.'!K937</f>
        <v>305</v>
      </c>
      <c r="J317" s="7">
        <f>'Прил.№4 ведомств.'!L937</f>
        <v>305</v>
      </c>
      <c r="K317" s="7">
        <f>'Прил.№4 ведомств.'!M937</f>
        <v>1930.3</v>
      </c>
      <c r="L317" s="7">
        <f>'Прил.№4 ведомств.'!N937</f>
        <v>0</v>
      </c>
      <c r="M317" s="7">
        <f t="shared" si="164"/>
        <v>0</v>
      </c>
    </row>
    <row r="318" spans="1:13" ht="15.75" hidden="1">
      <c r="A318" s="122" t="s">
        <v>582</v>
      </c>
      <c r="B318" s="42" t="s">
        <v>286</v>
      </c>
      <c r="C318" s="42" t="s">
        <v>265</v>
      </c>
      <c r="D318" s="21" t="s">
        <v>583</v>
      </c>
      <c r="E318" s="42"/>
      <c r="F318" s="7">
        <f>F319</f>
        <v>272.9</v>
      </c>
      <c r="G318" s="7">
        <f aca="true" t="shared" si="197" ref="G318:L319">G319</f>
        <v>272.9</v>
      </c>
      <c r="H318" s="7">
        <f t="shared" si="197"/>
        <v>2</v>
      </c>
      <c r="I318" s="7">
        <f t="shared" si="197"/>
        <v>2</v>
      </c>
      <c r="J318" s="7">
        <f t="shared" si="197"/>
        <v>2</v>
      </c>
      <c r="K318" s="7">
        <f t="shared" si="197"/>
        <v>131</v>
      </c>
      <c r="L318" s="7">
        <f t="shared" si="197"/>
        <v>0</v>
      </c>
      <c r="M318" s="7">
        <f t="shared" si="164"/>
        <v>0</v>
      </c>
    </row>
    <row r="319" spans="1:13" ht="31.5" hidden="1">
      <c r="A319" s="33" t="s">
        <v>183</v>
      </c>
      <c r="B319" s="42" t="s">
        <v>286</v>
      </c>
      <c r="C319" s="42" t="s">
        <v>265</v>
      </c>
      <c r="D319" s="21" t="s">
        <v>583</v>
      </c>
      <c r="E319" s="42" t="s">
        <v>184</v>
      </c>
      <c r="F319" s="7">
        <f>F320</f>
        <v>272.9</v>
      </c>
      <c r="G319" s="7">
        <f t="shared" si="197"/>
        <v>272.9</v>
      </c>
      <c r="H319" s="7">
        <f t="shared" si="197"/>
        <v>2</v>
      </c>
      <c r="I319" s="7">
        <f t="shared" si="197"/>
        <v>2</v>
      </c>
      <c r="J319" s="7">
        <f t="shared" si="197"/>
        <v>2</v>
      </c>
      <c r="K319" s="7">
        <f t="shared" si="197"/>
        <v>131</v>
      </c>
      <c r="L319" s="7">
        <f t="shared" si="197"/>
        <v>0</v>
      </c>
      <c r="M319" s="7">
        <f t="shared" si="164"/>
        <v>0</v>
      </c>
    </row>
    <row r="320" spans="1:13" ht="47.25" hidden="1">
      <c r="A320" s="33" t="s">
        <v>185</v>
      </c>
      <c r="B320" s="42" t="s">
        <v>286</v>
      </c>
      <c r="C320" s="42" t="s">
        <v>265</v>
      </c>
      <c r="D320" s="21" t="s">
        <v>583</v>
      </c>
      <c r="E320" s="42" t="s">
        <v>186</v>
      </c>
      <c r="F320" s="7">
        <f>'Прил.№4 ведомств.'!G940</f>
        <v>272.9</v>
      </c>
      <c r="G320" s="7">
        <f>'Прил.№4 ведомств.'!I940</f>
        <v>272.9</v>
      </c>
      <c r="H320" s="7">
        <f>'Прил.№4 ведомств.'!J940</f>
        <v>2</v>
      </c>
      <c r="I320" s="7">
        <f>'Прил.№4 ведомств.'!K940</f>
        <v>2</v>
      </c>
      <c r="J320" s="7">
        <f>'Прил.№4 ведомств.'!L940</f>
        <v>2</v>
      </c>
      <c r="K320" s="7">
        <f>'Прил.№4 ведомств.'!M940</f>
        <v>131</v>
      </c>
      <c r="L320" s="7">
        <f>'Прил.№4 ведомств.'!N940</f>
        <v>0</v>
      </c>
      <c r="M320" s="7">
        <f t="shared" si="164"/>
        <v>0</v>
      </c>
    </row>
    <row r="321" spans="1:13" ht="31.5" customHeight="1" hidden="1">
      <c r="A321" s="120" t="s">
        <v>584</v>
      </c>
      <c r="B321" s="42" t="s">
        <v>286</v>
      </c>
      <c r="C321" s="42" t="s">
        <v>265</v>
      </c>
      <c r="D321" s="21" t="s">
        <v>585</v>
      </c>
      <c r="E321" s="42"/>
      <c r="F321" s="7">
        <f>F322</f>
        <v>0</v>
      </c>
      <c r="G321" s="7">
        <f aca="true" t="shared" si="198" ref="G321:L322">G322</f>
        <v>0</v>
      </c>
      <c r="H321" s="7">
        <f t="shared" si="198"/>
        <v>0</v>
      </c>
      <c r="I321" s="7">
        <f t="shared" si="198"/>
        <v>0</v>
      </c>
      <c r="J321" s="7">
        <f t="shared" si="198"/>
        <v>0</v>
      </c>
      <c r="K321" s="7">
        <f t="shared" si="198"/>
        <v>0</v>
      </c>
      <c r="L321" s="7">
        <f t="shared" si="198"/>
        <v>0</v>
      </c>
      <c r="M321" s="7" t="e">
        <f t="shared" si="164"/>
        <v>#DIV/0!</v>
      </c>
    </row>
    <row r="322" spans="1:13" ht="31.5" customHeight="1" hidden="1">
      <c r="A322" s="33" t="s">
        <v>183</v>
      </c>
      <c r="B322" s="42" t="s">
        <v>286</v>
      </c>
      <c r="C322" s="42" t="s">
        <v>265</v>
      </c>
      <c r="D322" s="21" t="s">
        <v>585</v>
      </c>
      <c r="E322" s="42" t="s">
        <v>184</v>
      </c>
      <c r="F322" s="7">
        <f>F323</f>
        <v>0</v>
      </c>
      <c r="G322" s="7">
        <f t="shared" si="198"/>
        <v>0</v>
      </c>
      <c r="H322" s="7">
        <f t="shared" si="198"/>
        <v>0</v>
      </c>
      <c r="I322" s="7">
        <f t="shared" si="198"/>
        <v>0</v>
      </c>
      <c r="J322" s="7">
        <f t="shared" si="198"/>
        <v>0</v>
      </c>
      <c r="K322" s="7">
        <f t="shared" si="198"/>
        <v>0</v>
      </c>
      <c r="L322" s="7">
        <f t="shared" si="198"/>
        <v>0</v>
      </c>
      <c r="M322" s="7" t="e">
        <f t="shared" si="164"/>
        <v>#DIV/0!</v>
      </c>
    </row>
    <row r="323" spans="1:13" ht="47.25" customHeight="1" hidden="1">
      <c r="A323" s="33" t="s">
        <v>185</v>
      </c>
      <c r="B323" s="42" t="s">
        <v>286</v>
      </c>
      <c r="C323" s="42" t="s">
        <v>265</v>
      </c>
      <c r="D323" s="21" t="s">
        <v>585</v>
      </c>
      <c r="E323" s="42" t="s">
        <v>186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 t="e">
        <f t="shared" si="164"/>
        <v>#DIV/0!</v>
      </c>
    </row>
    <row r="324" spans="1:13" ht="15.75" hidden="1">
      <c r="A324" s="120" t="s">
        <v>586</v>
      </c>
      <c r="B324" s="42" t="s">
        <v>286</v>
      </c>
      <c r="C324" s="42" t="s">
        <v>265</v>
      </c>
      <c r="D324" s="21" t="s">
        <v>587</v>
      </c>
      <c r="E324" s="42"/>
      <c r="F324" s="7">
        <f>F325</f>
        <v>49</v>
      </c>
      <c r="G324" s="7">
        <f aca="true" t="shared" si="199" ref="G324:L325">G325</f>
        <v>49</v>
      </c>
      <c r="H324" s="7">
        <f t="shared" si="199"/>
        <v>10</v>
      </c>
      <c r="I324" s="7">
        <f t="shared" si="199"/>
        <v>10</v>
      </c>
      <c r="J324" s="7">
        <f t="shared" si="199"/>
        <v>10</v>
      </c>
      <c r="K324" s="7">
        <f t="shared" si="199"/>
        <v>0</v>
      </c>
      <c r="L324" s="7">
        <f t="shared" si="199"/>
        <v>0</v>
      </c>
      <c r="M324" s="7" t="e">
        <f t="shared" si="164"/>
        <v>#DIV/0!</v>
      </c>
    </row>
    <row r="325" spans="1:13" ht="31.5" hidden="1">
      <c r="A325" s="26" t="s">
        <v>183</v>
      </c>
      <c r="B325" s="42" t="s">
        <v>286</v>
      </c>
      <c r="C325" s="42" t="s">
        <v>265</v>
      </c>
      <c r="D325" s="21" t="s">
        <v>587</v>
      </c>
      <c r="E325" s="42" t="s">
        <v>184</v>
      </c>
      <c r="F325" s="7">
        <f>F326</f>
        <v>49</v>
      </c>
      <c r="G325" s="7">
        <f t="shared" si="199"/>
        <v>49</v>
      </c>
      <c r="H325" s="7">
        <f t="shared" si="199"/>
        <v>10</v>
      </c>
      <c r="I325" s="7">
        <f t="shared" si="199"/>
        <v>10</v>
      </c>
      <c r="J325" s="7">
        <f t="shared" si="199"/>
        <v>10</v>
      </c>
      <c r="K325" s="7">
        <f t="shared" si="199"/>
        <v>0</v>
      </c>
      <c r="L325" s="7">
        <f t="shared" si="199"/>
        <v>0</v>
      </c>
      <c r="M325" s="7" t="e">
        <f t="shared" si="164"/>
        <v>#DIV/0!</v>
      </c>
    </row>
    <row r="326" spans="1:13" ht="47.25" hidden="1">
      <c r="A326" s="26" t="s">
        <v>185</v>
      </c>
      <c r="B326" s="42" t="s">
        <v>286</v>
      </c>
      <c r="C326" s="42" t="s">
        <v>265</v>
      </c>
      <c r="D326" s="21" t="s">
        <v>587</v>
      </c>
      <c r="E326" s="42" t="s">
        <v>186</v>
      </c>
      <c r="F326" s="7">
        <f>'Прил.№4 ведомств.'!G946</f>
        <v>49</v>
      </c>
      <c r="G326" s="7">
        <f>'Прил.№4 ведомств.'!I946</f>
        <v>49</v>
      </c>
      <c r="H326" s="7">
        <f>'Прил.№4 ведомств.'!J946</f>
        <v>10</v>
      </c>
      <c r="I326" s="7">
        <f>'Прил.№4 ведомств.'!K946</f>
        <v>10</v>
      </c>
      <c r="J326" s="7">
        <f>'Прил.№4 ведомств.'!L946</f>
        <v>10</v>
      </c>
      <c r="K326" s="7">
        <f>'Прил.№4 ведомств.'!M946</f>
        <v>0</v>
      </c>
      <c r="L326" s="7">
        <f>'Прил.№4 ведомств.'!N946</f>
        <v>0</v>
      </c>
      <c r="M326" s="7" t="e">
        <f t="shared" si="164"/>
        <v>#DIV/0!</v>
      </c>
    </row>
    <row r="327" spans="1:13" ht="15.75">
      <c r="A327" s="31" t="s">
        <v>173</v>
      </c>
      <c r="B327" s="42" t="s">
        <v>286</v>
      </c>
      <c r="C327" s="42" t="s">
        <v>265</v>
      </c>
      <c r="D327" s="42" t="s">
        <v>174</v>
      </c>
      <c r="E327" s="42"/>
      <c r="F327" s="7">
        <f aca="true" t="shared" si="200" ref="F327:K327">F328+F340</f>
        <v>48283.2</v>
      </c>
      <c r="G327" s="7">
        <f t="shared" si="200"/>
        <v>38923.5</v>
      </c>
      <c r="H327" s="7">
        <f t="shared" si="200"/>
        <v>11416.3</v>
      </c>
      <c r="I327" s="7">
        <f t="shared" si="200"/>
        <v>11416.3</v>
      </c>
      <c r="J327" s="7">
        <f t="shared" si="200"/>
        <v>11416.3</v>
      </c>
      <c r="K327" s="7">
        <f t="shared" si="200"/>
        <v>55984.7</v>
      </c>
      <c r="L327" s="7">
        <f aca="true" t="shared" si="201" ref="L327">L328+L340</f>
        <v>16903.1</v>
      </c>
      <c r="M327" s="7">
        <f t="shared" si="164"/>
        <v>30.192356125870102</v>
      </c>
    </row>
    <row r="328" spans="1:13" ht="31.5">
      <c r="A328" s="31" t="s">
        <v>237</v>
      </c>
      <c r="B328" s="42" t="s">
        <v>286</v>
      </c>
      <c r="C328" s="42" t="s">
        <v>265</v>
      </c>
      <c r="D328" s="42" t="s">
        <v>238</v>
      </c>
      <c r="E328" s="42"/>
      <c r="F328" s="7">
        <f aca="true" t="shared" si="202" ref="F328:K328">F329+F332+F337</f>
        <v>25111.2</v>
      </c>
      <c r="G328" s="7">
        <f t="shared" si="202"/>
        <v>25111.2</v>
      </c>
      <c r="H328" s="7">
        <f t="shared" si="202"/>
        <v>0</v>
      </c>
      <c r="I328" s="7">
        <f t="shared" si="202"/>
        <v>0</v>
      </c>
      <c r="J328" s="7">
        <f t="shared" si="202"/>
        <v>0</v>
      </c>
      <c r="K328" s="7">
        <f t="shared" si="202"/>
        <v>16042</v>
      </c>
      <c r="L328" s="7">
        <f aca="true" t="shared" si="203" ref="L328">L329+L332+L337</f>
        <v>16042</v>
      </c>
      <c r="M328" s="7">
        <f t="shared" si="164"/>
        <v>100</v>
      </c>
    </row>
    <row r="329" spans="1:13" ht="47.25" hidden="1">
      <c r="A329" s="123" t="s">
        <v>764</v>
      </c>
      <c r="B329" s="42" t="s">
        <v>286</v>
      </c>
      <c r="C329" s="42" t="s">
        <v>265</v>
      </c>
      <c r="D329" s="21" t="s">
        <v>588</v>
      </c>
      <c r="E329" s="42"/>
      <c r="F329" s="7">
        <f>F330</f>
        <v>5000</v>
      </c>
      <c r="G329" s="7">
        <f aca="true" t="shared" si="204" ref="G329:L330">G330</f>
        <v>5000</v>
      </c>
      <c r="H329" s="7">
        <f t="shared" si="204"/>
        <v>0</v>
      </c>
      <c r="I329" s="7">
        <f t="shared" si="204"/>
        <v>0</v>
      </c>
      <c r="J329" s="7">
        <f t="shared" si="204"/>
        <v>0</v>
      </c>
      <c r="K329" s="7">
        <f t="shared" si="204"/>
        <v>0</v>
      </c>
      <c r="L329" s="7">
        <f t="shared" si="204"/>
        <v>0</v>
      </c>
      <c r="M329" s="7" t="e">
        <f t="shared" si="164"/>
        <v>#DIV/0!</v>
      </c>
    </row>
    <row r="330" spans="1:13" ht="31.5" hidden="1">
      <c r="A330" s="31" t="s">
        <v>183</v>
      </c>
      <c r="B330" s="42" t="s">
        <v>286</v>
      </c>
      <c r="C330" s="42" t="s">
        <v>265</v>
      </c>
      <c r="D330" s="21" t="s">
        <v>588</v>
      </c>
      <c r="E330" s="42" t="s">
        <v>184</v>
      </c>
      <c r="F330" s="7">
        <f>F331</f>
        <v>5000</v>
      </c>
      <c r="G330" s="7">
        <f t="shared" si="204"/>
        <v>5000</v>
      </c>
      <c r="H330" s="7">
        <f t="shared" si="204"/>
        <v>0</v>
      </c>
      <c r="I330" s="7">
        <f t="shared" si="204"/>
        <v>0</v>
      </c>
      <c r="J330" s="7">
        <f t="shared" si="204"/>
        <v>0</v>
      </c>
      <c r="K330" s="7">
        <f t="shared" si="204"/>
        <v>0</v>
      </c>
      <c r="L330" s="7">
        <f t="shared" si="204"/>
        <v>0</v>
      </c>
      <c r="M330" s="7" t="e">
        <f t="shared" si="164"/>
        <v>#DIV/0!</v>
      </c>
    </row>
    <row r="331" spans="1:13" ht="47.25" hidden="1">
      <c r="A331" s="31" t="s">
        <v>185</v>
      </c>
      <c r="B331" s="42" t="s">
        <v>286</v>
      </c>
      <c r="C331" s="42" t="s">
        <v>265</v>
      </c>
      <c r="D331" s="21" t="s">
        <v>588</v>
      </c>
      <c r="E331" s="42" t="s">
        <v>186</v>
      </c>
      <c r="F331" s="7">
        <f>'Прил.№4 ведомств.'!G951</f>
        <v>5000</v>
      </c>
      <c r="G331" s="7">
        <f>'Прил.№4 ведомств.'!I951</f>
        <v>5000</v>
      </c>
      <c r="H331" s="7">
        <f>'Прил.№4 ведомств.'!J951</f>
        <v>0</v>
      </c>
      <c r="I331" s="7">
        <f>'Прил.№4 ведомств.'!K951</f>
        <v>0</v>
      </c>
      <c r="J331" s="7">
        <f>'Прил.№4 ведомств.'!L951</f>
        <v>0</v>
      </c>
      <c r="K331" s="7">
        <f>'Прил.№4 ведомств.'!M951</f>
        <v>0</v>
      </c>
      <c r="L331" s="7">
        <f>'Прил.№4 ведомств.'!N951</f>
        <v>0</v>
      </c>
      <c r="M331" s="7" t="e">
        <f t="shared" si="164"/>
        <v>#DIV/0!</v>
      </c>
    </row>
    <row r="332" spans="1:13" ht="31.5">
      <c r="A332" s="70" t="s">
        <v>770</v>
      </c>
      <c r="B332" s="42" t="s">
        <v>286</v>
      </c>
      <c r="C332" s="42" t="s">
        <v>265</v>
      </c>
      <c r="D332" s="42" t="s">
        <v>589</v>
      </c>
      <c r="E332" s="42"/>
      <c r="F332" s="7">
        <f>F333</f>
        <v>20000</v>
      </c>
      <c r="G332" s="7">
        <f aca="true" t="shared" si="205" ref="G332:J332">G333</f>
        <v>20000</v>
      </c>
      <c r="H332" s="7">
        <f t="shared" si="205"/>
        <v>0</v>
      </c>
      <c r="I332" s="7">
        <f t="shared" si="205"/>
        <v>0</v>
      </c>
      <c r="J332" s="7">
        <f t="shared" si="205"/>
        <v>0</v>
      </c>
      <c r="K332" s="7">
        <f>K333+K335</f>
        <v>16042</v>
      </c>
      <c r="L332" s="7">
        <f aca="true" t="shared" si="206" ref="L332">L333+L335</f>
        <v>16042</v>
      </c>
      <c r="M332" s="7">
        <f t="shared" si="164"/>
        <v>100</v>
      </c>
    </row>
    <row r="333" spans="1:13" ht="31.5">
      <c r="A333" s="31" t="s">
        <v>183</v>
      </c>
      <c r="B333" s="42" t="s">
        <v>286</v>
      </c>
      <c r="C333" s="42" t="s">
        <v>265</v>
      </c>
      <c r="D333" s="42" t="s">
        <v>589</v>
      </c>
      <c r="E333" s="42" t="s">
        <v>184</v>
      </c>
      <c r="F333" s="7">
        <f>F334</f>
        <v>20000</v>
      </c>
      <c r="G333" s="7">
        <f>G334</f>
        <v>20000</v>
      </c>
      <c r="H333" s="7">
        <f>H334</f>
        <v>0</v>
      </c>
      <c r="I333" s="7">
        <f>I334</f>
        <v>0</v>
      </c>
      <c r="J333" s="7">
        <f>J334</f>
        <v>0</v>
      </c>
      <c r="K333" s="7">
        <f>K334</f>
        <v>15905.43</v>
      </c>
      <c r="L333" s="7">
        <f aca="true" t="shared" si="207" ref="L333">L334</f>
        <v>15905.4</v>
      </c>
      <c r="M333" s="7">
        <f aca="true" t="shared" si="208" ref="M333:M396">L333/K333*100</f>
        <v>99.99981138516846</v>
      </c>
    </row>
    <row r="334" spans="1:13" ht="47.25">
      <c r="A334" s="31" t="s">
        <v>185</v>
      </c>
      <c r="B334" s="42" t="s">
        <v>286</v>
      </c>
      <c r="C334" s="42" t="s">
        <v>265</v>
      </c>
      <c r="D334" s="42" t="s">
        <v>589</v>
      </c>
      <c r="E334" s="42" t="s">
        <v>186</v>
      </c>
      <c r="F334" s="7">
        <f>'Прил.№4 ведомств.'!G954</f>
        <v>20000</v>
      </c>
      <c r="G334" s="7">
        <f>'Прил.№4 ведомств.'!I954</f>
        <v>20000</v>
      </c>
      <c r="H334" s="7">
        <f>'Прил.№4 ведомств.'!J954</f>
        <v>0</v>
      </c>
      <c r="I334" s="7">
        <f>'Прил.№4 ведомств.'!K954</f>
        <v>0</v>
      </c>
      <c r="J334" s="7">
        <f>'Прил.№4 ведомств.'!L954</f>
        <v>0</v>
      </c>
      <c r="K334" s="7">
        <f>'Прил.№4 ведомств.'!M954</f>
        <v>15905.43</v>
      </c>
      <c r="L334" s="7">
        <f>'Прил.№4 ведомств.'!N954</f>
        <v>15905.4</v>
      </c>
      <c r="M334" s="7">
        <f t="shared" si="208"/>
        <v>99.99981138516846</v>
      </c>
    </row>
    <row r="335" spans="1:13" ht="15.75">
      <c r="A335" s="31" t="s">
        <v>187</v>
      </c>
      <c r="B335" s="42" t="s">
        <v>286</v>
      </c>
      <c r="C335" s="42" t="s">
        <v>265</v>
      </c>
      <c r="D335" s="42" t="s">
        <v>589</v>
      </c>
      <c r="E335" s="42" t="s">
        <v>197</v>
      </c>
      <c r="F335" s="7"/>
      <c r="G335" s="7"/>
      <c r="H335" s="7"/>
      <c r="I335" s="7"/>
      <c r="J335" s="7"/>
      <c r="K335" s="7">
        <f>K336</f>
        <v>136.57</v>
      </c>
      <c r="L335" s="7">
        <f aca="true" t="shared" si="209" ref="L335">L336</f>
        <v>136.6</v>
      </c>
      <c r="M335" s="7">
        <f t="shared" si="208"/>
        <v>100.02196675697445</v>
      </c>
    </row>
    <row r="336" spans="1:13" ht="15.75">
      <c r="A336" s="31" t="s">
        <v>621</v>
      </c>
      <c r="B336" s="42" t="s">
        <v>286</v>
      </c>
      <c r="C336" s="42" t="s">
        <v>265</v>
      </c>
      <c r="D336" s="42" t="s">
        <v>589</v>
      </c>
      <c r="E336" s="42" t="s">
        <v>190</v>
      </c>
      <c r="F336" s="7"/>
      <c r="G336" s="7"/>
      <c r="H336" s="7"/>
      <c r="I336" s="7"/>
      <c r="J336" s="7"/>
      <c r="K336" s="7">
        <f>'Прил.№4 ведомств.'!M956</f>
        <v>136.57</v>
      </c>
      <c r="L336" s="7">
        <f>'Прил.№4 ведомств.'!N956</f>
        <v>136.6</v>
      </c>
      <c r="M336" s="7">
        <f t="shared" si="208"/>
        <v>100.02196675697445</v>
      </c>
    </row>
    <row r="337" spans="1:13" ht="47.25" hidden="1">
      <c r="A337" s="26" t="s">
        <v>771</v>
      </c>
      <c r="B337" s="42" t="s">
        <v>286</v>
      </c>
      <c r="C337" s="42" t="s">
        <v>265</v>
      </c>
      <c r="D337" s="21" t="s">
        <v>772</v>
      </c>
      <c r="E337" s="42"/>
      <c r="F337" s="7">
        <f>F338</f>
        <v>111.2</v>
      </c>
      <c r="G337" s="7">
        <f aca="true" t="shared" si="210" ref="G337:L338">G338</f>
        <v>111.2</v>
      </c>
      <c r="H337" s="7">
        <f t="shared" si="210"/>
        <v>0</v>
      </c>
      <c r="I337" s="7">
        <f t="shared" si="210"/>
        <v>0</v>
      </c>
      <c r="J337" s="7">
        <f t="shared" si="210"/>
        <v>0</v>
      </c>
      <c r="K337" s="7">
        <f t="shared" si="210"/>
        <v>0</v>
      </c>
      <c r="L337" s="7">
        <f t="shared" si="210"/>
        <v>0</v>
      </c>
      <c r="M337" s="7" t="e">
        <f t="shared" si="208"/>
        <v>#DIV/0!</v>
      </c>
    </row>
    <row r="338" spans="1:13" ht="31.5" hidden="1">
      <c r="A338" s="26" t="s">
        <v>183</v>
      </c>
      <c r="B338" s="42" t="s">
        <v>286</v>
      </c>
      <c r="C338" s="42" t="s">
        <v>265</v>
      </c>
      <c r="D338" s="21" t="s">
        <v>772</v>
      </c>
      <c r="E338" s="42" t="s">
        <v>184</v>
      </c>
      <c r="F338" s="7">
        <f>F339</f>
        <v>111.2</v>
      </c>
      <c r="G338" s="7">
        <f t="shared" si="210"/>
        <v>111.2</v>
      </c>
      <c r="H338" s="7">
        <f t="shared" si="210"/>
        <v>0</v>
      </c>
      <c r="I338" s="7">
        <f t="shared" si="210"/>
        <v>0</v>
      </c>
      <c r="J338" s="7">
        <f t="shared" si="210"/>
        <v>0</v>
      </c>
      <c r="K338" s="7">
        <f t="shared" si="210"/>
        <v>0</v>
      </c>
      <c r="L338" s="7">
        <f t="shared" si="210"/>
        <v>0</v>
      </c>
      <c r="M338" s="7" t="e">
        <f t="shared" si="208"/>
        <v>#DIV/0!</v>
      </c>
    </row>
    <row r="339" spans="1:13" ht="47.25" hidden="1">
      <c r="A339" s="26" t="s">
        <v>185</v>
      </c>
      <c r="B339" s="42" t="s">
        <v>286</v>
      </c>
      <c r="C339" s="42" t="s">
        <v>265</v>
      </c>
      <c r="D339" s="21" t="s">
        <v>772</v>
      </c>
      <c r="E339" s="42" t="s">
        <v>186</v>
      </c>
      <c r="F339" s="7">
        <f>'Прил.№4 ведомств.'!G959</f>
        <v>111.2</v>
      </c>
      <c r="G339" s="7">
        <f>'Прил.№4 ведомств.'!I959</f>
        <v>111.2</v>
      </c>
      <c r="H339" s="7">
        <f>'Прил.№4 ведомств.'!J959</f>
        <v>0</v>
      </c>
      <c r="I339" s="7">
        <f>'Прил.№4 ведомств.'!K959</f>
        <v>0</v>
      </c>
      <c r="J339" s="7">
        <f>'Прил.№4 ведомств.'!L959</f>
        <v>0</v>
      </c>
      <c r="K339" s="7">
        <f>'Прил.№4 ведомств.'!M959</f>
        <v>0</v>
      </c>
      <c r="L339" s="7">
        <f>'Прил.№4 ведомств.'!N959</f>
        <v>0</v>
      </c>
      <c r="M339" s="7" t="e">
        <f t="shared" si="208"/>
        <v>#DIV/0!</v>
      </c>
    </row>
    <row r="340" spans="1:13" ht="15.75">
      <c r="A340" s="31" t="s">
        <v>193</v>
      </c>
      <c r="B340" s="42" t="s">
        <v>286</v>
      </c>
      <c r="C340" s="42" t="s">
        <v>265</v>
      </c>
      <c r="D340" s="42" t="s">
        <v>194</v>
      </c>
      <c r="E340" s="8"/>
      <c r="F340" s="7">
        <f>F341+F347</f>
        <v>23171.999999999996</v>
      </c>
      <c r="G340" s="7">
        <f aca="true" t="shared" si="211" ref="G340:J340">G341+G347</f>
        <v>13812.3</v>
      </c>
      <c r="H340" s="7">
        <f t="shared" si="211"/>
        <v>11416.3</v>
      </c>
      <c r="I340" s="7">
        <f t="shared" si="211"/>
        <v>11416.3</v>
      </c>
      <c r="J340" s="7">
        <f t="shared" si="211"/>
        <v>11416.3</v>
      </c>
      <c r="K340" s="7">
        <f>K341+K347+K352+K355</f>
        <v>39942.7</v>
      </c>
      <c r="L340" s="7">
        <f aca="true" t="shared" si="212" ref="L340">L341+L347+L352+L355</f>
        <v>861.1</v>
      </c>
      <c r="M340" s="7">
        <f t="shared" si="208"/>
        <v>2.1558382382763313</v>
      </c>
    </row>
    <row r="341" spans="1:13" ht="15.75">
      <c r="A341" s="31" t="s">
        <v>590</v>
      </c>
      <c r="B341" s="42" t="s">
        <v>286</v>
      </c>
      <c r="C341" s="42" t="s">
        <v>265</v>
      </c>
      <c r="D341" s="42" t="s">
        <v>591</v>
      </c>
      <c r="E341" s="8"/>
      <c r="F341" s="7">
        <f>F342+F344</f>
        <v>20493.699999999997</v>
      </c>
      <c r="G341" s="7">
        <f aca="true" t="shared" si="213" ref="G341:K341">G342+G344</f>
        <v>3493.7</v>
      </c>
      <c r="H341" s="7">
        <f t="shared" si="213"/>
        <v>0</v>
      </c>
      <c r="I341" s="7">
        <f t="shared" si="213"/>
        <v>0</v>
      </c>
      <c r="J341" s="7">
        <f t="shared" si="213"/>
        <v>0</v>
      </c>
      <c r="K341" s="7">
        <f t="shared" si="213"/>
        <v>10092.2</v>
      </c>
      <c r="L341" s="7">
        <f aca="true" t="shared" si="214" ref="L341">L342+L344</f>
        <v>0</v>
      </c>
      <c r="M341" s="7">
        <f t="shared" si="208"/>
        <v>0</v>
      </c>
    </row>
    <row r="342" spans="1:13" ht="31.5">
      <c r="A342" s="31" t="s">
        <v>183</v>
      </c>
      <c r="B342" s="42" t="s">
        <v>286</v>
      </c>
      <c r="C342" s="42" t="s">
        <v>265</v>
      </c>
      <c r="D342" s="42" t="s">
        <v>591</v>
      </c>
      <c r="E342" s="42" t="s">
        <v>184</v>
      </c>
      <c r="F342" s="7">
        <f>F343</f>
        <v>20462.1</v>
      </c>
      <c r="G342" s="7">
        <f aca="true" t="shared" si="215" ref="G342:L342">G343</f>
        <v>3462.1</v>
      </c>
      <c r="H342" s="7">
        <f t="shared" si="215"/>
        <v>0</v>
      </c>
      <c r="I342" s="7">
        <f t="shared" si="215"/>
        <v>0</v>
      </c>
      <c r="J342" s="7">
        <f t="shared" si="215"/>
        <v>0</v>
      </c>
      <c r="K342" s="7">
        <f t="shared" si="215"/>
        <v>10092.2</v>
      </c>
      <c r="L342" s="7">
        <f t="shared" si="215"/>
        <v>0</v>
      </c>
      <c r="M342" s="7">
        <f t="shared" si="208"/>
        <v>0</v>
      </c>
    </row>
    <row r="343" spans="1:13" ht="47.25">
      <c r="A343" s="31" t="s">
        <v>185</v>
      </c>
      <c r="B343" s="42" t="s">
        <v>286</v>
      </c>
      <c r="C343" s="42" t="s">
        <v>265</v>
      </c>
      <c r="D343" s="42" t="s">
        <v>591</v>
      </c>
      <c r="E343" s="42" t="s">
        <v>186</v>
      </c>
      <c r="F343" s="7">
        <f>'Прил.№4 ведомств.'!G963</f>
        <v>20462.1</v>
      </c>
      <c r="G343" s="7">
        <f>'Прил.№4 ведомств.'!I963</f>
        <v>3462.1</v>
      </c>
      <c r="H343" s="7">
        <f>'Прил.№4 ведомств.'!J963</f>
        <v>0</v>
      </c>
      <c r="I343" s="7">
        <f>'Прил.№4 ведомств.'!K963</f>
        <v>0</v>
      </c>
      <c r="J343" s="7">
        <f>'Прил.№4 ведомств.'!L963</f>
        <v>0</v>
      </c>
      <c r="K343" s="7">
        <f>'Прил.№4 ведомств.'!M963</f>
        <v>10092.2</v>
      </c>
      <c r="L343" s="7">
        <f>'Прил.№4 ведомств.'!N963</f>
        <v>0</v>
      </c>
      <c r="M343" s="7">
        <f t="shared" si="208"/>
        <v>0</v>
      </c>
    </row>
    <row r="344" spans="1:13" ht="15.75" hidden="1">
      <c r="A344" s="31" t="s">
        <v>187</v>
      </c>
      <c r="B344" s="42" t="s">
        <v>286</v>
      </c>
      <c r="C344" s="42" t="s">
        <v>265</v>
      </c>
      <c r="D344" s="42" t="s">
        <v>591</v>
      </c>
      <c r="E344" s="42" t="s">
        <v>197</v>
      </c>
      <c r="F344" s="7">
        <f>F346+F345</f>
        <v>31.6</v>
      </c>
      <c r="G344" s="7">
        <f aca="true" t="shared" si="216" ref="G344:K344">G346+G345</f>
        <v>31.6</v>
      </c>
      <c r="H344" s="7">
        <f t="shared" si="216"/>
        <v>0</v>
      </c>
      <c r="I344" s="7">
        <f t="shared" si="216"/>
        <v>0</v>
      </c>
      <c r="J344" s="7">
        <f t="shared" si="216"/>
        <v>0</v>
      </c>
      <c r="K344" s="7">
        <f t="shared" si="216"/>
        <v>0</v>
      </c>
      <c r="L344" s="7">
        <f aca="true" t="shared" si="217" ref="L344">L346+L345</f>
        <v>0</v>
      </c>
      <c r="M344" s="7" t="e">
        <f t="shared" si="208"/>
        <v>#DIV/0!</v>
      </c>
    </row>
    <row r="345" spans="1:13" ht="47.25" customHeight="1" hidden="1">
      <c r="A345" s="31" t="s">
        <v>236</v>
      </c>
      <c r="B345" s="42" t="s">
        <v>286</v>
      </c>
      <c r="C345" s="42" t="s">
        <v>265</v>
      </c>
      <c r="D345" s="42" t="s">
        <v>591</v>
      </c>
      <c r="E345" s="42" t="s">
        <v>212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 t="e">
        <f t="shared" si="208"/>
        <v>#DIV/0!</v>
      </c>
    </row>
    <row r="346" spans="1:13" ht="15.75" hidden="1">
      <c r="A346" s="31" t="s">
        <v>621</v>
      </c>
      <c r="B346" s="42" t="s">
        <v>286</v>
      </c>
      <c r="C346" s="42" t="s">
        <v>265</v>
      </c>
      <c r="D346" s="42" t="s">
        <v>591</v>
      </c>
      <c r="E346" s="42" t="s">
        <v>190</v>
      </c>
      <c r="F346" s="7">
        <f>'Прил.№4 ведомств.'!G966</f>
        <v>31.6</v>
      </c>
      <c r="G346" s="7">
        <f>'Прил.№4 ведомств.'!I966</f>
        <v>31.6</v>
      </c>
      <c r="H346" s="7">
        <f>'Прил.№4 ведомств.'!J966</f>
        <v>0</v>
      </c>
      <c r="I346" s="7">
        <f>'Прил.№4 ведомств.'!K966</f>
        <v>0</v>
      </c>
      <c r="J346" s="7">
        <f>'Прил.№4 ведомств.'!L966</f>
        <v>0</v>
      </c>
      <c r="K346" s="7">
        <f>'Прил.№4 ведомств.'!M966</f>
        <v>0</v>
      </c>
      <c r="L346" s="7">
        <f>'Прил.№4 ведомств.'!N966</f>
        <v>0</v>
      </c>
      <c r="M346" s="7" t="e">
        <f t="shared" si="208"/>
        <v>#DIV/0!</v>
      </c>
    </row>
    <row r="347" spans="1:13" ht="15.75">
      <c r="A347" s="31" t="s">
        <v>592</v>
      </c>
      <c r="B347" s="42" t="s">
        <v>286</v>
      </c>
      <c r="C347" s="42" t="s">
        <v>265</v>
      </c>
      <c r="D347" s="42" t="s">
        <v>593</v>
      </c>
      <c r="E347" s="42"/>
      <c r="F347" s="7">
        <f>F350</f>
        <v>2678.3</v>
      </c>
      <c r="G347" s="7">
        <f>G350</f>
        <v>10318.6</v>
      </c>
      <c r="H347" s="7">
        <f>H350</f>
        <v>11416.3</v>
      </c>
      <c r="I347" s="7">
        <f>I350</f>
        <v>11416.3</v>
      </c>
      <c r="J347" s="7">
        <f>J350</f>
        <v>11416.3</v>
      </c>
      <c r="K347" s="7">
        <f>K350+K348</f>
        <v>6883.299999999999</v>
      </c>
      <c r="L347" s="7">
        <f aca="true" t="shared" si="218" ref="L347">L350+L348</f>
        <v>861.1</v>
      </c>
      <c r="M347" s="7">
        <f t="shared" si="208"/>
        <v>12.509987941830229</v>
      </c>
    </row>
    <row r="348" spans="1:13" ht="31.5">
      <c r="A348" s="31" t="s">
        <v>183</v>
      </c>
      <c r="B348" s="42" t="s">
        <v>286</v>
      </c>
      <c r="C348" s="42" t="s">
        <v>265</v>
      </c>
      <c r="D348" s="42" t="s">
        <v>593</v>
      </c>
      <c r="E348" s="42" t="s">
        <v>184</v>
      </c>
      <c r="F348" s="7"/>
      <c r="G348" s="7"/>
      <c r="H348" s="7"/>
      <c r="I348" s="7"/>
      <c r="J348" s="7"/>
      <c r="K348" s="7">
        <f>K349</f>
        <v>5200</v>
      </c>
      <c r="L348" s="7">
        <f aca="true" t="shared" si="219" ref="L348">L349</f>
        <v>861.1</v>
      </c>
      <c r="M348" s="7">
        <f t="shared" si="208"/>
        <v>16.559615384615384</v>
      </c>
    </row>
    <row r="349" spans="1:13" ht="47.25">
      <c r="A349" s="31" t="s">
        <v>185</v>
      </c>
      <c r="B349" s="42" t="s">
        <v>286</v>
      </c>
      <c r="C349" s="42" t="s">
        <v>265</v>
      </c>
      <c r="D349" s="42" t="s">
        <v>593</v>
      </c>
      <c r="E349" s="42" t="s">
        <v>186</v>
      </c>
      <c r="F349" s="7"/>
      <c r="G349" s="7"/>
      <c r="H349" s="7"/>
      <c r="I349" s="7"/>
      <c r="J349" s="7"/>
      <c r="K349" s="7">
        <f>'Прил.№4 ведомств.'!M969</f>
        <v>5200</v>
      </c>
      <c r="L349" s="7">
        <f>'Прил.№4 ведомств.'!N969</f>
        <v>861.1</v>
      </c>
      <c r="M349" s="7">
        <f t="shared" si="208"/>
        <v>16.559615384615384</v>
      </c>
    </row>
    <row r="350" spans="1:13" ht="15.75">
      <c r="A350" s="31" t="s">
        <v>187</v>
      </c>
      <c r="B350" s="42" t="s">
        <v>286</v>
      </c>
      <c r="C350" s="42" t="s">
        <v>265</v>
      </c>
      <c r="D350" s="42" t="s">
        <v>593</v>
      </c>
      <c r="E350" s="42" t="s">
        <v>197</v>
      </c>
      <c r="F350" s="7">
        <f>F351</f>
        <v>2678.3</v>
      </c>
      <c r="G350" s="7">
        <f aca="true" t="shared" si="220" ref="G350:L350">G351</f>
        <v>10318.6</v>
      </c>
      <c r="H350" s="7">
        <f t="shared" si="220"/>
        <v>11416.3</v>
      </c>
      <c r="I350" s="7">
        <f t="shared" si="220"/>
        <v>11416.3</v>
      </c>
      <c r="J350" s="7">
        <f t="shared" si="220"/>
        <v>11416.3</v>
      </c>
      <c r="K350" s="7">
        <f t="shared" si="220"/>
        <v>1683.2999999999993</v>
      </c>
      <c r="L350" s="7">
        <f t="shared" si="220"/>
        <v>0</v>
      </c>
      <c r="M350" s="7">
        <f t="shared" si="208"/>
        <v>0</v>
      </c>
    </row>
    <row r="351" spans="1:13" ht="15.75">
      <c r="A351" s="31" t="s">
        <v>198</v>
      </c>
      <c r="B351" s="42" t="s">
        <v>286</v>
      </c>
      <c r="C351" s="42" t="s">
        <v>265</v>
      </c>
      <c r="D351" s="42" t="s">
        <v>593</v>
      </c>
      <c r="E351" s="42" t="s">
        <v>199</v>
      </c>
      <c r="F351" s="7">
        <f>'Прил.№4 ведомств.'!G971</f>
        <v>2678.3</v>
      </c>
      <c r="G351" s="7">
        <f>'Прил.№4 ведомств.'!I971</f>
        <v>10318.6</v>
      </c>
      <c r="H351" s="7">
        <f>'Прил.№4 ведомств.'!J971</f>
        <v>11416.3</v>
      </c>
      <c r="I351" s="7">
        <f>'Прил.№4 ведомств.'!K971</f>
        <v>11416.3</v>
      </c>
      <c r="J351" s="7">
        <f>'Прил.№4 ведомств.'!L971</f>
        <v>11416.3</v>
      </c>
      <c r="K351" s="7">
        <f>'Прил.№4 ведомств.'!M971</f>
        <v>1683.2999999999993</v>
      </c>
      <c r="L351" s="7">
        <f>'Прил.№4 ведомств.'!N971</f>
        <v>0</v>
      </c>
      <c r="M351" s="7">
        <f t="shared" si="208"/>
        <v>0</v>
      </c>
    </row>
    <row r="352" spans="1:13" ht="77.25" customHeight="1">
      <c r="A352" s="26" t="s">
        <v>968</v>
      </c>
      <c r="B352" s="42" t="s">
        <v>286</v>
      </c>
      <c r="C352" s="42" t="s">
        <v>265</v>
      </c>
      <c r="D352" s="21" t="s">
        <v>970</v>
      </c>
      <c r="E352" s="42"/>
      <c r="F352" s="7">
        <f>F353</f>
        <v>0</v>
      </c>
      <c r="G352" s="7">
        <f aca="true" t="shared" si="221" ref="G352:L353">G353</f>
        <v>0</v>
      </c>
      <c r="H352" s="7">
        <f t="shared" si="221"/>
        <v>0</v>
      </c>
      <c r="I352" s="7">
        <f t="shared" si="221"/>
        <v>0</v>
      </c>
      <c r="J352" s="7">
        <f t="shared" si="221"/>
        <v>0</v>
      </c>
      <c r="K352" s="7">
        <f t="shared" si="221"/>
        <v>20000</v>
      </c>
      <c r="L352" s="7">
        <f t="shared" si="221"/>
        <v>0</v>
      </c>
      <c r="M352" s="7">
        <f t="shared" si="208"/>
        <v>0</v>
      </c>
    </row>
    <row r="353" spans="1:13" ht="31.5" customHeight="1">
      <c r="A353" s="26" t="s">
        <v>183</v>
      </c>
      <c r="B353" s="42" t="s">
        <v>286</v>
      </c>
      <c r="C353" s="42" t="s">
        <v>265</v>
      </c>
      <c r="D353" s="21" t="s">
        <v>970</v>
      </c>
      <c r="E353" s="42" t="s">
        <v>184</v>
      </c>
      <c r="F353" s="7">
        <f>F354</f>
        <v>0</v>
      </c>
      <c r="G353" s="7">
        <f t="shared" si="221"/>
        <v>0</v>
      </c>
      <c r="H353" s="7">
        <f t="shared" si="221"/>
        <v>0</v>
      </c>
      <c r="I353" s="7">
        <f t="shared" si="221"/>
        <v>0</v>
      </c>
      <c r="J353" s="7">
        <f t="shared" si="221"/>
        <v>0</v>
      </c>
      <c r="K353" s="7">
        <f t="shared" si="221"/>
        <v>20000</v>
      </c>
      <c r="L353" s="7">
        <f t="shared" si="221"/>
        <v>0</v>
      </c>
      <c r="M353" s="7">
        <f t="shared" si="208"/>
        <v>0</v>
      </c>
    </row>
    <row r="354" spans="1:13" ht="47.25" customHeight="1">
      <c r="A354" s="26" t="s">
        <v>185</v>
      </c>
      <c r="B354" s="42" t="s">
        <v>286</v>
      </c>
      <c r="C354" s="42" t="s">
        <v>265</v>
      </c>
      <c r="D354" s="21" t="s">
        <v>970</v>
      </c>
      <c r="E354" s="42" t="s">
        <v>186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f>'Прил.№4 ведомств.'!M974</f>
        <v>20000</v>
      </c>
      <c r="L354" s="7">
        <f>'Прил.№4 ведомств.'!N974</f>
        <v>0</v>
      </c>
      <c r="M354" s="7">
        <f t="shared" si="208"/>
        <v>0</v>
      </c>
    </row>
    <row r="355" spans="1:13" ht="63">
      <c r="A355" s="26" t="s">
        <v>997</v>
      </c>
      <c r="B355" s="42" t="s">
        <v>286</v>
      </c>
      <c r="C355" s="42" t="s">
        <v>265</v>
      </c>
      <c r="D355" s="21" t="s">
        <v>999</v>
      </c>
      <c r="E355" s="42"/>
      <c r="F355" s="7"/>
      <c r="G355" s="7"/>
      <c r="H355" s="7"/>
      <c r="I355" s="7"/>
      <c r="J355" s="7"/>
      <c r="K355" s="7">
        <f>K356</f>
        <v>2967.2</v>
      </c>
      <c r="L355" s="7">
        <f aca="true" t="shared" si="222" ref="L355:L356">L356</f>
        <v>0</v>
      </c>
      <c r="M355" s="7">
        <f t="shared" si="208"/>
        <v>0</v>
      </c>
    </row>
    <row r="356" spans="1:13" ht="31.5">
      <c r="A356" s="26" t="s">
        <v>183</v>
      </c>
      <c r="B356" s="42" t="s">
        <v>286</v>
      </c>
      <c r="C356" s="42" t="s">
        <v>265</v>
      </c>
      <c r="D356" s="21" t="s">
        <v>999</v>
      </c>
      <c r="E356" s="42" t="s">
        <v>184</v>
      </c>
      <c r="F356" s="7"/>
      <c r="G356" s="7"/>
      <c r="H356" s="7"/>
      <c r="I356" s="7"/>
      <c r="J356" s="7"/>
      <c r="K356" s="7">
        <f>K357</f>
        <v>2967.2</v>
      </c>
      <c r="L356" s="7">
        <f t="shared" si="222"/>
        <v>0</v>
      </c>
      <c r="M356" s="7">
        <f t="shared" si="208"/>
        <v>0</v>
      </c>
    </row>
    <row r="357" spans="1:13" ht="47.25">
      <c r="A357" s="26" t="s">
        <v>185</v>
      </c>
      <c r="B357" s="42" t="s">
        <v>286</v>
      </c>
      <c r="C357" s="42" t="s">
        <v>265</v>
      </c>
      <c r="D357" s="21" t="s">
        <v>999</v>
      </c>
      <c r="E357" s="42" t="s">
        <v>186</v>
      </c>
      <c r="F357" s="7"/>
      <c r="G357" s="7"/>
      <c r="H357" s="7"/>
      <c r="I357" s="7"/>
      <c r="J357" s="7"/>
      <c r="K357" s="7">
        <f>'Прил.№4 ведомств.'!M977</f>
        <v>2967.2</v>
      </c>
      <c r="L357" s="7">
        <f>'Прил.№4 ведомств.'!N977</f>
        <v>0</v>
      </c>
      <c r="M357" s="7">
        <f t="shared" si="208"/>
        <v>0</v>
      </c>
    </row>
    <row r="358" spans="1:13" ht="15.75">
      <c r="A358" s="43" t="s">
        <v>594</v>
      </c>
      <c r="B358" s="8" t="s">
        <v>286</v>
      </c>
      <c r="C358" s="8" t="s">
        <v>267</v>
      </c>
      <c r="D358" s="8"/>
      <c r="E358" s="8"/>
      <c r="F358" s="4">
        <f aca="true" t="shared" si="223" ref="F358:K358">F359+F394+F390</f>
        <v>25464.6</v>
      </c>
      <c r="G358" s="4">
        <f t="shared" si="223"/>
        <v>16228</v>
      </c>
      <c r="H358" s="4">
        <f t="shared" si="223"/>
        <v>19935.4</v>
      </c>
      <c r="I358" s="4">
        <f t="shared" si="223"/>
        <v>20104</v>
      </c>
      <c r="J358" s="4">
        <f t="shared" si="223"/>
        <v>22018.100000000002</v>
      </c>
      <c r="K358" s="4">
        <f t="shared" si="223"/>
        <v>26098.479999999996</v>
      </c>
      <c r="L358" s="4">
        <f aca="true" t="shared" si="224" ref="L358">L359+L394+L390</f>
        <v>3206.2999999999997</v>
      </c>
      <c r="M358" s="4">
        <f t="shared" si="208"/>
        <v>12.285389800478802</v>
      </c>
    </row>
    <row r="359" spans="1:13" ht="48" customHeight="1">
      <c r="A359" s="26" t="s">
        <v>595</v>
      </c>
      <c r="B359" s="42" t="s">
        <v>286</v>
      </c>
      <c r="C359" s="42" t="s">
        <v>267</v>
      </c>
      <c r="D359" s="42" t="s">
        <v>596</v>
      </c>
      <c r="E359" s="42"/>
      <c r="F359" s="7">
        <f aca="true" t="shared" si="225" ref="F359:K359">F360+F375</f>
        <v>12375.499999999998</v>
      </c>
      <c r="G359" s="7">
        <f t="shared" si="225"/>
        <v>3394.8</v>
      </c>
      <c r="H359" s="7">
        <f t="shared" si="225"/>
        <v>16123</v>
      </c>
      <c r="I359" s="7">
        <f t="shared" si="225"/>
        <v>16291.599999999999</v>
      </c>
      <c r="J359" s="7">
        <f t="shared" si="225"/>
        <v>18205.7</v>
      </c>
      <c r="K359" s="7">
        <f t="shared" si="225"/>
        <v>18293.899999999998</v>
      </c>
      <c r="L359" s="7">
        <f aca="true" t="shared" si="226" ref="L359">L360+L375</f>
        <v>3077.2999999999997</v>
      </c>
      <c r="M359" s="7">
        <f t="shared" si="208"/>
        <v>16.821454145917492</v>
      </c>
    </row>
    <row r="360" spans="1:13" ht="47.25">
      <c r="A360" s="26" t="s">
        <v>597</v>
      </c>
      <c r="B360" s="21" t="s">
        <v>286</v>
      </c>
      <c r="C360" s="21" t="s">
        <v>267</v>
      </c>
      <c r="D360" s="21" t="s">
        <v>598</v>
      </c>
      <c r="E360" s="21"/>
      <c r="F360" s="7">
        <f>F364+F361+F369</f>
        <v>8697.3</v>
      </c>
      <c r="G360" s="7">
        <f aca="true" t="shared" si="227" ref="G360:J360">G364+G361+G369</f>
        <v>1853.4</v>
      </c>
      <c r="H360" s="7">
        <f t="shared" si="227"/>
        <v>11055.8</v>
      </c>
      <c r="I360" s="7">
        <f t="shared" si="227"/>
        <v>10998</v>
      </c>
      <c r="J360" s="7">
        <f t="shared" si="227"/>
        <v>12675.6</v>
      </c>
      <c r="K360" s="7">
        <f>K364+K361+K369+K372</f>
        <v>13226.699999999999</v>
      </c>
      <c r="L360" s="7">
        <f aca="true" t="shared" si="228" ref="L360">L364+L361+L369+L372</f>
        <v>3062.2</v>
      </c>
      <c r="M360" s="7">
        <f t="shared" si="208"/>
        <v>23.151655363771763</v>
      </c>
    </row>
    <row r="361" spans="1:13" ht="24" customHeight="1">
      <c r="A361" s="26" t="s">
        <v>599</v>
      </c>
      <c r="B361" s="21" t="s">
        <v>286</v>
      </c>
      <c r="C361" s="21" t="s">
        <v>267</v>
      </c>
      <c r="D361" s="21" t="s">
        <v>600</v>
      </c>
      <c r="E361" s="21"/>
      <c r="F361" s="7">
        <f>F362</f>
        <v>253.4</v>
      </c>
      <c r="G361" s="7">
        <f aca="true" t="shared" si="229" ref="G361:L362">G362</f>
        <v>253.4</v>
      </c>
      <c r="H361" s="7">
        <f t="shared" si="229"/>
        <v>356</v>
      </c>
      <c r="I361" s="7">
        <f t="shared" si="229"/>
        <v>371</v>
      </c>
      <c r="J361" s="7">
        <f t="shared" si="229"/>
        <v>378</v>
      </c>
      <c r="K361" s="7">
        <f t="shared" si="229"/>
        <v>356</v>
      </c>
      <c r="L361" s="7">
        <f t="shared" si="229"/>
        <v>0</v>
      </c>
      <c r="M361" s="7">
        <f t="shared" si="208"/>
        <v>0</v>
      </c>
    </row>
    <row r="362" spans="1:13" ht="31.5">
      <c r="A362" s="26" t="s">
        <v>183</v>
      </c>
      <c r="B362" s="21" t="s">
        <v>286</v>
      </c>
      <c r="C362" s="21" t="s">
        <v>267</v>
      </c>
      <c r="D362" s="21" t="s">
        <v>600</v>
      </c>
      <c r="E362" s="21" t="s">
        <v>184</v>
      </c>
      <c r="F362" s="7">
        <f>F363</f>
        <v>253.4</v>
      </c>
      <c r="G362" s="7">
        <f t="shared" si="229"/>
        <v>253.4</v>
      </c>
      <c r="H362" s="7">
        <f t="shared" si="229"/>
        <v>356</v>
      </c>
      <c r="I362" s="7">
        <f t="shared" si="229"/>
        <v>371</v>
      </c>
      <c r="J362" s="7">
        <f t="shared" si="229"/>
        <v>378</v>
      </c>
      <c r="K362" s="7">
        <f t="shared" si="229"/>
        <v>356</v>
      </c>
      <c r="L362" s="7">
        <f t="shared" si="229"/>
        <v>0</v>
      </c>
      <c r="M362" s="7">
        <f t="shared" si="208"/>
        <v>0</v>
      </c>
    </row>
    <row r="363" spans="1:13" ht="47.25">
      <c r="A363" s="26" t="s">
        <v>185</v>
      </c>
      <c r="B363" s="21" t="s">
        <v>286</v>
      </c>
      <c r="C363" s="21" t="s">
        <v>267</v>
      </c>
      <c r="D363" s="21" t="s">
        <v>600</v>
      </c>
      <c r="E363" s="21" t="s">
        <v>186</v>
      </c>
      <c r="F363" s="7">
        <f>'Прил.№4 ведомств.'!G983</f>
        <v>253.4</v>
      </c>
      <c r="G363" s="7">
        <f>'Прил.№4 ведомств.'!I983</f>
        <v>253.4</v>
      </c>
      <c r="H363" s="7">
        <f>'Прил.№4 ведомств.'!J983</f>
        <v>356</v>
      </c>
      <c r="I363" s="7">
        <f>'Прил.№4 ведомств.'!K983</f>
        <v>371</v>
      </c>
      <c r="J363" s="7">
        <f>'Прил.№4 ведомств.'!L983</f>
        <v>378</v>
      </c>
      <c r="K363" s="7">
        <f>'Прил.№4 ведомств.'!M983</f>
        <v>356</v>
      </c>
      <c r="L363" s="7">
        <f>'Прил.№4 ведомств.'!N983</f>
        <v>0</v>
      </c>
      <c r="M363" s="7">
        <f t="shared" si="208"/>
        <v>0</v>
      </c>
    </row>
    <row r="364" spans="1:13" ht="15.75">
      <c r="A364" s="26" t="s">
        <v>601</v>
      </c>
      <c r="B364" s="21" t="s">
        <v>286</v>
      </c>
      <c r="C364" s="21" t="s">
        <v>267</v>
      </c>
      <c r="D364" s="21" t="s">
        <v>602</v>
      </c>
      <c r="E364" s="21"/>
      <c r="F364" s="7">
        <f>F365</f>
        <v>5258.6</v>
      </c>
      <c r="G364" s="7">
        <f aca="true" t="shared" si="230" ref="G364:L365">G365</f>
        <v>1500</v>
      </c>
      <c r="H364" s="7">
        <f t="shared" si="230"/>
        <v>6383</v>
      </c>
      <c r="I364" s="7">
        <f t="shared" si="230"/>
        <v>6266.6</v>
      </c>
      <c r="J364" s="7">
        <f t="shared" si="230"/>
        <v>6060</v>
      </c>
      <c r="K364" s="7">
        <f>K365+K367</f>
        <v>6383</v>
      </c>
      <c r="L364" s="7">
        <f aca="true" t="shared" si="231" ref="L364">L365+L367</f>
        <v>891.3</v>
      </c>
      <c r="M364" s="7">
        <f t="shared" si="208"/>
        <v>13.963653454488483</v>
      </c>
    </row>
    <row r="365" spans="1:13" ht="31.5">
      <c r="A365" s="26" t="s">
        <v>183</v>
      </c>
      <c r="B365" s="21" t="s">
        <v>286</v>
      </c>
      <c r="C365" s="21" t="s">
        <v>267</v>
      </c>
      <c r="D365" s="21" t="s">
        <v>602</v>
      </c>
      <c r="E365" s="21" t="s">
        <v>184</v>
      </c>
      <c r="F365" s="7">
        <f>F366</f>
        <v>5258.6</v>
      </c>
      <c r="G365" s="7">
        <f t="shared" si="230"/>
        <v>1500</v>
      </c>
      <c r="H365" s="7">
        <f t="shared" si="230"/>
        <v>6383</v>
      </c>
      <c r="I365" s="7">
        <f t="shared" si="230"/>
        <v>6266.6</v>
      </c>
      <c r="J365" s="7">
        <f t="shared" si="230"/>
        <v>6060</v>
      </c>
      <c r="K365" s="7">
        <f t="shared" si="230"/>
        <v>6342.1</v>
      </c>
      <c r="L365" s="7">
        <f t="shared" si="230"/>
        <v>853.8</v>
      </c>
      <c r="M365" s="7">
        <f t="shared" si="208"/>
        <v>13.462417811135111</v>
      </c>
    </row>
    <row r="366" spans="1:13" ht="47.25">
      <c r="A366" s="26" t="s">
        <v>185</v>
      </c>
      <c r="B366" s="21" t="s">
        <v>286</v>
      </c>
      <c r="C366" s="21" t="s">
        <v>267</v>
      </c>
      <c r="D366" s="21" t="s">
        <v>602</v>
      </c>
      <c r="E366" s="21" t="s">
        <v>186</v>
      </c>
      <c r="F366" s="7">
        <f>'Прил.№4 ведомств.'!G986</f>
        <v>5258.6</v>
      </c>
      <c r="G366" s="7">
        <f>'Прил.№4 ведомств.'!I986</f>
        <v>1500</v>
      </c>
      <c r="H366" s="7">
        <f>'Прил.№4 ведомств.'!J986</f>
        <v>6383</v>
      </c>
      <c r="I366" s="7">
        <f>'Прил.№4 ведомств.'!K986</f>
        <v>6266.6</v>
      </c>
      <c r="J366" s="7">
        <f>'Прил.№4 ведомств.'!L986</f>
        <v>6060</v>
      </c>
      <c r="K366" s="7">
        <f>'Прил.№4 ведомств.'!M986</f>
        <v>6342.1</v>
      </c>
      <c r="L366" s="7">
        <f>'Прил.№4 ведомств.'!N986</f>
        <v>853.8</v>
      </c>
      <c r="M366" s="7">
        <f t="shared" si="208"/>
        <v>13.462417811135111</v>
      </c>
    </row>
    <row r="367" spans="1:13" ht="15.75">
      <c r="A367" s="31" t="s">
        <v>187</v>
      </c>
      <c r="B367" s="21" t="s">
        <v>286</v>
      </c>
      <c r="C367" s="21" t="s">
        <v>267</v>
      </c>
      <c r="D367" s="21" t="s">
        <v>602</v>
      </c>
      <c r="E367" s="21" t="s">
        <v>197</v>
      </c>
      <c r="F367" s="7"/>
      <c r="G367" s="7"/>
      <c r="H367" s="7"/>
      <c r="I367" s="7"/>
      <c r="J367" s="7"/>
      <c r="K367" s="7">
        <f>K368</f>
        <v>40.9</v>
      </c>
      <c r="L367" s="7">
        <f aca="true" t="shared" si="232" ref="L367">L368</f>
        <v>37.5</v>
      </c>
      <c r="M367" s="7">
        <f t="shared" si="208"/>
        <v>91.68704156479218</v>
      </c>
    </row>
    <row r="368" spans="1:13" ht="15.75">
      <c r="A368" s="31" t="s">
        <v>621</v>
      </c>
      <c r="B368" s="21" t="s">
        <v>286</v>
      </c>
      <c r="C368" s="21" t="s">
        <v>267</v>
      </c>
      <c r="D368" s="21" t="s">
        <v>602</v>
      </c>
      <c r="E368" s="21" t="s">
        <v>190</v>
      </c>
      <c r="F368" s="7"/>
      <c r="G368" s="7"/>
      <c r="H368" s="7"/>
      <c r="I368" s="7"/>
      <c r="J368" s="7"/>
      <c r="K368" s="7">
        <f>'Прил.№4 ведомств.'!M988</f>
        <v>40.9</v>
      </c>
      <c r="L368" s="7">
        <f>'Прил.№4 ведомств.'!N988</f>
        <v>37.5</v>
      </c>
      <c r="M368" s="7">
        <f t="shared" si="208"/>
        <v>91.68704156479218</v>
      </c>
    </row>
    <row r="369" spans="1:13" ht="15.75">
      <c r="A369" s="26" t="s">
        <v>603</v>
      </c>
      <c r="B369" s="21" t="s">
        <v>286</v>
      </c>
      <c r="C369" s="21" t="s">
        <v>267</v>
      </c>
      <c r="D369" s="21" t="s">
        <v>604</v>
      </c>
      <c r="E369" s="21"/>
      <c r="F369" s="7">
        <f>F370</f>
        <v>3185.3</v>
      </c>
      <c r="G369" s="7">
        <f aca="true" t="shared" si="233" ref="G369:L370">G370</f>
        <v>100</v>
      </c>
      <c r="H369" s="7">
        <f t="shared" si="233"/>
        <v>4316.8</v>
      </c>
      <c r="I369" s="7">
        <f t="shared" si="233"/>
        <v>4360.4</v>
      </c>
      <c r="J369" s="7">
        <f t="shared" si="233"/>
        <v>6237.6</v>
      </c>
      <c r="K369" s="7">
        <f t="shared" si="233"/>
        <v>4316.8</v>
      </c>
      <c r="L369" s="7">
        <f t="shared" si="233"/>
        <v>0</v>
      </c>
      <c r="M369" s="7">
        <f t="shared" si="208"/>
        <v>0</v>
      </c>
    </row>
    <row r="370" spans="1:13" ht="31.5">
      <c r="A370" s="26" t="s">
        <v>183</v>
      </c>
      <c r="B370" s="21" t="s">
        <v>286</v>
      </c>
      <c r="C370" s="21" t="s">
        <v>267</v>
      </c>
      <c r="D370" s="21" t="s">
        <v>604</v>
      </c>
      <c r="E370" s="21" t="s">
        <v>184</v>
      </c>
      <c r="F370" s="7">
        <f>F371</f>
        <v>3185.3</v>
      </c>
      <c r="G370" s="7">
        <f t="shared" si="233"/>
        <v>100</v>
      </c>
      <c r="H370" s="7">
        <f t="shared" si="233"/>
        <v>4316.8</v>
      </c>
      <c r="I370" s="7">
        <f t="shared" si="233"/>
        <v>4360.4</v>
      </c>
      <c r="J370" s="7">
        <f t="shared" si="233"/>
        <v>6237.6</v>
      </c>
      <c r="K370" s="7">
        <f t="shared" si="233"/>
        <v>4316.8</v>
      </c>
      <c r="L370" s="7">
        <f t="shared" si="233"/>
        <v>0</v>
      </c>
      <c r="M370" s="7">
        <f t="shared" si="208"/>
        <v>0</v>
      </c>
    </row>
    <row r="371" spans="1:13" ht="47.25">
      <c r="A371" s="26" t="s">
        <v>185</v>
      </c>
      <c r="B371" s="21" t="s">
        <v>286</v>
      </c>
      <c r="C371" s="21" t="s">
        <v>267</v>
      </c>
      <c r="D371" s="21" t="s">
        <v>604</v>
      </c>
      <c r="E371" s="21" t="s">
        <v>186</v>
      </c>
      <c r="F371" s="7">
        <f>'Прил.№4 ведомств.'!G991</f>
        <v>3185.3</v>
      </c>
      <c r="G371" s="7">
        <f>'Прил.№4 ведомств.'!I991</f>
        <v>100</v>
      </c>
      <c r="H371" s="7">
        <f>'Прил.№4 ведомств.'!J991</f>
        <v>4316.8</v>
      </c>
      <c r="I371" s="7">
        <f>'Прил.№4 ведомств.'!K991</f>
        <v>4360.4</v>
      </c>
      <c r="J371" s="7">
        <f>'Прил.№4 ведомств.'!L991</f>
        <v>6237.6</v>
      </c>
      <c r="K371" s="7">
        <f>'Прил.№4 ведомств.'!M991</f>
        <v>4316.8</v>
      </c>
      <c r="L371" s="7">
        <f>'Прил.№4 ведомств.'!N991</f>
        <v>0</v>
      </c>
      <c r="M371" s="7">
        <f t="shared" si="208"/>
        <v>0</v>
      </c>
    </row>
    <row r="372" spans="1:13" ht="31.5">
      <c r="A372" s="26" t="s">
        <v>614</v>
      </c>
      <c r="B372" s="21" t="s">
        <v>286</v>
      </c>
      <c r="C372" s="21" t="s">
        <v>267</v>
      </c>
      <c r="D372" s="21" t="s">
        <v>978</v>
      </c>
      <c r="E372" s="21"/>
      <c r="F372" s="7"/>
      <c r="G372" s="7"/>
      <c r="H372" s="7"/>
      <c r="I372" s="7"/>
      <c r="J372" s="7"/>
      <c r="K372" s="7">
        <f>K373</f>
        <v>2170.9</v>
      </c>
      <c r="L372" s="7">
        <f aca="true" t="shared" si="234" ref="L372:L373">L373</f>
        <v>2170.9</v>
      </c>
      <c r="M372" s="7">
        <f t="shared" si="208"/>
        <v>100</v>
      </c>
    </row>
    <row r="373" spans="1:13" ht="31.5">
      <c r="A373" s="26" t="s">
        <v>183</v>
      </c>
      <c r="B373" s="21" t="s">
        <v>286</v>
      </c>
      <c r="C373" s="21" t="s">
        <v>267</v>
      </c>
      <c r="D373" s="21" t="s">
        <v>978</v>
      </c>
      <c r="E373" s="21" t="s">
        <v>184</v>
      </c>
      <c r="F373" s="7"/>
      <c r="G373" s="7"/>
      <c r="H373" s="7"/>
      <c r="I373" s="7"/>
      <c r="J373" s="7"/>
      <c r="K373" s="7">
        <f>K374</f>
        <v>2170.9</v>
      </c>
      <c r="L373" s="7">
        <f t="shared" si="234"/>
        <v>2170.9</v>
      </c>
      <c r="M373" s="7">
        <f t="shared" si="208"/>
        <v>100</v>
      </c>
    </row>
    <row r="374" spans="1:13" ht="47.25">
      <c r="A374" s="26" t="s">
        <v>185</v>
      </c>
      <c r="B374" s="21" t="s">
        <v>286</v>
      </c>
      <c r="C374" s="21" t="s">
        <v>267</v>
      </c>
      <c r="D374" s="21" t="s">
        <v>978</v>
      </c>
      <c r="E374" s="21" t="s">
        <v>186</v>
      </c>
      <c r="F374" s="7"/>
      <c r="G374" s="7"/>
      <c r="H374" s="7"/>
      <c r="I374" s="7"/>
      <c r="J374" s="7"/>
      <c r="K374" s="7">
        <f>'Прил.№4 ведомств.'!M994</f>
        <v>2170.9</v>
      </c>
      <c r="L374" s="7">
        <f>'Прил.№4 ведомств.'!N994</f>
        <v>2170.9</v>
      </c>
      <c r="M374" s="7">
        <f t="shared" si="208"/>
        <v>100</v>
      </c>
    </row>
    <row r="375" spans="1:13" ht="47.25">
      <c r="A375" s="26" t="s">
        <v>605</v>
      </c>
      <c r="B375" s="21" t="s">
        <v>286</v>
      </c>
      <c r="C375" s="21" t="s">
        <v>267</v>
      </c>
      <c r="D375" s="21" t="s">
        <v>606</v>
      </c>
      <c r="E375" s="21"/>
      <c r="F375" s="7">
        <f>F376+F381+F384+F387</f>
        <v>3678.1999999999994</v>
      </c>
      <c r="G375" s="7">
        <f aca="true" t="shared" si="235" ref="G375:K375">G376+G381+G384+G387</f>
        <v>1541.4</v>
      </c>
      <c r="H375" s="7">
        <f>H376+H381+H384+H387</f>
        <v>5067.2</v>
      </c>
      <c r="I375" s="7">
        <f t="shared" si="235"/>
        <v>5293.599999999999</v>
      </c>
      <c r="J375" s="7">
        <f t="shared" si="235"/>
        <v>5530.099999999999</v>
      </c>
      <c r="K375" s="7">
        <f t="shared" si="235"/>
        <v>5067.2</v>
      </c>
      <c r="L375" s="7">
        <f aca="true" t="shared" si="236" ref="L375">L376+L381+L384+L387</f>
        <v>15.1</v>
      </c>
      <c r="M375" s="7">
        <f t="shared" si="208"/>
        <v>0.297994947900221</v>
      </c>
    </row>
    <row r="376" spans="1:13" ht="15.75">
      <c r="A376" s="26" t="s">
        <v>603</v>
      </c>
      <c r="B376" s="21" t="s">
        <v>286</v>
      </c>
      <c r="C376" s="21" t="s">
        <v>267</v>
      </c>
      <c r="D376" s="21" t="s">
        <v>607</v>
      </c>
      <c r="E376" s="21"/>
      <c r="F376" s="7">
        <f>F377+F379</f>
        <v>1112.3999999999999</v>
      </c>
      <c r="G376" s="7">
        <f aca="true" t="shared" si="237" ref="G376:K376">G377+G379</f>
        <v>992.8</v>
      </c>
      <c r="H376" s="7">
        <f t="shared" si="237"/>
        <v>1364</v>
      </c>
      <c r="I376" s="7">
        <f t="shared" si="237"/>
        <v>1430.3</v>
      </c>
      <c r="J376" s="7">
        <f t="shared" si="237"/>
        <v>1500</v>
      </c>
      <c r="K376" s="7">
        <f t="shared" si="237"/>
        <v>1364</v>
      </c>
      <c r="L376" s="7">
        <f aca="true" t="shared" si="238" ref="L376">L377+L379</f>
        <v>0</v>
      </c>
      <c r="M376" s="7">
        <f t="shared" si="208"/>
        <v>0</v>
      </c>
    </row>
    <row r="377" spans="1:13" ht="78.75" hidden="1">
      <c r="A377" s="26" t="s">
        <v>179</v>
      </c>
      <c r="B377" s="21" t="s">
        <v>286</v>
      </c>
      <c r="C377" s="21" t="s">
        <v>267</v>
      </c>
      <c r="D377" s="21" t="s">
        <v>607</v>
      </c>
      <c r="E377" s="21" t="s">
        <v>180</v>
      </c>
      <c r="F377" s="7">
        <f>F378</f>
        <v>892.8</v>
      </c>
      <c r="G377" s="7">
        <f aca="true" t="shared" si="239" ref="G377:L377">G378</f>
        <v>892.8</v>
      </c>
      <c r="H377" s="7">
        <f t="shared" si="239"/>
        <v>0</v>
      </c>
      <c r="I377" s="7">
        <f t="shared" si="239"/>
        <v>0</v>
      </c>
      <c r="J377" s="7">
        <f t="shared" si="239"/>
        <v>0</v>
      </c>
      <c r="K377" s="7">
        <f t="shared" si="239"/>
        <v>0</v>
      </c>
      <c r="L377" s="7">
        <f t="shared" si="239"/>
        <v>0</v>
      </c>
      <c r="M377" s="7" t="e">
        <f t="shared" si="208"/>
        <v>#DIV/0!</v>
      </c>
    </row>
    <row r="378" spans="1:13" ht="31.5" hidden="1">
      <c r="A378" s="48" t="s">
        <v>394</v>
      </c>
      <c r="B378" s="21" t="s">
        <v>286</v>
      </c>
      <c r="C378" s="21" t="s">
        <v>267</v>
      </c>
      <c r="D378" s="21" t="s">
        <v>607</v>
      </c>
      <c r="E378" s="21" t="s">
        <v>261</v>
      </c>
      <c r="F378" s="7">
        <f>'Прил.№4 ведомств.'!G998</f>
        <v>892.8</v>
      </c>
      <c r="G378" s="7">
        <f>'Прил.№4 ведомств.'!I998</f>
        <v>892.8</v>
      </c>
      <c r="H378" s="7">
        <f>'Прил.№4 ведомств.'!J998</f>
        <v>0</v>
      </c>
      <c r="I378" s="7">
        <f>'Прил.№4 ведомств.'!K998</f>
        <v>0</v>
      </c>
      <c r="J378" s="7">
        <f>'Прил.№4 ведомств.'!L998</f>
        <v>0</v>
      </c>
      <c r="K378" s="7">
        <f>'Прил.№4 ведомств.'!M998</f>
        <v>0</v>
      </c>
      <c r="L378" s="7">
        <f>'Прил.№4 ведомств.'!N998</f>
        <v>0</v>
      </c>
      <c r="M378" s="7" t="e">
        <f t="shared" si="208"/>
        <v>#DIV/0!</v>
      </c>
    </row>
    <row r="379" spans="1:13" ht="31.5">
      <c r="A379" s="26" t="s">
        <v>183</v>
      </c>
      <c r="B379" s="21" t="s">
        <v>286</v>
      </c>
      <c r="C379" s="21" t="s">
        <v>267</v>
      </c>
      <c r="D379" s="21" t="s">
        <v>607</v>
      </c>
      <c r="E379" s="21" t="s">
        <v>184</v>
      </c>
      <c r="F379" s="7">
        <f>F380</f>
        <v>219.6</v>
      </c>
      <c r="G379" s="7">
        <f aca="true" t="shared" si="240" ref="G379:L379">G380</f>
        <v>100</v>
      </c>
      <c r="H379" s="7">
        <f t="shared" si="240"/>
        <v>1364</v>
      </c>
      <c r="I379" s="7">
        <f t="shared" si="240"/>
        <v>1430.3</v>
      </c>
      <c r="J379" s="7">
        <f t="shared" si="240"/>
        <v>1500</v>
      </c>
      <c r="K379" s="7">
        <f t="shared" si="240"/>
        <v>1364</v>
      </c>
      <c r="L379" s="7">
        <f t="shared" si="240"/>
        <v>0</v>
      </c>
      <c r="M379" s="7">
        <f t="shared" si="208"/>
        <v>0</v>
      </c>
    </row>
    <row r="380" spans="1:13" ht="47.25">
      <c r="A380" s="26" t="s">
        <v>185</v>
      </c>
      <c r="B380" s="21" t="s">
        <v>286</v>
      </c>
      <c r="C380" s="21" t="s">
        <v>267</v>
      </c>
      <c r="D380" s="21" t="s">
        <v>607</v>
      </c>
      <c r="E380" s="21" t="s">
        <v>186</v>
      </c>
      <c r="F380" s="7">
        <f>'Прил.№4 ведомств.'!G1000</f>
        <v>219.6</v>
      </c>
      <c r="G380" s="7">
        <f>'Прил.№4 ведомств.'!I1000</f>
        <v>100</v>
      </c>
      <c r="H380" s="7">
        <f>'Прил.№4 ведомств.'!J1000</f>
        <v>1364</v>
      </c>
      <c r="I380" s="7">
        <f>'Прил.№4 ведомств.'!K1000</f>
        <v>1430.3</v>
      </c>
      <c r="J380" s="7">
        <f>'Прил.№4 ведомств.'!L1000</f>
        <v>1500</v>
      </c>
      <c r="K380" s="7">
        <f>'Прил.№4 ведомств.'!M1000</f>
        <v>1364</v>
      </c>
      <c r="L380" s="7">
        <f>'Прил.№4 ведомств.'!N1000</f>
        <v>0</v>
      </c>
      <c r="M380" s="7">
        <f t="shared" si="208"/>
        <v>0</v>
      </c>
    </row>
    <row r="381" spans="1:13" ht="15.75">
      <c r="A381" s="26" t="s">
        <v>608</v>
      </c>
      <c r="B381" s="21" t="s">
        <v>286</v>
      </c>
      <c r="C381" s="21" t="s">
        <v>267</v>
      </c>
      <c r="D381" s="21" t="s">
        <v>609</v>
      </c>
      <c r="E381" s="21"/>
      <c r="F381" s="7">
        <f>F382</f>
        <v>86.6</v>
      </c>
      <c r="G381" s="7">
        <f aca="true" t="shared" si="241" ref="G381:L382">G382</f>
        <v>0</v>
      </c>
      <c r="H381" s="7">
        <f t="shared" si="241"/>
        <v>115.8</v>
      </c>
      <c r="I381" s="7">
        <f t="shared" si="241"/>
        <v>121.6</v>
      </c>
      <c r="J381" s="7">
        <f t="shared" si="241"/>
        <v>127.6</v>
      </c>
      <c r="K381" s="7">
        <f t="shared" si="241"/>
        <v>115.8</v>
      </c>
      <c r="L381" s="7">
        <f t="shared" si="241"/>
        <v>0</v>
      </c>
      <c r="M381" s="7">
        <f t="shared" si="208"/>
        <v>0</v>
      </c>
    </row>
    <row r="382" spans="1:13" ht="31.5">
      <c r="A382" s="26" t="s">
        <v>183</v>
      </c>
      <c r="B382" s="21" t="s">
        <v>286</v>
      </c>
      <c r="C382" s="21" t="s">
        <v>267</v>
      </c>
      <c r="D382" s="21" t="s">
        <v>609</v>
      </c>
      <c r="E382" s="21" t="s">
        <v>184</v>
      </c>
      <c r="F382" s="7">
        <f>F383</f>
        <v>86.6</v>
      </c>
      <c r="G382" s="7">
        <f t="shared" si="241"/>
        <v>0</v>
      </c>
      <c r="H382" s="7">
        <f t="shared" si="241"/>
        <v>115.8</v>
      </c>
      <c r="I382" s="7">
        <f t="shared" si="241"/>
        <v>121.6</v>
      </c>
      <c r="J382" s="7">
        <f t="shared" si="241"/>
        <v>127.6</v>
      </c>
      <c r="K382" s="7">
        <f t="shared" si="241"/>
        <v>115.8</v>
      </c>
      <c r="L382" s="7">
        <f t="shared" si="241"/>
        <v>0</v>
      </c>
      <c r="M382" s="7">
        <f t="shared" si="208"/>
        <v>0</v>
      </c>
    </row>
    <row r="383" spans="1:13" ht="47.25">
      <c r="A383" s="26" t="s">
        <v>185</v>
      </c>
      <c r="B383" s="21" t="s">
        <v>286</v>
      </c>
      <c r="C383" s="21" t="s">
        <v>267</v>
      </c>
      <c r="D383" s="21" t="s">
        <v>609</v>
      </c>
      <c r="E383" s="21" t="s">
        <v>186</v>
      </c>
      <c r="F383" s="7">
        <f>'Прил.№4 ведомств.'!G1003</f>
        <v>86.6</v>
      </c>
      <c r="G383" s="7">
        <f>'Прил.№4 ведомств.'!I1003</f>
        <v>0</v>
      </c>
      <c r="H383" s="7">
        <f>'Прил.№4 ведомств.'!J1003</f>
        <v>115.8</v>
      </c>
      <c r="I383" s="7">
        <f>'Прил.№4 ведомств.'!K1003</f>
        <v>121.6</v>
      </c>
      <c r="J383" s="7">
        <f>'Прил.№4 ведомств.'!L1003</f>
        <v>127.6</v>
      </c>
      <c r="K383" s="7">
        <f>'Прил.№4 ведомств.'!M1003</f>
        <v>115.8</v>
      </c>
      <c r="L383" s="7">
        <f>'Прил.№4 ведомств.'!N1003</f>
        <v>0</v>
      </c>
      <c r="M383" s="7">
        <f t="shared" si="208"/>
        <v>0</v>
      </c>
    </row>
    <row r="384" spans="1:13" ht="47.25">
      <c r="A384" s="122" t="s">
        <v>610</v>
      </c>
      <c r="B384" s="21" t="s">
        <v>286</v>
      </c>
      <c r="C384" s="21" t="s">
        <v>267</v>
      </c>
      <c r="D384" s="21" t="s">
        <v>611</v>
      </c>
      <c r="E384" s="21"/>
      <c r="F384" s="7">
        <f>F385</f>
        <v>2130.6</v>
      </c>
      <c r="G384" s="7">
        <f aca="true" t="shared" si="242" ref="G384:L385">G385</f>
        <v>200</v>
      </c>
      <c r="H384" s="7">
        <f t="shared" si="242"/>
        <v>3124.2</v>
      </c>
      <c r="I384" s="7">
        <f t="shared" si="242"/>
        <v>3258.5</v>
      </c>
      <c r="J384" s="7">
        <f t="shared" si="242"/>
        <v>3398.6</v>
      </c>
      <c r="K384" s="7">
        <f t="shared" si="242"/>
        <v>3124.2</v>
      </c>
      <c r="L384" s="7">
        <f t="shared" si="242"/>
        <v>0</v>
      </c>
      <c r="M384" s="7">
        <f t="shared" si="208"/>
        <v>0</v>
      </c>
    </row>
    <row r="385" spans="1:13" ht="31.5">
      <c r="A385" s="26" t="s">
        <v>183</v>
      </c>
      <c r="B385" s="21" t="s">
        <v>286</v>
      </c>
      <c r="C385" s="21" t="s">
        <v>267</v>
      </c>
      <c r="D385" s="21" t="s">
        <v>611</v>
      </c>
      <c r="E385" s="21" t="s">
        <v>184</v>
      </c>
      <c r="F385" s="7">
        <f>F386</f>
        <v>2130.6</v>
      </c>
      <c r="G385" s="7">
        <f t="shared" si="242"/>
        <v>200</v>
      </c>
      <c r="H385" s="7">
        <f t="shared" si="242"/>
        <v>3124.2</v>
      </c>
      <c r="I385" s="7">
        <f t="shared" si="242"/>
        <v>3258.5</v>
      </c>
      <c r="J385" s="7">
        <f t="shared" si="242"/>
        <v>3398.6</v>
      </c>
      <c r="K385" s="7">
        <f t="shared" si="242"/>
        <v>3124.2</v>
      </c>
      <c r="L385" s="7">
        <f t="shared" si="242"/>
        <v>0</v>
      </c>
      <c r="M385" s="7">
        <f t="shared" si="208"/>
        <v>0</v>
      </c>
    </row>
    <row r="386" spans="1:13" ht="47.25">
      <c r="A386" s="26" t="s">
        <v>185</v>
      </c>
      <c r="B386" s="21" t="s">
        <v>286</v>
      </c>
      <c r="C386" s="21" t="s">
        <v>267</v>
      </c>
      <c r="D386" s="21" t="s">
        <v>611</v>
      </c>
      <c r="E386" s="21" t="s">
        <v>186</v>
      </c>
      <c r="F386" s="7">
        <f>'Прил.№4 ведомств.'!G1006</f>
        <v>2130.6</v>
      </c>
      <c r="G386" s="7">
        <f>'Прил.№4 ведомств.'!I1006</f>
        <v>200</v>
      </c>
      <c r="H386" s="7">
        <f>'Прил.№4 ведомств.'!J1006</f>
        <v>3124.2</v>
      </c>
      <c r="I386" s="7">
        <f>'Прил.№4 ведомств.'!K1006</f>
        <v>3258.5</v>
      </c>
      <c r="J386" s="7">
        <f>'Прил.№4 ведомств.'!L1006</f>
        <v>3398.6</v>
      </c>
      <c r="K386" s="7">
        <f>'Прил.№4 ведомств.'!M1006</f>
        <v>3124.2</v>
      </c>
      <c r="L386" s="7">
        <f>'Прил.№4 ведомств.'!N1006</f>
        <v>0</v>
      </c>
      <c r="M386" s="7">
        <f t="shared" si="208"/>
        <v>0</v>
      </c>
    </row>
    <row r="387" spans="1:13" ht="15.75">
      <c r="A387" s="122" t="s">
        <v>612</v>
      </c>
      <c r="B387" s="21" t="s">
        <v>286</v>
      </c>
      <c r="C387" s="21" t="s">
        <v>267</v>
      </c>
      <c r="D387" s="21" t="s">
        <v>613</v>
      </c>
      <c r="E387" s="21"/>
      <c r="F387" s="7">
        <f>F388</f>
        <v>348.6</v>
      </c>
      <c r="G387" s="7">
        <f aca="true" t="shared" si="243" ref="G387:L388">G388</f>
        <v>348.6</v>
      </c>
      <c r="H387" s="7">
        <f t="shared" si="243"/>
        <v>463.2</v>
      </c>
      <c r="I387" s="7">
        <f t="shared" si="243"/>
        <v>483.2</v>
      </c>
      <c r="J387" s="7">
        <f t="shared" si="243"/>
        <v>503.9</v>
      </c>
      <c r="K387" s="7">
        <f t="shared" si="243"/>
        <v>463.2</v>
      </c>
      <c r="L387" s="7">
        <f t="shared" si="243"/>
        <v>15.1</v>
      </c>
      <c r="M387" s="7">
        <f t="shared" si="208"/>
        <v>3.25993091537133</v>
      </c>
    </row>
    <row r="388" spans="1:13" ht="31.5">
      <c r="A388" s="26" t="s">
        <v>183</v>
      </c>
      <c r="B388" s="21" t="s">
        <v>286</v>
      </c>
      <c r="C388" s="21" t="s">
        <v>267</v>
      </c>
      <c r="D388" s="21" t="s">
        <v>613</v>
      </c>
      <c r="E388" s="21" t="s">
        <v>184</v>
      </c>
      <c r="F388" s="7">
        <f>F389</f>
        <v>348.6</v>
      </c>
      <c r="G388" s="7">
        <f t="shared" si="243"/>
        <v>348.6</v>
      </c>
      <c r="H388" s="7">
        <f t="shared" si="243"/>
        <v>463.2</v>
      </c>
      <c r="I388" s="7">
        <f t="shared" si="243"/>
        <v>483.2</v>
      </c>
      <c r="J388" s="7">
        <f t="shared" si="243"/>
        <v>503.9</v>
      </c>
      <c r="K388" s="7">
        <f t="shared" si="243"/>
        <v>463.2</v>
      </c>
      <c r="L388" s="7">
        <f t="shared" si="243"/>
        <v>15.1</v>
      </c>
      <c r="M388" s="7">
        <f t="shared" si="208"/>
        <v>3.25993091537133</v>
      </c>
    </row>
    <row r="389" spans="1:13" ht="47.25">
      <c r="A389" s="26" t="s">
        <v>185</v>
      </c>
      <c r="B389" s="21" t="s">
        <v>286</v>
      </c>
      <c r="C389" s="21" t="s">
        <v>267</v>
      </c>
      <c r="D389" s="21" t="s">
        <v>613</v>
      </c>
      <c r="E389" s="21" t="s">
        <v>186</v>
      </c>
      <c r="F389" s="7">
        <f>'Прил.№4 ведомств.'!G1009</f>
        <v>348.6</v>
      </c>
      <c r="G389" s="7">
        <f>'Прил.№4 ведомств.'!I1009</f>
        <v>348.6</v>
      </c>
      <c r="H389" s="7">
        <f>'Прил.№4 ведомств.'!J1009</f>
        <v>463.2</v>
      </c>
      <c r="I389" s="7">
        <f>'Прил.№4 ведомств.'!K1009</f>
        <v>483.2</v>
      </c>
      <c r="J389" s="7">
        <f>'Прил.№4 ведомств.'!L1009</f>
        <v>503.9</v>
      </c>
      <c r="K389" s="7">
        <f>'Прил.№4 ведомств.'!M1009</f>
        <v>463.2</v>
      </c>
      <c r="L389" s="7">
        <f>'Прил.№4 ведомств.'!N1009</f>
        <v>15.1</v>
      </c>
      <c r="M389" s="7">
        <f t="shared" si="208"/>
        <v>3.25993091537133</v>
      </c>
    </row>
    <row r="390" spans="1:13" ht="63">
      <c r="A390" s="26" t="s">
        <v>1016</v>
      </c>
      <c r="B390" s="21" t="s">
        <v>286</v>
      </c>
      <c r="C390" s="21" t="s">
        <v>267</v>
      </c>
      <c r="D390" s="21" t="s">
        <v>809</v>
      </c>
      <c r="E390" s="21"/>
      <c r="F390" s="7">
        <f>F391</f>
        <v>600</v>
      </c>
      <c r="G390" s="7">
        <f aca="true" t="shared" si="244" ref="G390:L392">G391</f>
        <v>600</v>
      </c>
      <c r="H390" s="7">
        <f t="shared" si="244"/>
        <v>0</v>
      </c>
      <c r="I390" s="7">
        <f t="shared" si="244"/>
        <v>0</v>
      </c>
      <c r="J390" s="7">
        <f t="shared" si="244"/>
        <v>0</v>
      </c>
      <c r="K390" s="7">
        <f t="shared" si="244"/>
        <v>500</v>
      </c>
      <c r="L390" s="7">
        <f t="shared" si="244"/>
        <v>0</v>
      </c>
      <c r="M390" s="7">
        <f t="shared" si="208"/>
        <v>0</v>
      </c>
    </row>
    <row r="391" spans="1:13" ht="31.5">
      <c r="A391" s="150" t="s">
        <v>808</v>
      </c>
      <c r="B391" s="21" t="s">
        <v>286</v>
      </c>
      <c r="C391" s="21" t="s">
        <v>267</v>
      </c>
      <c r="D391" s="21" t="s">
        <v>810</v>
      </c>
      <c r="E391" s="21"/>
      <c r="F391" s="7">
        <f>F392</f>
        <v>600</v>
      </c>
      <c r="G391" s="7">
        <f t="shared" si="244"/>
        <v>600</v>
      </c>
      <c r="H391" s="7">
        <f t="shared" si="244"/>
        <v>0</v>
      </c>
      <c r="I391" s="7">
        <f t="shared" si="244"/>
        <v>0</v>
      </c>
      <c r="J391" s="7">
        <f t="shared" si="244"/>
        <v>0</v>
      </c>
      <c r="K391" s="7">
        <f t="shared" si="244"/>
        <v>500</v>
      </c>
      <c r="L391" s="7">
        <f t="shared" si="244"/>
        <v>0</v>
      </c>
      <c r="M391" s="7">
        <f t="shared" si="208"/>
        <v>0</v>
      </c>
    </row>
    <row r="392" spans="1:13" ht="31.5">
      <c r="A392" s="26" t="s">
        <v>183</v>
      </c>
      <c r="B392" s="21" t="s">
        <v>286</v>
      </c>
      <c r="C392" s="21" t="s">
        <v>267</v>
      </c>
      <c r="D392" s="21" t="s">
        <v>810</v>
      </c>
      <c r="E392" s="21" t="s">
        <v>184</v>
      </c>
      <c r="F392" s="7">
        <f>F393</f>
        <v>600</v>
      </c>
      <c r="G392" s="7">
        <f t="shared" si="244"/>
        <v>600</v>
      </c>
      <c r="H392" s="7">
        <f t="shared" si="244"/>
        <v>0</v>
      </c>
      <c r="I392" s="7">
        <f t="shared" si="244"/>
        <v>0</v>
      </c>
      <c r="J392" s="7">
        <f t="shared" si="244"/>
        <v>0</v>
      </c>
      <c r="K392" s="7">
        <f t="shared" si="244"/>
        <v>500</v>
      </c>
      <c r="L392" s="7">
        <f t="shared" si="244"/>
        <v>0</v>
      </c>
      <c r="M392" s="7">
        <f t="shared" si="208"/>
        <v>0</v>
      </c>
    </row>
    <row r="393" spans="1:13" ht="47.25">
      <c r="A393" s="26" t="s">
        <v>185</v>
      </c>
      <c r="B393" s="21" t="s">
        <v>286</v>
      </c>
      <c r="C393" s="21" t="s">
        <v>267</v>
      </c>
      <c r="D393" s="21" t="s">
        <v>810</v>
      </c>
      <c r="E393" s="21" t="s">
        <v>186</v>
      </c>
      <c r="F393" s="7">
        <f>'Прил.№4 ведомств.'!G1013</f>
        <v>600</v>
      </c>
      <c r="G393" s="7">
        <f>'Прил.№4 ведомств.'!I1013</f>
        <v>600</v>
      </c>
      <c r="H393" s="7">
        <f>'Прил.№4 ведомств.'!J1013</f>
        <v>0</v>
      </c>
      <c r="I393" s="7">
        <f>'Прил.№4 ведомств.'!K1013</f>
        <v>0</v>
      </c>
      <c r="J393" s="7">
        <f>'Прил.№4 ведомств.'!L1013</f>
        <v>0</v>
      </c>
      <c r="K393" s="7">
        <f>'Прил.№4 ведомств.'!M1013</f>
        <v>500</v>
      </c>
      <c r="L393" s="7">
        <f>'Прил.№4 ведомств.'!N1013</f>
        <v>0</v>
      </c>
      <c r="M393" s="7">
        <f t="shared" si="208"/>
        <v>0</v>
      </c>
    </row>
    <row r="394" spans="1:13" ht="15.75">
      <c r="A394" s="31" t="s">
        <v>173</v>
      </c>
      <c r="B394" s="42" t="s">
        <v>286</v>
      </c>
      <c r="C394" s="42" t="s">
        <v>267</v>
      </c>
      <c r="D394" s="42" t="s">
        <v>174</v>
      </c>
      <c r="E394" s="8"/>
      <c r="F394" s="7">
        <f>F395+F408</f>
        <v>12489.099999999999</v>
      </c>
      <c r="G394" s="7">
        <f aca="true" t="shared" si="245" ref="G394:K394">G395+G408</f>
        <v>12233.199999999999</v>
      </c>
      <c r="H394" s="7">
        <f t="shared" si="245"/>
        <v>3812.4</v>
      </c>
      <c r="I394" s="7">
        <f t="shared" si="245"/>
        <v>3812.4</v>
      </c>
      <c r="J394" s="7">
        <f t="shared" si="245"/>
        <v>3812.4</v>
      </c>
      <c r="K394" s="7">
        <f t="shared" si="245"/>
        <v>7304.58</v>
      </c>
      <c r="L394" s="7">
        <f aca="true" t="shared" si="246" ref="L394">L395+L408</f>
        <v>129</v>
      </c>
      <c r="M394" s="7">
        <f t="shared" si="208"/>
        <v>1.7660152945138528</v>
      </c>
    </row>
    <row r="395" spans="1:13" ht="31.5">
      <c r="A395" s="31" t="s">
        <v>237</v>
      </c>
      <c r="B395" s="42" t="s">
        <v>286</v>
      </c>
      <c r="C395" s="42" t="s">
        <v>267</v>
      </c>
      <c r="D395" s="42" t="s">
        <v>238</v>
      </c>
      <c r="E395" s="8"/>
      <c r="F395" s="7">
        <f>F396+F399+F402+F405</f>
        <v>12033.199999999999</v>
      </c>
      <c r="G395" s="7">
        <f aca="true" t="shared" si="247" ref="G395:K395">G396+G399+G402+G405</f>
        <v>12033.199999999999</v>
      </c>
      <c r="H395" s="7">
        <f t="shared" si="247"/>
        <v>0</v>
      </c>
      <c r="I395" s="7">
        <f t="shared" si="247"/>
        <v>0</v>
      </c>
      <c r="J395" s="7">
        <f t="shared" si="247"/>
        <v>0</v>
      </c>
      <c r="K395" s="7">
        <f t="shared" si="247"/>
        <v>3809.08</v>
      </c>
      <c r="L395" s="7">
        <f aca="true" t="shared" si="248" ref="L395">L396+L399+L402+L405</f>
        <v>129</v>
      </c>
      <c r="M395" s="7">
        <f t="shared" si="208"/>
        <v>3.3866445440893864</v>
      </c>
    </row>
    <row r="396" spans="1:13" ht="35.25" customHeight="1" hidden="1">
      <c r="A396" s="48" t="s">
        <v>614</v>
      </c>
      <c r="B396" s="42" t="s">
        <v>286</v>
      </c>
      <c r="C396" s="42" t="s">
        <v>267</v>
      </c>
      <c r="D396" s="42" t="s">
        <v>615</v>
      </c>
      <c r="E396" s="8"/>
      <c r="F396" s="7">
        <f>F397</f>
        <v>6302.4</v>
      </c>
      <c r="G396" s="7">
        <f aca="true" t="shared" si="249" ref="G396:L397">G397</f>
        <v>6302.4</v>
      </c>
      <c r="H396" s="7">
        <f t="shared" si="249"/>
        <v>0</v>
      </c>
      <c r="I396" s="7">
        <f t="shared" si="249"/>
        <v>0</v>
      </c>
      <c r="J396" s="7">
        <f t="shared" si="249"/>
        <v>0</v>
      </c>
      <c r="K396" s="7">
        <f t="shared" si="249"/>
        <v>0</v>
      </c>
      <c r="L396" s="7">
        <f t="shared" si="249"/>
        <v>0</v>
      </c>
      <c r="M396" s="7" t="e">
        <f t="shared" si="208"/>
        <v>#DIV/0!</v>
      </c>
    </row>
    <row r="397" spans="1:13" ht="31.5" hidden="1">
      <c r="A397" s="31" t="s">
        <v>183</v>
      </c>
      <c r="B397" s="42" t="s">
        <v>286</v>
      </c>
      <c r="C397" s="42" t="s">
        <v>267</v>
      </c>
      <c r="D397" s="42" t="s">
        <v>615</v>
      </c>
      <c r="E397" s="42" t="s">
        <v>184</v>
      </c>
      <c r="F397" s="7">
        <f>F398</f>
        <v>6302.4</v>
      </c>
      <c r="G397" s="7">
        <f t="shared" si="249"/>
        <v>6302.4</v>
      </c>
      <c r="H397" s="7">
        <f t="shared" si="249"/>
        <v>0</v>
      </c>
      <c r="I397" s="7">
        <f t="shared" si="249"/>
        <v>0</v>
      </c>
      <c r="J397" s="7">
        <f t="shared" si="249"/>
        <v>0</v>
      </c>
      <c r="K397" s="7">
        <f t="shared" si="249"/>
        <v>0</v>
      </c>
      <c r="L397" s="7">
        <f t="shared" si="249"/>
        <v>0</v>
      </c>
      <c r="M397" s="7" t="e">
        <f aca="true" t="shared" si="250" ref="M397:M460">L397/K397*100</f>
        <v>#DIV/0!</v>
      </c>
    </row>
    <row r="398" spans="1:13" ht="47.25" hidden="1">
      <c r="A398" s="31" t="s">
        <v>185</v>
      </c>
      <c r="B398" s="42" t="s">
        <v>286</v>
      </c>
      <c r="C398" s="42" t="s">
        <v>267</v>
      </c>
      <c r="D398" s="42" t="s">
        <v>615</v>
      </c>
      <c r="E398" s="42" t="s">
        <v>186</v>
      </c>
      <c r="F398" s="7">
        <f>'Прил.№4 ведомств.'!G1018</f>
        <v>6302.4</v>
      </c>
      <c r="G398" s="7">
        <f>'Прил.№4 ведомств.'!I1018</f>
        <v>6302.4</v>
      </c>
      <c r="H398" s="7">
        <f>'Прил.№4 ведомств.'!J1018</f>
        <v>0</v>
      </c>
      <c r="I398" s="7">
        <f>'Прил.№4 ведомств.'!K1018</f>
        <v>0</v>
      </c>
      <c r="J398" s="7">
        <f>'Прил.№4 ведомств.'!L1018</f>
        <v>0</v>
      </c>
      <c r="K398" s="7">
        <f>'Прил.№4 ведомств.'!M1018</f>
        <v>0</v>
      </c>
      <c r="L398" s="7">
        <f>'Прил.№4 ведомств.'!N1018</f>
        <v>0</v>
      </c>
      <c r="M398" s="7" t="e">
        <f t="shared" si="250"/>
        <v>#DIV/0!</v>
      </c>
    </row>
    <row r="399" spans="1:13" ht="31.5">
      <c r="A399" s="26" t="s">
        <v>773</v>
      </c>
      <c r="B399" s="42" t="s">
        <v>286</v>
      </c>
      <c r="C399" s="42" t="s">
        <v>267</v>
      </c>
      <c r="D399" s="21" t="s">
        <v>774</v>
      </c>
      <c r="E399" s="42"/>
      <c r="F399" s="7">
        <f>F400</f>
        <v>2132</v>
      </c>
      <c r="G399" s="7">
        <f aca="true" t="shared" si="251" ref="G399:L400">G400</f>
        <v>2132</v>
      </c>
      <c r="H399" s="7">
        <f t="shared" si="251"/>
        <v>0</v>
      </c>
      <c r="I399" s="7">
        <f t="shared" si="251"/>
        <v>0</v>
      </c>
      <c r="J399" s="7">
        <f t="shared" si="251"/>
        <v>0</v>
      </c>
      <c r="K399" s="7">
        <f t="shared" si="251"/>
        <v>2283.88</v>
      </c>
      <c r="L399" s="7">
        <f t="shared" si="251"/>
        <v>129</v>
      </c>
      <c r="M399" s="7">
        <f t="shared" si="250"/>
        <v>5.648282746904391</v>
      </c>
    </row>
    <row r="400" spans="1:13" ht="31.5">
      <c r="A400" s="26" t="s">
        <v>183</v>
      </c>
      <c r="B400" s="42" t="s">
        <v>286</v>
      </c>
      <c r="C400" s="42" t="s">
        <v>267</v>
      </c>
      <c r="D400" s="21" t="s">
        <v>774</v>
      </c>
      <c r="E400" s="42" t="s">
        <v>184</v>
      </c>
      <c r="F400" s="7">
        <f>F401</f>
        <v>2132</v>
      </c>
      <c r="G400" s="7">
        <f t="shared" si="251"/>
        <v>2132</v>
      </c>
      <c r="H400" s="7">
        <f t="shared" si="251"/>
        <v>0</v>
      </c>
      <c r="I400" s="7">
        <f t="shared" si="251"/>
        <v>0</v>
      </c>
      <c r="J400" s="7">
        <f t="shared" si="251"/>
        <v>0</v>
      </c>
      <c r="K400" s="7">
        <f t="shared" si="251"/>
        <v>2283.88</v>
      </c>
      <c r="L400" s="7">
        <f t="shared" si="251"/>
        <v>129</v>
      </c>
      <c r="M400" s="7">
        <f t="shared" si="250"/>
        <v>5.648282746904391</v>
      </c>
    </row>
    <row r="401" spans="1:13" ht="47.25">
      <c r="A401" s="26" t="s">
        <v>185</v>
      </c>
      <c r="B401" s="42" t="s">
        <v>286</v>
      </c>
      <c r="C401" s="42" t="s">
        <v>267</v>
      </c>
      <c r="D401" s="21" t="s">
        <v>774</v>
      </c>
      <c r="E401" s="42" t="s">
        <v>186</v>
      </c>
      <c r="F401" s="7">
        <f>'Прил.№4 ведомств.'!G1021</f>
        <v>2132</v>
      </c>
      <c r="G401" s="7">
        <f>'Прил.№4 ведомств.'!I1021</f>
        <v>2132</v>
      </c>
      <c r="H401" s="7">
        <f>'Прил.№4 ведомств.'!J1021</f>
        <v>0</v>
      </c>
      <c r="I401" s="7">
        <f>'Прил.№4 ведомств.'!K1021</f>
        <v>0</v>
      </c>
      <c r="J401" s="7">
        <f>'Прил.№4 ведомств.'!L1021</f>
        <v>0</v>
      </c>
      <c r="K401" s="7">
        <f>'Прил.№4 ведомств.'!M1021</f>
        <v>2283.88</v>
      </c>
      <c r="L401" s="7">
        <f>'Прил.№4 ведомств.'!N1021</f>
        <v>129</v>
      </c>
      <c r="M401" s="7">
        <f t="shared" si="250"/>
        <v>5.648282746904391</v>
      </c>
    </row>
    <row r="402" spans="1:13" ht="47.25" hidden="1">
      <c r="A402" s="26" t="s">
        <v>775</v>
      </c>
      <c r="B402" s="42" t="s">
        <v>286</v>
      </c>
      <c r="C402" s="42" t="s">
        <v>267</v>
      </c>
      <c r="D402" s="42" t="s">
        <v>616</v>
      </c>
      <c r="E402" s="42"/>
      <c r="F402" s="7">
        <f>F403</f>
        <v>2000</v>
      </c>
      <c r="G402" s="7">
        <f aca="true" t="shared" si="252" ref="G402:L403">G403</f>
        <v>2000</v>
      </c>
      <c r="H402" s="7">
        <f t="shared" si="252"/>
        <v>0</v>
      </c>
      <c r="I402" s="7">
        <f t="shared" si="252"/>
        <v>0</v>
      </c>
      <c r="J402" s="7">
        <f t="shared" si="252"/>
        <v>0</v>
      </c>
      <c r="K402" s="7">
        <f t="shared" si="252"/>
        <v>0</v>
      </c>
      <c r="L402" s="7">
        <f t="shared" si="252"/>
        <v>0</v>
      </c>
      <c r="M402" s="7" t="e">
        <f t="shared" si="250"/>
        <v>#DIV/0!</v>
      </c>
    </row>
    <row r="403" spans="1:13" ht="31.5" hidden="1">
      <c r="A403" s="31" t="s">
        <v>183</v>
      </c>
      <c r="B403" s="42" t="s">
        <v>286</v>
      </c>
      <c r="C403" s="42" t="s">
        <v>267</v>
      </c>
      <c r="D403" s="42" t="s">
        <v>616</v>
      </c>
      <c r="E403" s="42" t="s">
        <v>184</v>
      </c>
      <c r="F403" s="7">
        <f>F404</f>
        <v>2000</v>
      </c>
      <c r="G403" s="7">
        <f t="shared" si="252"/>
        <v>2000</v>
      </c>
      <c r="H403" s="7">
        <f t="shared" si="252"/>
        <v>0</v>
      </c>
      <c r="I403" s="7">
        <f t="shared" si="252"/>
        <v>0</v>
      </c>
      <c r="J403" s="7">
        <f t="shared" si="252"/>
        <v>0</v>
      </c>
      <c r="K403" s="7">
        <f t="shared" si="252"/>
        <v>0</v>
      </c>
      <c r="L403" s="7">
        <f t="shared" si="252"/>
        <v>0</v>
      </c>
      <c r="M403" s="7" t="e">
        <f t="shared" si="250"/>
        <v>#DIV/0!</v>
      </c>
    </row>
    <row r="404" spans="1:13" ht="47.25" hidden="1">
      <c r="A404" s="31" t="s">
        <v>185</v>
      </c>
      <c r="B404" s="42" t="s">
        <v>286</v>
      </c>
      <c r="C404" s="42" t="s">
        <v>267</v>
      </c>
      <c r="D404" s="42" t="s">
        <v>616</v>
      </c>
      <c r="E404" s="42" t="s">
        <v>186</v>
      </c>
      <c r="F404" s="7">
        <f>'Прил.№4 ведомств.'!G1024</f>
        <v>2000</v>
      </c>
      <c r="G404" s="7">
        <f>'Прил.№4 ведомств.'!I1024</f>
        <v>2000</v>
      </c>
      <c r="H404" s="7">
        <f>'Прил.№4 ведомств.'!J1024</f>
        <v>0</v>
      </c>
      <c r="I404" s="7">
        <f>'Прил.№4 ведомств.'!K1024</f>
        <v>0</v>
      </c>
      <c r="J404" s="7">
        <f>'Прил.№4 ведомств.'!L1024</f>
        <v>0</v>
      </c>
      <c r="K404" s="7">
        <f>'Прил.№4 ведомств.'!M1024</f>
        <v>0</v>
      </c>
      <c r="L404" s="7">
        <f>'Прил.№4 ведомств.'!N1024</f>
        <v>0</v>
      </c>
      <c r="M404" s="7" t="e">
        <f t="shared" si="250"/>
        <v>#DIV/0!</v>
      </c>
    </row>
    <row r="405" spans="1:13" ht="53.25" customHeight="1">
      <c r="A405" s="26" t="s">
        <v>776</v>
      </c>
      <c r="B405" s="42" t="s">
        <v>286</v>
      </c>
      <c r="C405" s="42" t="s">
        <v>267</v>
      </c>
      <c r="D405" s="21" t="s">
        <v>777</v>
      </c>
      <c r="E405" s="42"/>
      <c r="F405" s="7">
        <f>F406</f>
        <v>1598.8</v>
      </c>
      <c r="G405" s="7">
        <f aca="true" t="shared" si="253" ref="G405:L406">G406</f>
        <v>1598.8</v>
      </c>
      <c r="H405" s="7">
        <f t="shared" si="253"/>
        <v>0</v>
      </c>
      <c r="I405" s="7">
        <f t="shared" si="253"/>
        <v>0</v>
      </c>
      <c r="J405" s="7">
        <f t="shared" si="253"/>
        <v>0</v>
      </c>
      <c r="K405" s="7">
        <f t="shared" si="253"/>
        <v>1525.2</v>
      </c>
      <c r="L405" s="7">
        <f t="shared" si="253"/>
        <v>0</v>
      </c>
      <c r="M405" s="7">
        <f t="shared" si="250"/>
        <v>0</v>
      </c>
    </row>
    <row r="406" spans="1:13" ht="31.5">
      <c r="A406" s="26" t="s">
        <v>183</v>
      </c>
      <c r="B406" s="42" t="s">
        <v>286</v>
      </c>
      <c r="C406" s="42" t="s">
        <v>267</v>
      </c>
      <c r="D406" s="21" t="s">
        <v>777</v>
      </c>
      <c r="E406" s="42" t="s">
        <v>184</v>
      </c>
      <c r="F406" s="7">
        <f>F407</f>
        <v>1598.8</v>
      </c>
      <c r="G406" s="7">
        <f t="shared" si="253"/>
        <v>1598.8</v>
      </c>
      <c r="H406" s="7">
        <f t="shared" si="253"/>
        <v>0</v>
      </c>
      <c r="I406" s="7">
        <f t="shared" si="253"/>
        <v>0</v>
      </c>
      <c r="J406" s="7">
        <f t="shared" si="253"/>
        <v>0</v>
      </c>
      <c r="K406" s="7">
        <f t="shared" si="253"/>
        <v>1525.2</v>
      </c>
      <c r="L406" s="7">
        <f t="shared" si="253"/>
        <v>0</v>
      </c>
      <c r="M406" s="7">
        <f t="shared" si="250"/>
        <v>0</v>
      </c>
    </row>
    <row r="407" spans="1:13" ht="47.25">
      <c r="A407" s="26" t="s">
        <v>185</v>
      </c>
      <c r="B407" s="42" t="s">
        <v>286</v>
      </c>
      <c r="C407" s="42" t="s">
        <v>267</v>
      </c>
      <c r="D407" s="21" t="s">
        <v>777</v>
      </c>
      <c r="E407" s="42" t="s">
        <v>186</v>
      </c>
      <c r="F407" s="7">
        <f>'Прил.№4 ведомств.'!G1027</f>
        <v>1598.8</v>
      </c>
      <c r="G407" s="7">
        <f>'Прил.№4 ведомств.'!I1027</f>
        <v>1598.8</v>
      </c>
      <c r="H407" s="7">
        <f>'Прил.№4 ведомств.'!J1027</f>
        <v>0</v>
      </c>
      <c r="I407" s="7">
        <f>'Прил.№4 ведомств.'!K1027</f>
        <v>0</v>
      </c>
      <c r="J407" s="7">
        <f>'Прил.№4 ведомств.'!L1027</f>
        <v>0</v>
      </c>
      <c r="K407" s="7">
        <f>'Прил.№4 ведомств.'!M1027</f>
        <v>1525.2</v>
      </c>
      <c r="L407" s="7">
        <f>'Прил.№4 ведомств.'!N1027</f>
        <v>0</v>
      </c>
      <c r="M407" s="7">
        <f t="shared" si="250"/>
        <v>0</v>
      </c>
    </row>
    <row r="408" spans="1:13" ht="15.75">
      <c r="A408" s="31" t="s">
        <v>193</v>
      </c>
      <c r="B408" s="42" t="s">
        <v>286</v>
      </c>
      <c r="C408" s="42" t="s">
        <v>267</v>
      </c>
      <c r="D408" s="42" t="s">
        <v>194</v>
      </c>
      <c r="E408" s="8"/>
      <c r="F408" s="7">
        <f>F409+F412</f>
        <v>455.9</v>
      </c>
      <c r="G408" s="7">
        <f aca="true" t="shared" si="254" ref="G408:J408">G409+G412</f>
        <v>200</v>
      </c>
      <c r="H408" s="7">
        <f t="shared" si="254"/>
        <v>3812.4</v>
      </c>
      <c r="I408" s="7">
        <f t="shared" si="254"/>
        <v>3812.4</v>
      </c>
      <c r="J408" s="7">
        <f t="shared" si="254"/>
        <v>3812.4</v>
      </c>
      <c r="K408" s="7">
        <f>K409+K412+K415</f>
        <v>3495.5</v>
      </c>
      <c r="L408" s="7">
        <f aca="true" t="shared" si="255" ref="L408">L409+L412+L415</f>
        <v>0</v>
      </c>
      <c r="M408" s="7">
        <f t="shared" si="250"/>
        <v>0</v>
      </c>
    </row>
    <row r="409" spans="1:13" ht="15.75">
      <c r="A409" s="47" t="s">
        <v>656</v>
      </c>
      <c r="B409" s="42" t="s">
        <v>286</v>
      </c>
      <c r="C409" s="42" t="s">
        <v>267</v>
      </c>
      <c r="D409" s="42" t="s">
        <v>618</v>
      </c>
      <c r="E409" s="42"/>
      <c r="F409" s="7">
        <f>F410</f>
        <v>455.9</v>
      </c>
      <c r="G409" s="7">
        <f aca="true" t="shared" si="256" ref="G409:L410">G410</f>
        <v>200</v>
      </c>
      <c r="H409" s="7">
        <f t="shared" si="256"/>
        <v>462.1</v>
      </c>
      <c r="I409" s="7">
        <f t="shared" si="256"/>
        <v>462.1</v>
      </c>
      <c r="J409" s="7">
        <f t="shared" si="256"/>
        <v>462.1</v>
      </c>
      <c r="K409" s="7">
        <f t="shared" si="256"/>
        <v>390</v>
      </c>
      <c r="L409" s="7">
        <f t="shared" si="256"/>
        <v>0</v>
      </c>
      <c r="M409" s="7">
        <f t="shared" si="250"/>
        <v>0</v>
      </c>
    </row>
    <row r="410" spans="1:13" ht="31.5">
      <c r="A410" s="31" t="s">
        <v>183</v>
      </c>
      <c r="B410" s="42" t="s">
        <v>286</v>
      </c>
      <c r="C410" s="42" t="s">
        <v>267</v>
      </c>
      <c r="D410" s="42" t="s">
        <v>618</v>
      </c>
      <c r="E410" s="42" t="s">
        <v>184</v>
      </c>
      <c r="F410" s="7">
        <f>F411</f>
        <v>455.9</v>
      </c>
      <c r="G410" s="7">
        <f t="shared" si="256"/>
        <v>200</v>
      </c>
      <c r="H410" s="7">
        <f t="shared" si="256"/>
        <v>462.1</v>
      </c>
      <c r="I410" s="7">
        <f t="shared" si="256"/>
        <v>462.1</v>
      </c>
      <c r="J410" s="7">
        <f t="shared" si="256"/>
        <v>462.1</v>
      </c>
      <c r="K410" s="7">
        <f t="shared" si="256"/>
        <v>390</v>
      </c>
      <c r="L410" s="7">
        <f t="shared" si="256"/>
        <v>0</v>
      </c>
      <c r="M410" s="7">
        <f t="shared" si="250"/>
        <v>0</v>
      </c>
    </row>
    <row r="411" spans="1:13" ht="47.25">
      <c r="A411" s="31" t="s">
        <v>185</v>
      </c>
      <c r="B411" s="42" t="s">
        <v>286</v>
      </c>
      <c r="C411" s="42" t="s">
        <v>267</v>
      </c>
      <c r="D411" s="42" t="s">
        <v>618</v>
      </c>
      <c r="E411" s="42" t="s">
        <v>186</v>
      </c>
      <c r="F411" s="7">
        <f>'Прил.№4 ведомств.'!G1031</f>
        <v>455.9</v>
      </c>
      <c r="G411" s="7">
        <f>'Прил.№4 ведомств.'!I1031</f>
        <v>200</v>
      </c>
      <c r="H411" s="7">
        <f>'Прил.№4 ведомств.'!J1031</f>
        <v>462.1</v>
      </c>
      <c r="I411" s="7">
        <f>'Прил.№4 ведомств.'!K1031</f>
        <v>462.1</v>
      </c>
      <c r="J411" s="7">
        <f>'Прил.№4 ведомств.'!L1031</f>
        <v>462.1</v>
      </c>
      <c r="K411" s="7">
        <f>'Прил.№4 ведомств.'!M1031</f>
        <v>390</v>
      </c>
      <c r="L411" s="7">
        <f>'Прил.№4 ведомств.'!N1031</f>
        <v>0</v>
      </c>
      <c r="M411" s="7">
        <f t="shared" si="250"/>
        <v>0</v>
      </c>
    </row>
    <row r="412" spans="1:13" ht="15.75" customHeight="1" hidden="1">
      <c r="A412" s="31" t="s">
        <v>619</v>
      </c>
      <c r="B412" s="42" t="s">
        <v>286</v>
      </c>
      <c r="C412" s="42" t="s">
        <v>267</v>
      </c>
      <c r="D412" s="42" t="s">
        <v>620</v>
      </c>
      <c r="E412" s="8"/>
      <c r="F412" s="7">
        <f>F413</f>
        <v>0</v>
      </c>
      <c r="G412" s="7">
        <f aca="true" t="shared" si="257" ref="G412:L413">G413</f>
        <v>0</v>
      </c>
      <c r="H412" s="7">
        <f t="shared" si="257"/>
        <v>3350.3</v>
      </c>
      <c r="I412" s="7">
        <f t="shared" si="257"/>
        <v>3350.3</v>
      </c>
      <c r="J412" s="7">
        <f t="shared" si="257"/>
        <v>3350.3</v>
      </c>
      <c r="K412" s="7">
        <f t="shared" si="257"/>
        <v>0</v>
      </c>
      <c r="L412" s="7">
        <f t="shared" si="257"/>
        <v>0</v>
      </c>
      <c r="M412" s="7" t="e">
        <f t="shared" si="250"/>
        <v>#DIV/0!</v>
      </c>
    </row>
    <row r="413" spans="1:13" ht="15.75" customHeight="1" hidden="1">
      <c r="A413" s="31" t="s">
        <v>187</v>
      </c>
      <c r="B413" s="42" t="s">
        <v>286</v>
      </c>
      <c r="C413" s="42" t="s">
        <v>267</v>
      </c>
      <c r="D413" s="42" t="s">
        <v>620</v>
      </c>
      <c r="E413" s="42" t="s">
        <v>197</v>
      </c>
      <c r="F413" s="7">
        <f>F414</f>
        <v>0</v>
      </c>
      <c r="G413" s="7">
        <f t="shared" si="257"/>
        <v>0</v>
      </c>
      <c r="H413" s="7">
        <f t="shared" si="257"/>
        <v>3350.3</v>
      </c>
      <c r="I413" s="7">
        <f t="shared" si="257"/>
        <v>3350.3</v>
      </c>
      <c r="J413" s="7">
        <f t="shared" si="257"/>
        <v>3350.3</v>
      </c>
      <c r="K413" s="7">
        <f t="shared" si="257"/>
        <v>0</v>
      </c>
      <c r="L413" s="7">
        <f t="shared" si="257"/>
        <v>0</v>
      </c>
      <c r="M413" s="7" t="e">
        <f t="shared" si="250"/>
        <v>#DIV/0!</v>
      </c>
    </row>
    <row r="414" spans="1:13" ht="15.75" customHeight="1" hidden="1">
      <c r="A414" s="31" t="s">
        <v>621</v>
      </c>
      <c r="B414" s="42" t="s">
        <v>286</v>
      </c>
      <c r="C414" s="42" t="s">
        <v>267</v>
      </c>
      <c r="D414" s="42" t="s">
        <v>620</v>
      </c>
      <c r="E414" s="42" t="s">
        <v>190</v>
      </c>
      <c r="F414" s="7">
        <f>'Прил.№4 ведомств.'!G1034</f>
        <v>0</v>
      </c>
      <c r="G414" s="7">
        <f>'Прил.№4 ведомств.'!I1034</f>
        <v>0</v>
      </c>
      <c r="H414" s="7">
        <f>'Прил.№4 ведомств.'!J1034</f>
        <v>3350.3</v>
      </c>
      <c r="I414" s="7">
        <f>'Прил.№4 ведомств.'!K1034</f>
        <v>3350.3</v>
      </c>
      <c r="J414" s="7">
        <f>'Прил.№4 ведомств.'!L1034</f>
        <v>3350.3</v>
      </c>
      <c r="K414" s="7">
        <f>'Прил.№4 ведомств.'!M1034</f>
        <v>0</v>
      </c>
      <c r="L414" s="7">
        <f>'Прил.№4 ведомств.'!N1034</f>
        <v>0</v>
      </c>
      <c r="M414" s="7" t="e">
        <f t="shared" si="250"/>
        <v>#DIV/0!</v>
      </c>
    </row>
    <row r="415" spans="1:13" s="1" customFormat="1" ht="63">
      <c r="A415" s="26" t="s">
        <v>1007</v>
      </c>
      <c r="B415" s="42" t="s">
        <v>286</v>
      </c>
      <c r="C415" s="42" t="s">
        <v>267</v>
      </c>
      <c r="D415" s="42" t="s">
        <v>1008</v>
      </c>
      <c r="E415" s="42"/>
      <c r="F415" s="7"/>
      <c r="G415" s="7"/>
      <c r="H415" s="7"/>
      <c r="I415" s="7"/>
      <c r="J415" s="7"/>
      <c r="K415" s="7">
        <f>K416</f>
        <v>3105.5</v>
      </c>
      <c r="L415" s="7">
        <f aca="true" t="shared" si="258" ref="L415:L416">L416</f>
        <v>0</v>
      </c>
      <c r="M415" s="7">
        <f t="shared" si="250"/>
        <v>0</v>
      </c>
    </row>
    <row r="416" spans="1:13" ht="15.75" customHeight="1">
      <c r="A416" s="31" t="s">
        <v>183</v>
      </c>
      <c r="B416" s="42" t="s">
        <v>286</v>
      </c>
      <c r="C416" s="42" t="s">
        <v>267</v>
      </c>
      <c r="D416" s="42" t="s">
        <v>1008</v>
      </c>
      <c r="E416" s="42" t="s">
        <v>184</v>
      </c>
      <c r="F416" s="7"/>
      <c r="G416" s="7"/>
      <c r="H416" s="7"/>
      <c r="I416" s="7"/>
      <c r="J416" s="7"/>
      <c r="K416" s="7">
        <f>K417</f>
        <v>3105.5</v>
      </c>
      <c r="L416" s="7">
        <f t="shared" si="258"/>
        <v>0</v>
      </c>
      <c r="M416" s="7">
        <f t="shared" si="250"/>
        <v>0</v>
      </c>
    </row>
    <row r="417" spans="1:13" ht="15.75" customHeight="1">
      <c r="A417" s="31" t="s">
        <v>185</v>
      </c>
      <c r="B417" s="42" t="s">
        <v>286</v>
      </c>
      <c r="C417" s="42" t="s">
        <v>267</v>
      </c>
      <c r="D417" s="42" t="s">
        <v>1008</v>
      </c>
      <c r="E417" s="42" t="s">
        <v>186</v>
      </c>
      <c r="F417" s="7"/>
      <c r="G417" s="7"/>
      <c r="H417" s="7"/>
      <c r="I417" s="7"/>
      <c r="J417" s="7"/>
      <c r="K417" s="7">
        <f>'Прил.№4 ведомств.'!M1037</f>
        <v>3105.5</v>
      </c>
      <c r="L417" s="7">
        <f>'Прил.№4 ведомств.'!N1037</f>
        <v>0</v>
      </c>
      <c r="M417" s="7">
        <f t="shared" si="250"/>
        <v>0</v>
      </c>
    </row>
    <row r="418" spans="1:13" ht="31.5">
      <c r="A418" s="43" t="s">
        <v>622</v>
      </c>
      <c r="B418" s="8" t="s">
        <v>286</v>
      </c>
      <c r="C418" s="8" t="s">
        <v>286</v>
      </c>
      <c r="D418" s="8"/>
      <c r="E418" s="8"/>
      <c r="F418" s="4">
        <f>F419</f>
        <v>21124.699999999997</v>
      </c>
      <c r="G418" s="4">
        <f aca="true" t="shared" si="259" ref="G418:L418">G419</f>
        <v>21588.805882352943</v>
      </c>
      <c r="H418" s="4">
        <f t="shared" si="259"/>
        <v>24391.9</v>
      </c>
      <c r="I418" s="4">
        <f t="shared" si="259"/>
        <v>24520.199999999997</v>
      </c>
      <c r="J418" s="4">
        <f t="shared" si="259"/>
        <v>24626.1</v>
      </c>
      <c r="K418" s="4">
        <f t="shared" si="259"/>
        <v>20413.8</v>
      </c>
      <c r="L418" s="4">
        <f t="shared" si="259"/>
        <v>10636.6</v>
      </c>
      <c r="M418" s="4">
        <f t="shared" si="250"/>
        <v>52.10494861319304</v>
      </c>
    </row>
    <row r="419" spans="1:13" ht="15.75">
      <c r="A419" s="31" t="s">
        <v>173</v>
      </c>
      <c r="B419" s="42" t="s">
        <v>286</v>
      </c>
      <c r="C419" s="42" t="s">
        <v>286</v>
      </c>
      <c r="D419" s="42" t="s">
        <v>174</v>
      </c>
      <c r="E419" s="42"/>
      <c r="F419" s="7">
        <f>F428+F420</f>
        <v>21124.699999999997</v>
      </c>
      <c r="G419" s="7">
        <f aca="true" t="shared" si="260" ref="G419:K419">G428+G420</f>
        <v>21588.805882352943</v>
      </c>
      <c r="H419" s="7">
        <f t="shared" si="260"/>
        <v>24391.9</v>
      </c>
      <c r="I419" s="7">
        <f t="shared" si="260"/>
        <v>24520.199999999997</v>
      </c>
      <c r="J419" s="7">
        <f t="shared" si="260"/>
        <v>24626.1</v>
      </c>
      <c r="K419" s="7">
        <f t="shared" si="260"/>
        <v>20413.8</v>
      </c>
      <c r="L419" s="7">
        <f aca="true" t="shared" si="261" ref="L419">L428+L420</f>
        <v>10636.6</v>
      </c>
      <c r="M419" s="7">
        <f t="shared" si="250"/>
        <v>52.10494861319304</v>
      </c>
    </row>
    <row r="420" spans="1:13" ht="31.5">
      <c r="A420" s="31" t="s">
        <v>175</v>
      </c>
      <c r="B420" s="42" t="s">
        <v>286</v>
      </c>
      <c r="C420" s="42" t="s">
        <v>286</v>
      </c>
      <c r="D420" s="42" t="s">
        <v>176</v>
      </c>
      <c r="E420" s="42"/>
      <c r="F420" s="7">
        <f>F421</f>
        <v>12441.3</v>
      </c>
      <c r="G420" s="7">
        <f aca="true" t="shared" si="262" ref="G420:L420">G421</f>
        <v>12947.405882352941</v>
      </c>
      <c r="H420" s="7">
        <f t="shared" si="262"/>
        <v>15665.4</v>
      </c>
      <c r="I420" s="7">
        <f t="shared" si="262"/>
        <v>15665.4</v>
      </c>
      <c r="J420" s="7">
        <f t="shared" si="262"/>
        <v>15665.4</v>
      </c>
      <c r="K420" s="7">
        <f t="shared" si="262"/>
        <v>12626.9</v>
      </c>
      <c r="L420" s="7">
        <f t="shared" si="262"/>
        <v>6556.099999999999</v>
      </c>
      <c r="M420" s="7">
        <f t="shared" si="250"/>
        <v>51.92169099303867</v>
      </c>
    </row>
    <row r="421" spans="1:13" ht="31.5">
      <c r="A421" s="31" t="s">
        <v>657</v>
      </c>
      <c r="B421" s="42" t="s">
        <v>286</v>
      </c>
      <c r="C421" s="42" t="s">
        <v>286</v>
      </c>
      <c r="D421" s="42" t="s">
        <v>178</v>
      </c>
      <c r="E421" s="42"/>
      <c r="F421" s="7">
        <f>F422+F424+F426</f>
        <v>12441.3</v>
      </c>
      <c r="G421" s="7">
        <f aca="true" t="shared" si="263" ref="G421:K421">G422+G424+G426</f>
        <v>12947.405882352941</v>
      </c>
      <c r="H421" s="7">
        <f t="shared" si="263"/>
        <v>15665.4</v>
      </c>
      <c r="I421" s="7">
        <f t="shared" si="263"/>
        <v>15665.4</v>
      </c>
      <c r="J421" s="7">
        <f t="shared" si="263"/>
        <v>15665.4</v>
      </c>
      <c r="K421" s="7">
        <f t="shared" si="263"/>
        <v>12626.9</v>
      </c>
      <c r="L421" s="7">
        <f aca="true" t="shared" si="264" ref="L421">L422+L424+L426</f>
        <v>6556.099999999999</v>
      </c>
      <c r="M421" s="7">
        <f t="shared" si="250"/>
        <v>51.92169099303867</v>
      </c>
    </row>
    <row r="422" spans="1:13" ht="87.75" customHeight="1">
      <c r="A422" s="31" t="s">
        <v>179</v>
      </c>
      <c r="B422" s="42" t="s">
        <v>286</v>
      </c>
      <c r="C422" s="42" t="s">
        <v>286</v>
      </c>
      <c r="D422" s="42" t="s">
        <v>178</v>
      </c>
      <c r="E422" s="42" t="s">
        <v>180</v>
      </c>
      <c r="F422" s="63">
        <f>F423</f>
        <v>12267.4</v>
      </c>
      <c r="G422" s="63">
        <f aca="true" t="shared" si="265" ref="G422:L422">G423</f>
        <v>12773.505882352942</v>
      </c>
      <c r="H422" s="63">
        <f t="shared" si="265"/>
        <v>15284</v>
      </c>
      <c r="I422" s="63">
        <f t="shared" si="265"/>
        <v>15284</v>
      </c>
      <c r="J422" s="63">
        <f t="shared" si="265"/>
        <v>15284</v>
      </c>
      <c r="K422" s="63">
        <f t="shared" si="265"/>
        <v>12500.4</v>
      </c>
      <c r="L422" s="63">
        <f t="shared" si="265"/>
        <v>6540.7</v>
      </c>
      <c r="M422" s="7">
        <f t="shared" si="250"/>
        <v>52.3239256343797</v>
      </c>
    </row>
    <row r="423" spans="1:13" ht="31.5">
      <c r="A423" s="31" t="s">
        <v>181</v>
      </c>
      <c r="B423" s="42" t="s">
        <v>286</v>
      </c>
      <c r="C423" s="42" t="s">
        <v>286</v>
      </c>
      <c r="D423" s="42" t="s">
        <v>178</v>
      </c>
      <c r="E423" s="42" t="s">
        <v>182</v>
      </c>
      <c r="F423" s="63">
        <f>'Прил.№4 ведомств.'!G1043</f>
        <v>12267.4</v>
      </c>
      <c r="G423" s="63">
        <f>'Прил.№4 ведомств.'!I1043</f>
        <v>12773.505882352942</v>
      </c>
      <c r="H423" s="63">
        <f>'Прил.№4 ведомств.'!J1043</f>
        <v>15284</v>
      </c>
      <c r="I423" s="63">
        <f>'Прил.№4 ведомств.'!K1043</f>
        <v>15284</v>
      </c>
      <c r="J423" s="63">
        <f>'Прил.№4 ведомств.'!L1043</f>
        <v>15284</v>
      </c>
      <c r="K423" s="63">
        <f>'Прил.№4 ведомств.'!M1043</f>
        <v>12500.4</v>
      </c>
      <c r="L423" s="63">
        <f>'Прил.№4 ведомств.'!N1043</f>
        <v>6540.7</v>
      </c>
      <c r="M423" s="7">
        <f t="shared" si="250"/>
        <v>52.3239256343797</v>
      </c>
    </row>
    <row r="424" spans="1:13" ht="31.5">
      <c r="A424" s="31" t="s">
        <v>183</v>
      </c>
      <c r="B424" s="42" t="s">
        <v>286</v>
      </c>
      <c r="C424" s="42" t="s">
        <v>286</v>
      </c>
      <c r="D424" s="42" t="s">
        <v>178</v>
      </c>
      <c r="E424" s="42" t="s">
        <v>184</v>
      </c>
      <c r="F424" s="63">
        <f>F425</f>
        <v>25</v>
      </c>
      <c r="G424" s="63">
        <f aca="true" t="shared" si="266" ref="G424:L424">G425</f>
        <v>25</v>
      </c>
      <c r="H424" s="63">
        <f t="shared" si="266"/>
        <v>232.49999999999997</v>
      </c>
      <c r="I424" s="63">
        <f t="shared" si="266"/>
        <v>232.49999999999997</v>
      </c>
      <c r="J424" s="63">
        <f t="shared" si="266"/>
        <v>232.49999999999997</v>
      </c>
      <c r="K424" s="63">
        <f t="shared" si="266"/>
        <v>25</v>
      </c>
      <c r="L424" s="63">
        <f t="shared" si="266"/>
        <v>0</v>
      </c>
      <c r="M424" s="7">
        <f t="shared" si="250"/>
        <v>0</v>
      </c>
    </row>
    <row r="425" spans="1:13" ht="47.25">
      <c r="A425" s="31" t="s">
        <v>185</v>
      </c>
      <c r="B425" s="42" t="s">
        <v>286</v>
      </c>
      <c r="C425" s="42" t="s">
        <v>286</v>
      </c>
      <c r="D425" s="42" t="s">
        <v>178</v>
      </c>
      <c r="E425" s="42" t="s">
        <v>186</v>
      </c>
      <c r="F425" s="63">
        <f>'Прил.№4 ведомств.'!G1045</f>
        <v>25</v>
      </c>
      <c r="G425" s="63">
        <f>'Прил.№4 ведомств.'!I1045</f>
        <v>25</v>
      </c>
      <c r="H425" s="63">
        <f>'Прил.№4 ведомств.'!J1045</f>
        <v>232.49999999999997</v>
      </c>
      <c r="I425" s="63">
        <f>'Прил.№4 ведомств.'!K1045</f>
        <v>232.49999999999997</v>
      </c>
      <c r="J425" s="63">
        <f>'Прил.№4 ведомств.'!L1045</f>
        <v>232.49999999999997</v>
      </c>
      <c r="K425" s="63">
        <f>'Прил.№4 ведомств.'!M1045</f>
        <v>25</v>
      </c>
      <c r="L425" s="63">
        <f>'Прил.№4 ведомств.'!N1045</f>
        <v>0</v>
      </c>
      <c r="M425" s="7">
        <f t="shared" si="250"/>
        <v>0</v>
      </c>
    </row>
    <row r="426" spans="1:13" ht="15.75">
      <c r="A426" s="31" t="s">
        <v>187</v>
      </c>
      <c r="B426" s="42" t="s">
        <v>286</v>
      </c>
      <c r="C426" s="42" t="s">
        <v>286</v>
      </c>
      <c r="D426" s="42" t="s">
        <v>178</v>
      </c>
      <c r="E426" s="42" t="s">
        <v>197</v>
      </c>
      <c r="F426" s="63">
        <f>F427</f>
        <v>148.9</v>
      </c>
      <c r="G426" s="63">
        <f aca="true" t="shared" si="267" ref="G426:L426">G427</f>
        <v>148.9</v>
      </c>
      <c r="H426" s="63">
        <f t="shared" si="267"/>
        <v>148.9</v>
      </c>
      <c r="I426" s="63">
        <f t="shared" si="267"/>
        <v>148.9</v>
      </c>
      <c r="J426" s="63">
        <f t="shared" si="267"/>
        <v>148.9</v>
      </c>
      <c r="K426" s="63">
        <f t="shared" si="267"/>
        <v>101.5</v>
      </c>
      <c r="L426" s="63">
        <f t="shared" si="267"/>
        <v>15.4</v>
      </c>
      <c r="M426" s="7">
        <f t="shared" si="250"/>
        <v>15.172413793103448</v>
      </c>
    </row>
    <row r="427" spans="1:13" ht="15.75">
      <c r="A427" s="31" t="s">
        <v>621</v>
      </c>
      <c r="B427" s="42" t="s">
        <v>286</v>
      </c>
      <c r="C427" s="42" t="s">
        <v>286</v>
      </c>
      <c r="D427" s="42" t="s">
        <v>178</v>
      </c>
      <c r="E427" s="42" t="s">
        <v>190</v>
      </c>
      <c r="F427" s="63">
        <f>'Прил.№4 ведомств.'!G1047</f>
        <v>148.9</v>
      </c>
      <c r="G427" s="63">
        <f>'Прил.№4 ведомств.'!I1047</f>
        <v>148.9</v>
      </c>
      <c r="H427" s="63">
        <f>'Прил.№4 ведомств.'!J1047</f>
        <v>148.9</v>
      </c>
      <c r="I427" s="63">
        <f>'Прил.№4 ведомств.'!K1047</f>
        <v>148.9</v>
      </c>
      <c r="J427" s="63">
        <f>'Прил.№4 ведомств.'!L1047</f>
        <v>148.9</v>
      </c>
      <c r="K427" s="63">
        <f>'Прил.№4 ведомств.'!M1047</f>
        <v>101.5</v>
      </c>
      <c r="L427" s="63">
        <f>'Прил.№4 ведомств.'!N1047</f>
        <v>15.4</v>
      </c>
      <c r="M427" s="7">
        <f t="shared" si="250"/>
        <v>15.172413793103448</v>
      </c>
    </row>
    <row r="428" spans="1:13" ht="15.75">
      <c r="A428" s="31" t="s">
        <v>193</v>
      </c>
      <c r="B428" s="42" t="s">
        <v>286</v>
      </c>
      <c r="C428" s="42" t="s">
        <v>286</v>
      </c>
      <c r="D428" s="42" t="s">
        <v>194</v>
      </c>
      <c r="E428" s="42"/>
      <c r="F428" s="7">
        <f>F429+F432</f>
        <v>8683.4</v>
      </c>
      <c r="G428" s="7">
        <f aca="true" t="shared" si="268" ref="G428:K428">G429+G432</f>
        <v>8641.4</v>
      </c>
      <c r="H428" s="7">
        <f t="shared" si="268"/>
        <v>8726.5</v>
      </c>
      <c r="I428" s="7">
        <f t="shared" si="268"/>
        <v>8854.8</v>
      </c>
      <c r="J428" s="7">
        <f t="shared" si="268"/>
        <v>8960.7</v>
      </c>
      <c r="K428" s="7">
        <f t="shared" si="268"/>
        <v>7786.9</v>
      </c>
      <c r="L428" s="7">
        <f aca="true" t="shared" si="269" ref="L428">L429+L432</f>
        <v>4080.5000000000005</v>
      </c>
      <c r="M428" s="7">
        <f t="shared" si="250"/>
        <v>52.40211123810503</v>
      </c>
    </row>
    <row r="429" spans="1:13" ht="31.5">
      <c r="A429" s="31" t="s">
        <v>623</v>
      </c>
      <c r="B429" s="42" t="s">
        <v>286</v>
      </c>
      <c r="C429" s="42" t="s">
        <v>286</v>
      </c>
      <c r="D429" s="42" t="s">
        <v>624</v>
      </c>
      <c r="E429" s="42"/>
      <c r="F429" s="63">
        <f>F430</f>
        <v>1461</v>
      </c>
      <c r="G429" s="63">
        <f aca="true" t="shared" si="270" ref="G429:L430">G430</f>
        <v>700</v>
      </c>
      <c r="H429" s="63">
        <f t="shared" si="270"/>
        <v>1541</v>
      </c>
      <c r="I429" s="63">
        <f t="shared" si="270"/>
        <v>1541</v>
      </c>
      <c r="J429" s="63">
        <f t="shared" si="270"/>
        <v>1541</v>
      </c>
      <c r="K429" s="63">
        <f t="shared" si="270"/>
        <v>982.2</v>
      </c>
      <c r="L429" s="63">
        <f t="shared" si="270"/>
        <v>340.3</v>
      </c>
      <c r="M429" s="7">
        <f t="shared" si="250"/>
        <v>34.64671146406027</v>
      </c>
    </row>
    <row r="430" spans="1:13" ht="15.75">
      <c r="A430" s="31" t="s">
        <v>187</v>
      </c>
      <c r="B430" s="42" t="s">
        <v>286</v>
      </c>
      <c r="C430" s="42" t="s">
        <v>286</v>
      </c>
      <c r="D430" s="42" t="s">
        <v>624</v>
      </c>
      <c r="E430" s="42" t="s">
        <v>197</v>
      </c>
      <c r="F430" s="63">
        <f>F431</f>
        <v>1461</v>
      </c>
      <c r="G430" s="63">
        <f t="shared" si="270"/>
        <v>700</v>
      </c>
      <c r="H430" s="63">
        <f t="shared" si="270"/>
        <v>1541</v>
      </c>
      <c r="I430" s="63">
        <f t="shared" si="270"/>
        <v>1541</v>
      </c>
      <c r="J430" s="63">
        <f t="shared" si="270"/>
        <v>1541</v>
      </c>
      <c r="K430" s="63">
        <f t="shared" si="270"/>
        <v>982.2</v>
      </c>
      <c r="L430" s="63">
        <f t="shared" si="270"/>
        <v>340.3</v>
      </c>
      <c r="M430" s="7">
        <f t="shared" si="250"/>
        <v>34.64671146406027</v>
      </c>
    </row>
    <row r="431" spans="1:13" ht="15.75">
      <c r="A431" s="31" t="s">
        <v>621</v>
      </c>
      <c r="B431" s="42" t="s">
        <v>286</v>
      </c>
      <c r="C431" s="42" t="s">
        <v>286</v>
      </c>
      <c r="D431" s="42" t="s">
        <v>624</v>
      </c>
      <c r="E431" s="42" t="s">
        <v>190</v>
      </c>
      <c r="F431" s="63">
        <f>'Прил.№4 ведомств.'!G1051</f>
        <v>1461</v>
      </c>
      <c r="G431" s="63">
        <f>'Прил.№4 ведомств.'!I1051</f>
        <v>700</v>
      </c>
      <c r="H431" s="63">
        <f>'Прил.№4 ведомств.'!J1051</f>
        <v>1541</v>
      </c>
      <c r="I431" s="63">
        <f>'Прил.№4 ведомств.'!K1051</f>
        <v>1541</v>
      </c>
      <c r="J431" s="63">
        <f>'Прил.№4 ведомств.'!L1051</f>
        <v>1541</v>
      </c>
      <c r="K431" s="63">
        <f>'Прил.№4 ведомств.'!M1051</f>
        <v>982.2</v>
      </c>
      <c r="L431" s="63">
        <f>'Прил.№4 ведомств.'!N1051</f>
        <v>340.3</v>
      </c>
      <c r="M431" s="7">
        <f t="shared" si="250"/>
        <v>34.64671146406027</v>
      </c>
    </row>
    <row r="432" spans="1:13" ht="31.5">
      <c r="A432" s="26" t="s">
        <v>392</v>
      </c>
      <c r="B432" s="42" t="s">
        <v>286</v>
      </c>
      <c r="C432" s="42" t="s">
        <v>286</v>
      </c>
      <c r="D432" s="42" t="s">
        <v>393</v>
      </c>
      <c r="E432" s="42"/>
      <c r="F432" s="7">
        <f>F433+F435</f>
        <v>7222.4</v>
      </c>
      <c r="G432" s="7">
        <f aca="true" t="shared" si="271" ref="G432:K432">G433+G435</f>
        <v>7941.4</v>
      </c>
      <c r="H432" s="7">
        <f t="shared" si="271"/>
        <v>7185.5</v>
      </c>
      <c r="I432" s="7">
        <f t="shared" si="271"/>
        <v>7313.799999999999</v>
      </c>
      <c r="J432" s="7">
        <f t="shared" si="271"/>
        <v>7419.7</v>
      </c>
      <c r="K432" s="7">
        <f t="shared" si="271"/>
        <v>6804.7</v>
      </c>
      <c r="L432" s="7">
        <f aca="true" t="shared" si="272" ref="L432">L433+L435</f>
        <v>3740.2000000000003</v>
      </c>
      <c r="M432" s="7">
        <f t="shared" si="250"/>
        <v>54.96495069584258</v>
      </c>
    </row>
    <row r="433" spans="1:13" ht="78.75">
      <c r="A433" s="31" t="s">
        <v>179</v>
      </c>
      <c r="B433" s="42" t="s">
        <v>286</v>
      </c>
      <c r="C433" s="42" t="s">
        <v>286</v>
      </c>
      <c r="D433" s="42" t="s">
        <v>393</v>
      </c>
      <c r="E433" s="42" t="s">
        <v>180</v>
      </c>
      <c r="F433" s="63">
        <f>F434</f>
        <v>5565.9</v>
      </c>
      <c r="G433" s="63">
        <f aca="true" t="shared" si="273" ref="G433:L433">G434</f>
        <v>6615.5</v>
      </c>
      <c r="H433" s="63">
        <f t="shared" si="273"/>
        <v>4547.3</v>
      </c>
      <c r="I433" s="63">
        <f t="shared" si="273"/>
        <v>4592.7</v>
      </c>
      <c r="J433" s="63">
        <f t="shared" si="273"/>
        <v>4638.7</v>
      </c>
      <c r="K433" s="63">
        <f t="shared" si="273"/>
        <v>4826.2</v>
      </c>
      <c r="L433" s="63">
        <f t="shared" si="273"/>
        <v>2910.8</v>
      </c>
      <c r="M433" s="7">
        <f t="shared" si="250"/>
        <v>60.31246114955866</v>
      </c>
    </row>
    <row r="434" spans="1:13" ht="31.5">
      <c r="A434" s="48" t="s">
        <v>394</v>
      </c>
      <c r="B434" s="42" t="s">
        <v>286</v>
      </c>
      <c r="C434" s="42" t="s">
        <v>286</v>
      </c>
      <c r="D434" s="42" t="s">
        <v>393</v>
      </c>
      <c r="E434" s="42" t="s">
        <v>261</v>
      </c>
      <c r="F434" s="63">
        <f>'Прил.№4 ведомств.'!G1054</f>
        <v>5565.9</v>
      </c>
      <c r="G434" s="63">
        <f>'Прил.№4 ведомств.'!I1054</f>
        <v>6615.5</v>
      </c>
      <c r="H434" s="63">
        <f>'Прил.№4 ведомств.'!J1054</f>
        <v>4547.3</v>
      </c>
      <c r="I434" s="63">
        <f>'Прил.№4 ведомств.'!K1054</f>
        <v>4592.7</v>
      </c>
      <c r="J434" s="63">
        <f>'Прил.№4 ведомств.'!L1054</f>
        <v>4638.7</v>
      </c>
      <c r="K434" s="63">
        <f>'Прил.№4 ведомств.'!M1054</f>
        <v>4826.2</v>
      </c>
      <c r="L434" s="63">
        <f>'Прил.№4 ведомств.'!N1054</f>
        <v>2910.8</v>
      </c>
      <c r="M434" s="7">
        <f t="shared" si="250"/>
        <v>60.31246114955866</v>
      </c>
    </row>
    <row r="435" spans="1:13" ht="31.5">
      <c r="A435" s="31" t="s">
        <v>183</v>
      </c>
      <c r="B435" s="42" t="s">
        <v>286</v>
      </c>
      <c r="C435" s="42" t="s">
        <v>286</v>
      </c>
      <c r="D435" s="42" t="s">
        <v>393</v>
      </c>
      <c r="E435" s="42" t="s">
        <v>184</v>
      </c>
      <c r="F435" s="63">
        <f>F436</f>
        <v>1656.5</v>
      </c>
      <c r="G435" s="63">
        <f aca="true" t="shared" si="274" ref="G435:L435">G436</f>
        <v>1325.9</v>
      </c>
      <c r="H435" s="63">
        <f t="shared" si="274"/>
        <v>2638.2</v>
      </c>
      <c r="I435" s="63">
        <f t="shared" si="274"/>
        <v>2721.1</v>
      </c>
      <c r="J435" s="63">
        <f t="shared" si="274"/>
        <v>2781</v>
      </c>
      <c r="K435" s="63">
        <f t="shared" si="274"/>
        <v>1978.5</v>
      </c>
      <c r="L435" s="63">
        <f t="shared" si="274"/>
        <v>829.4</v>
      </c>
      <c r="M435" s="7">
        <f t="shared" si="250"/>
        <v>41.920646954763704</v>
      </c>
    </row>
    <row r="436" spans="1:13" ht="47.25">
      <c r="A436" s="31" t="s">
        <v>185</v>
      </c>
      <c r="B436" s="42" t="s">
        <v>286</v>
      </c>
      <c r="C436" s="42" t="s">
        <v>286</v>
      </c>
      <c r="D436" s="42" t="s">
        <v>393</v>
      </c>
      <c r="E436" s="42" t="s">
        <v>186</v>
      </c>
      <c r="F436" s="63">
        <f>'Прил.№4 ведомств.'!G1056</f>
        <v>1656.5</v>
      </c>
      <c r="G436" s="63">
        <f>'Прил.№4 ведомств.'!I1056</f>
        <v>1325.9</v>
      </c>
      <c r="H436" s="63">
        <f>'Прил.№4 ведомств.'!J1056</f>
        <v>2638.2</v>
      </c>
      <c r="I436" s="63">
        <f>'Прил.№4 ведомств.'!K1056</f>
        <v>2721.1</v>
      </c>
      <c r="J436" s="63">
        <f>'Прил.№4 ведомств.'!L1056</f>
        <v>2781</v>
      </c>
      <c r="K436" s="63">
        <f>'Прил.№4 ведомств.'!M1056</f>
        <v>1978.5</v>
      </c>
      <c r="L436" s="63">
        <f>'Прил.№4 ведомств.'!N1056</f>
        <v>829.4</v>
      </c>
      <c r="M436" s="7">
        <f t="shared" si="250"/>
        <v>41.920646954763704</v>
      </c>
    </row>
    <row r="437" spans="1:13" ht="15.75">
      <c r="A437" s="43" t="s">
        <v>315</v>
      </c>
      <c r="B437" s="8" t="s">
        <v>316</v>
      </c>
      <c r="C437" s="42"/>
      <c r="D437" s="42"/>
      <c r="E437" s="42"/>
      <c r="F437" s="4">
        <f aca="true" t="shared" si="275" ref="F437:K437">F438+F483+F630+F641+F560</f>
        <v>290484.60000000003</v>
      </c>
      <c r="G437" s="4">
        <f t="shared" si="275"/>
        <v>286378.9</v>
      </c>
      <c r="H437" s="4">
        <f t="shared" si="275"/>
        <v>351290</v>
      </c>
      <c r="I437" s="4">
        <f t="shared" si="275"/>
        <v>343706.89999999997</v>
      </c>
      <c r="J437" s="4">
        <f t="shared" si="275"/>
        <v>337520.6</v>
      </c>
      <c r="K437" s="4">
        <f t="shared" si="275"/>
        <v>296515</v>
      </c>
      <c r="L437" s="4">
        <f aca="true" t="shared" si="276" ref="L437">L438+L483+L630+L641+L560</f>
        <v>189479.8</v>
      </c>
      <c r="M437" s="4">
        <f t="shared" si="250"/>
        <v>63.90226464091192</v>
      </c>
    </row>
    <row r="438" spans="1:13" ht="15.75">
      <c r="A438" s="43" t="s">
        <v>457</v>
      </c>
      <c r="B438" s="8" t="s">
        <v>316</v>
      </c>
      <c r="C438" s="8" t="s">
        <v>170</v>
      </c>
      <c r="D438" s="8"/>
      <c r="E438" s="8"/>
      <c r="F438" s="4">
        <f aca="true" t="shared" si="277" ref="F438:K438">F439+F466</f>
        <v>84659.4</v>
      </c>
      <c r="G438" s="4">
        <f t="shared" si="277"/>
        <v>85381.2</v>
      </c>
      <c r="H438" s="4">
        <f t="shared" si="277"/>
        <v>122402.5</v>
      </c>
      <c r="I438" s="4">
        <f t="shared" si="277"/>
        <v>117666.8</v>
      </c>
      <c r="J438" s="4">
        <f t="shared" si="277"/>
        <v>112203.8</v>
      </c>
      <c r="K438" s="4">
        <f t="shared" si="277"/>
        <v>92076.5</v>
      </c>
      <c r="L438" s="4">
        <f aca="true" t="shared" si="278" ref="L438">L439+L466</f>
        <v>54246</v>
      </c>
      <c r="M438" s="4">
        <f t="shared" si="250"/>
        <v>58.914055160654456</v>
      </c>
    </row>
    <row r="439" spans="1:13" ht="47.25">
      <c r="A439" s="31" t="s">
        <v>479</v>
      </c>
      <c r="B439" s="42" t="s">
        <v>316</v>
      </c>
      <c r="C439" s="42" t="s">
        <v>170</v>
      </c>
      <c r="D439" s="42" t="s">
        <v>459</v>
      </c>
      <c r="E439" s="42"/>
      <c r="F439" s="7">
        <f>F440+F444</f>
        <v>23453.4</v>
      </c>
      <c r="G439" s="7">
        <f aca="true" t="shared" si="279" ref="G439:K439">G440+G444</f>
        <v>24175.2</v>
      </c>
      <c r="H439" s="7">
        <f t="shared" si="279"/>
        <v>61196.5</v>
      </c>
      <c r="I439" s="7">
        <f t="shared" si="279"/>
        <v>56460.8</v>
      </c>
      <c r="J439" s="7">
        <f t="shared" si="279"/>
        <v>50997.8</v>
      </c>
      <c r="K439" s="7">
        <f t="shared" si="279"/>
        <v>25134.9</v>
      </c>
      <c r="L439" s="7">
        <f aca="true" t="shared" si="280" ref="L439">L440+L444</f>
        <v>17540</v>
      </c>
      <c r="M439" s="7">
        <f t="shared" si="250"/>
        <v>69.78344851183016</v>
      </c>
    </row>
    <row r="440" spans="1:13" ht="31.5">
      <c r="A440" s="31" t="s">
        <v>460</v>
      </c>
      <c r="B440" s="42" t="s">
        <v>316</v>
      </c>
      <c r="C440" s="42" t="s">
        <v>170</v>
      </c>
      <c r="D440" s="42" t="s">
        <v>461</v>
      </c>
      <c r="E440" s="42"/>
      <c r="F440" s="7">
        <f>F441</f>
        <v>15578.400000000001</v>
      </c>
      <c r="G440" s="7">
        <f aca="true" t="shared" si="281" ref="G440:L440">G441</f>
        <v>16300.2</v>
      </c>
      <c r="H440" s="7">
        <f t="shared" si="281"/>
        <v>35498.2</v>
      </c>
      <c r="I440" s="7">
        <f t="shared" si="281"/>
        <v>36442.5</v>
      </c>
      <c r="J440" s="7">
        <f t="shared" si="281"/>
        <v>37029.5</v>
      </c>
      <c r="K440" s="7">
        <f t="shared" si="281"/>
        <v>15316.6</v>
      </c>
      <c r="L440" s="7">
        <f t="shared" si="281"/>
        <v>10800</v>
      </c>
      <c r="M440" s="7">
        <f t="shared" si="250"/>
        <v>70.51173236880247</v>
      </c>
    </row>
    <row r="441" spans="1:13" ht="47.25">
      <c r="A441" s="31" t="s">
        <v>462</v>
      </c>
      <c r="B441" s="42" t="s">
        <v>316</v>
      </c>
      <c r="C441" s="42" t="s">
        <v>170</v>
      </c>
      <c r="D441" s="42" t="s">
        <v>463</v>
      </c>
      <c r="E441" s="42"/>
      <c r="F441" s="7">
        <f>SUM(F442:F442)</f>
        <v>15578.400000000001</v>
      </c>
      <c r="G441" s="7">
        <f aca="true" t="shared" si="282" ref="G441:L441">SUM(G442:G442)</f>
        <v>16300.2</v>
      </c>
      <c r="H441" s="7">
        <f t="shared" si="282"/>
        <v>35498.2</v>
      </c>
      <c r="I441" s="7">
        <f t="shared" si="282"/>
        <v>36442.5</v>
      </c>
      <c r="J441" s="7">
        <f t="shared" si="282"/>
        <v>37029.5</v>
      </c>
      <c r="K441" s="7">
        <f t="shared" si="282"/>
        <v>15316.6</v>
      </c>
      <c r="L441" s="7">
        <f t="shared" si="282"/>
        <v>10800</v>
      </c>
      <c r="M441" s="7">
        <f t="shared" si="250"/>
        <v>70.51173236880247</v>
      </c>
    </row>
    <row r="442" spans="1:13" ht="47.25">
      <c r="A442" s="31" t="s">
        <v>324</v>
      </c>
      <c r="B442" s="42" t="s">
        <v>316</v>
      </c>
      <c r="C442" s="42" t="s">
        <v>170</v>
      </c>
      <c r="D442" s="42" t="s">
        <v>463</v>
      </c>
      <c r="E442" s="42" t="s">
        <v>325</v>
      </c>
      <c r="F442" s="7">
        <f>F443</f>
        <v>15578.400000000001</v>
      </c>
      <c r="G442" s="7">
        <f aca="true" t="shared" si="283" ref="G442:L442">G443</f>
        <v>16300.2</v>
      </c>
      <c r="H442" s="7">
        <f t="shared" si="283"/>
        <v>35498.2</v>
      </c>
      <c r="I442" s="7">
        <f t="shared" si="283"/>
        <v>36442.5</v>
      </c>
      <c r="J442" s="7">
        <f t="shared" si="283"/>
        <v>37029.5</v>
      </c>
      <c r="K442" s="7">
        <f t="shared" si="283"/>
        <v>15316.6</v>
      </c>
      <c r="L442" s="7">
        <f t="shared" si="283"/>
        <v>10800</v>
      </c>
      <c r="M442" s="7">
        <f t="shared" si="250"/>
        <v>70.51173236880247</v>
      </c>
    </row>
    <row r="443" spans="1:13" ht="15.75">
      <c r="A443" s="31" t="s">
        <v>326</v>
      </c>
      <c r="B443" s="42" t="s">
        <v>316</v>
      </c>
      <c r="C443" s="42" t="s">
        <v>170</v>
      </c>
      <c r="D443" s="42" t="s">
        <v>463</v>
      </c>
      <c r="E443" s="42" t="s">
        <v>327</v>
      </c>
      <c r="F443" s="63">
        <f>'Прил.№4 ведомств.'!G600</f>
        <v>15578.400000000001</v>
      </c>
      <c r="G443" s="63">
        <f>'Прил.№4 ведомств.'!I600</f>
        <v>16300.2</v>
      </c>
      <c r="H443" s="63">
        <f>'Прил.№4 ведомств.'!J600</f>
        <v>35498.2</v>
      </c>
      <c r="I443" s="63">
        <f>'Прил.№4 ведомств.'!K600</f>
        <v>36442.5</v>
      </c>
      <c r="J443" s="63">
        <f>'Прил.№4 ведомств.'!L600</f>
        <v>37029.5</v>
      </c>
      <c r="K443" s="63">
        <f>'Прил.№4 ведомств.'!M600</f>
        <v>15316.6</v>
      </c>
      <c r="L443" s="63">
        <f>'Прил.№4 ведомств.'!N600</f>
        <v>10800</v>
      </c>
      <c r="M443" s="7">
        <f t="shared" si="250"/>
        <v>70.51173236880247</v>
      </c>
    </row>
    <row r="444" spans="1:13" ht="31.5">
      <c r="A444" s="31" t="s">
        <v>464</v>
      </c>
      <c r="B444" s="42" t="s">
        <v>316</v>
      </c>
      <c r="C444" s="42" t="s">
        <v>170</v>
      </c>
      <c r="D444" s="42" t="s">
        <v>465</v>
      </c>
      <c r="E444" s="42"/>
      <c r="F444" s="7">
        <f aca="true" t="shared" si="284" ref="F444:K444">F445+F448+F451+F457+F454+F460+F463</f>
        <v>7875</v>
      </c>
      <c r="G444" s="7">
        <f t="shared" si="284"/>
        <v>7875</v>
      </c>
      <c r="H444" s="7">
        <f t="shared" si="284"/>
        <v>25698.3</v>
      </c>
      <c r="I444" s="7">
        <f t="shared" si="284"/>
        <v>20018.3</v>
      </c>
      <c r="J444" s="7">
        <f t="shared" si="284"/>
        <v>13968.3</v>
      </c>
      <c r="K444" s="7">
        <f t="shared" si="284"/>
        <v>9818.300000000001</v>
      </c>
      <c r="L444" s="7">
        <f aca="true" t="shared" si="285" ref="L444">L445+L448+L451+L457+L454+L460+L463</f>
        <v>6740</v>
      </c>
      <c r="M444" s="7">
        <f t="shared" si="250"/>
        <v>68.64732183779269</v>
      </c>
    </row>
    <row r="445" spans="1:13" ht="47.25" customHeight="1" hidden="1">
      <c r="A445" s="31" t="s">
        <v>658</v>
      </c>
      <c r="B445" s="42" t="s">
        <v>316</v>
      </c>
      <c r="C445" s="42" t="s">
        <v>170</v>
      </c>
      <c r="D445" s="42" t="s">
        <v>659</v>
      </c>
      <c r="E445" s="42"/>
      <c r="F445" s="7">
        <f>F446</f>
        <v>0</v>
      </c>
      <c r="G445" s="7">
        <f aca="true" t="shared" si="286" ref="G445:L446">G446</f>
        <v>0</v>
      </c>
      <c r="H445" s="7">
        <f t="shared" si="286"/>
        <v>0</v>
      </c>
      <c r="I445" s="7">
        <f t="shared" si="286"/>
        <v>0</v>
      </c>
      <c r="J445" s="7">
        <f t="shared" si="286"/>
        <v>0</v>
      </c>
      <c r="K445" s="7">
        <f t="shared" si="286"/>
        <v>0</v>
      </c>
      <c r="L445" s="7">
        <f t="shared" si="286"/>
        <v>0</v>
      </c>
      <c r="M445" s="7" t="e">
        <f t="shared" si="250"/>
        <v>#DIV/0!</v>
      </c>
    </row>
    <row r="446" spans="1:13" ht="47.25" customHeight="1" hidden="1">
      <c r="A446" s="31" t="s">
        <v>324</v>
      </c>
      <c r="B446" s="42" t="s">
        <v>316</v>
      </c>
      <c r="C446" s="42" t="s">
        <v>170</v>
      </c>
      <c r="D446" s="42" t="s">
        <v>659</v>
      </c>
      <c r="E446" s="42" t="s">
        <v>325</v>
      </c>
      <c r="F446" s="7">
        <f>F447</f>
        <v>0</v>
      </c>
      <c r="G446" s="7">
        <f t="shared" si="286"/>
        <v>0</v>
      </c>
      <c r="H446" s="7">
        <f t="shared" si="286"/>
        <v>0</v>
      </c>
      <c r="I446" s="7">
        <f t="shared" si="286"/>
        <v>0</v>
      </c>
      <c r="J446" s="7">
        <f t="shared" si="286"/>
        <v>0</v>
      </c>
      <c r="K446" s="7">
        <f t="shared" si="286"/>
        <v>0</v>
      </c>
      <c r="L446" s="7">
        <f t="shared" si="286"/>
        <v>0</v>
      </c>
      <c r="M446" s="7" t="e">
        <f t="shared" si="250"/>
        <v>#DIV/0!</v>
      </c>
    </row>
    <row r="447" spans="1:13" ht="15.75" customHeight="1" hidden="1">
      <c r="A447" s="31" t="s">
        <v>326</v>
      </c>
      <c r="B447" s="42" t="s">
        <v>316</v>
      </c>
      <c r="C447" s="42" t="s">
        <v>170</v>
      </c>
      <c r="D447" s="42" t="s">
        <v>659</v>
      </c>
      <c r="E447" s="42" t="s">
        <v>327</v>
      </c>
      <c r="F447" s="7"/>
      <c r="G447" s="7"/>
      <c r="H447" s="7"/>
      <c r="I447" s="7"/>
      <c r="J447" s="7"/>
      <c r="K447" s="7"/>
      <c r="L447" s="7"/>
      <c r="M447" s="7" t="e">
        <f t="shared" si="250"/>
        <v>#DIV/0!</v>
      </c>
    </row>
    <row r="448" spans="1:13" ht="31.5" customHeight="1">
      <c r="A448" s="31" t="s">
        <v>330</v>
      </c>
      <c r="B448" s="42" t="s">
        <v>316</v>
      </c>
      <c r="C448" s="42" t="s">
        <v>170</v>
      </c>
      <c r="D448" s="42" t="s">
        <v>466</v>
      </c>
      <c r="E448" s="42"/>
      <c r="F448" s="7">
        <f>F449</f>
        <v>0</v>
      </c>
      <c r="G448" s="7">
        <f aca="true" t="shared" si="287" ref="G448:L449">G449</f>
        <v>0</v>
      </c>
      <c r="H448" s="7">
        <f t="shared" si="287"/>
        <v>15330</v>
      </c>
      <c r="I448" s="7">
        <f t="shared" si="287"/>
        <v>10100</v>
      </c>
      <c r="J448" s="7">
        <f t="shared" si="287"/>
        <v>3600</v>
      </c>
      <c r="K448" s="7">
        <f t="shared" si="287"/>
        <v>200</v>
      </c>
      <c r="L448" s="7">
        <f t="shared" si="287"/>
        <v>0</v>
      </c>
      <c r="M448" s="7">
        <f t="shared" si="250"/>
        <v>0</v>
      </c>
    </row>
    <row r="449" spans="1:13" ht="47.25" customHeight="1">
      <c r="A449" s="31" t="s">
        <v>324</v>
      </c>
      <c r="B449" s="42" t="s">
        <v>316</v>
      </c>
      <c r="C449" s="42" t="s">
        <v>170</v>
      </c>
      <c r="D449" s="42" t="s">
        <v>466</v>
      </c>
      <c r="E449" s="42" t="s">
        <v>325</v>
      </c>
      <c r="F449" s="7">
        <f>F450</f>
        <v>0</v>
      </c>
      <c r="G449" s="7">
        <f t="shared" si="287"/>
        <v>0</v>
      </c>
      <c r="H449" s="7">
        <f t="shared" si="287"/>
        <v>15330</v>
      </c>
      <c r="I449" s="7">
        <f t="shared" si="287"/>
        <v>10100</v>
      </c>
      <c r="J449" s="7">
        <f t="shared" si="287"/>
        <v>3600</v>
      </c>
      <c r="K449" s="7">
        <f t="shared" si="287"/>
        <v>200</v>
      </c>
      <c r="L449" s="7">
        <f t="shared" si="287"/>
        <v>0</v>
      </c>
      <c r="M449" s="7">
        <f t="shared" si="250"/>
        <v>0</v>
      </c>
    </row>
    <row r="450" spans="1:13" ht="15.75" customHeight="1">
      <c r="A450" s="31" t="s">
        <v>326</v>
      </c>
      <c r="B450" s="42" t="s">
        <v>316</v>
      </c>
      <c r="C450" s="42" t="s">
        <v>170</v>
      </c>
      <c r="D450" s="42" t="s">
        <v>466</v>
      </c>
      <c r="E450" s="42" t="s">
        <v>327</v>
      </c>
      <c r="F450" s="7">
        <f>'Прил.№4 ведомств.'!G604</f>
        <v>0</v>
      </c>
      <c r="G450" s="7">
        <f>'Прил.№4 ведомств.'!I604</f>
        <v>0</v>
      </c>
      <c r="H450" s="7">
        <f>'Прил.№4 ведомств.'!J604</f>
        <v>15330</v>
      </c>
      <c r="I450" s="7">
        <f>'Прил.№4 ведомств.'!K604</f>
        <v>10100</v>
      </c>
      <c r="J450" s="7">
        <f>'Прил.№4 ведомств.'!L604</f>
        <v>3600</v>
      </c>
      <c r="K450" s="7">
        <f>'Прил.№4 ведомств.'!M604</f>
        <v>200</v>
      </c>
      <c r="L450" s="7">
        <f>'Прил.№4 ведомств.'!N604</f>
        <v>0</v>
      </c>
      <c r="M450" s="7">
        <f t="shared" si="250"/>
        <v>0</v>
      </c>
    </row>
    <row r="451" spans="1:13" ht="31.5" hidden="1">
      <c r="A451" s="31" t="s">
        <v>332</v>
      </c>
      <c r="B451" s="42" t="s">
        <v>316</v>
      </c>
      <c r="C451" s="42" t="s">
        <v>170</v>
      </c>
      <c r="D451" s="42" t="s">
        <v>467</v>
      </c>
      <c r="E451" s="42"/>
      <c r="F451" s="7">
        <f>F452</f>
        <v>1145</v>
      </c>
      <c r="G451" s="7">
        <f aca="true" t="shared" si="288" ref="G451:L452">G452</f>
        <v>1145</v>
      </c>
      <c r="H451" s="7">
        <f t="shared" si="288"/>
        <v>0</v>
      </c>
      <c r="I451" s="7">
        <f t="shared" si="288"/>
        <v>0</v>
      </c>
      <c r="J451" s="7">
        <f t="shared" si="288"/>
        <v>0</v>
      </c>
      <c r="K451" s="7">
        <f t="shared" si="288"/>
        <v>0</v>
      </c>
      <c r="L451" s="7">
        <f t="shared" si="288"/>
        <v>0</v>
      </c>
      <c r="M451" s="7" t="e">
        <f t="shared" si="250"/>
        <v>#DIV/0!</v>
      </c>
    </row>
    <row r="452" spans="1:13" ht="47.25" hidden="1">
      <c r="A452" s="31" t="s">
        <v>324</v>
      </c>
      <c r="B452" s="42" t="s">
        <v>316</v>
      </c>
      <c r="C452" s="42" t="s">
        <v>170</v>
      </c>
      <c r="D452" s="42" t="s">
        <v>467</v>
      </c>
      <c r="E452" s="42" t="s">
        <v>325</v>
      </c>
      <c r="F452" s="7">
        <f>F453</f>
        <v>1145</v>
      </c>
      <c r="G452" s="7">
        <f t="shared" si="288"/>
        <v>1145</v>
      </c>
      <c r="H452" s="7">
        <f t="shared" si="288"/>
        <v>0</v>
      </c>
      <c r="I452" s="7">
        <f t="shared" si="288"/>
        <v>0</v>
      </c>
      <c r="J452" s="7">
        <f t="shared" si="288"/>
        <v>0</v>
      </c>
      <c r="K452" s="7">
        <f t="shared" si="288"/>
        <v>0</v>
      </c>
      <c r="L452" s="7">
        <f t="shared" si="288"/>
        <v>0</v>
      </c>
      <c r="M452" s="7" t="e">
        <f t="shared" si="250"/>
        <v>#DIV/0!</v>
      </c>
    </row>
    <row r="453" spans="1:13" ht="15.75" hidden="1">
      <c r="A453" s="31" t="s">
        <v>326</v>
      </c>
      <c r="B453" s="42" t="s">
        <v>316</v>
      </c>
      <c r="C453" s="42" t="s">
        <v>170</v>
      </c>
      <c r="D453" s="42" t="s">
        <v>467</v>
      </c>
      <c r="E453" s="42" t="s">
        <v>327</v>
      </c>
      <c r="F453" s="7">
        <f>'Прил.№4 ведомств.'!G607</f>
        <v>1145</v>
      </c>
      <c r="G453" s="7">
        <f>'Прил.№4 ведомств.'!I607</f>
        <v>1145</v>
      </c>
      <c r="H453" s="7">
        <f>'Прил.№4 ведомств.'!J607</f>
        <v>0</v>
      </c>
      <c r="I453" s="7">
        <f>'Прил.№4 ведомств.'!K607</f>
        <v>0</v>
      </c>
      <c r="J453" s="7">
        <f>'Прил.№4 ведомств.'!L607</f>
        <v>0</v>
      </c>
      <c r="K453" s="7">
        <f>'Прил.№4 ведомств.'!M607</f>
        <v>0</v>
      </c>
      <c r="L453" s="7">
        <f>'Прил.№4 ведомств.'!N607</f>
        <v>0</v>
      </c>
      <c r="M453" s="7" t="e">
        <f t="shared" si="250"/>
        <v>#DIV/0!</v>
      </c>
    </row>
    <row r="454" spans="1:13" ht="47.25">
      <c r="A454" s="31" t="s">
        <v>468</v>
      </c>
      <c r="B454" s="42" t="s">
        <v>316</v>
      </c>
      <c r="C454" s="42" t="s">
        <v>170</v>
      </c>
      <c r="D454" s="42" t="s">
        <v>469</v>
      </c>
      <c r="E454" s="42"/>
      <c r="F454" s="7">
        <f>F455</f>
        <v>6730</v>
      </c>
      <c r="G454" s="7">
        <f aca="true" t="shared" si="289" ref="G454:L455">G455</f>
        <v>6730</v>
      </c>
      <c r="H454" s="7">
        <f t="shared" si="289"/>
        <v>5168.8</v>
      </c>
      <c r="I454" s="7">
        <f t="shared" si="289"/>
        <v>5168.8</v>
      </c>
      <c r="J454" s="7">
        <f t="shared" si="289"/>
        <v>5168.8</v>
      </c>
      <c r="K454" s="7">
        <f t="shared" si="289"/>
        <v>5168.8</v>
      </c>
      <c r="L454" s="7">
        <f t="shared" si="289"/>
        <v>2850</v>
      </c>
      <c r="M454" s="7">
        <f t="shared" si="250"/>
        <v>55.13852344838261</v>
      </c>
    </row>
    <row r="455" spans="1:13" ht="47.25">
      <c r="A455" s="31" t="s">
        <v>324</v>
      </c>
      <c r="B455" s="42" t="s">
        <v>316</v>
      </c>
      <c r="C455" s="42" t="s">
        <v>170</v>
      </c>
      <c r="D455" s="42" t="s">
        <v>469</v>
      </c>
      <c r="E455" s="42" t="s">
        <v>325</v>
      </c>
      <c r="F455" s="7">
        <f>F456</f>
        <v>6730</v>
      </c>
      <c r="G455" s="7">
        <f t="shared" si="289"/>
        <v>6730</v>
      </c>
      <c r="H455" s="7">
        <f t="shared" si="289"/>
        <v>5168.8</v>
      </c>
      <c r="I455" s="7">
        <f t="shared" si="289"/>
        <v>5168.8</v>
      </c>
      <c r="J455" s="7">
        <f t="shared" si="289"/>
        <v>5168.8</v>
      </c>
      <c r="K455" s="7">
        <f t="shared" si="289"/>
        <v>5168.8</v>
      </c>
      <c r="L455" s="7">
        <f t="shared" si="289"/>
        <v>2850</v>
      </c>
      <c r="M455" s="7">
        <f t="shared" si="250"/>
        <v>55.13852344838261</v>
      </c>
    </row>
    <row r="456" spans="1:13" ht="15.75">
      <c r="A456" s="31" t="s">
        <v>326</v>
      </c>
      <c r="B456" s="42" t="s">
        <v>316</v>
      </c>
      <c r="C456" s="42" t="s">
        <v>170</v>
      </c>
      <c r="D456" s="42" t="s">
        <v>469</v>
      </c>
      <c r="E456" s="42" t="s">
        <v>327</v>
      </c>
      <c r="F456" s="7">
        <f>'Прил.№4 ведомств.'!G610</f>
        <v>6730</v>
      </c>
      <c r="G456" s="7">
        <f>'Прил.№4 ведомств.'!I610</f>
        <v>6730</v>
      </c>
      <c r="H456" s="7">
        <f>'Прил.№4 ведомств.'!J610</f>
        <v>5168.8</v>
      </c>
      <c r="I456" s="7">
        <f>'Прил.№4 ведомств.'!K610</f>
        <v>5168.8</v>
      </c>
      <c r="J456" s="7">
        <f>'Прил.№4 ведомств.'!L610</f>
        <v>5168.8</v>
      </c>
      <c r="K456" s="7">
        <f>'Прил.№4 ведомств.'!M610</f>
        <v>5168.8</v>
      </c>
      <c r="L456" s="7">
        <f>'Прил.№4 ведомств.'!N610</f>
        <v>2850</v>
      </c>
      <c r="M456" s="7">
        <f t="shared" si="250"/>
        <v>55.13852344838261</v>
      </c>
    </row>
    <row r="457" spans="1:13" ht="31.5" customHeight="1" hidden="1">
      <c r="A457" s="31" t="s">
        <v>336</v>
      </c>
      <c r="B457" s="42" t="s">
        <v>316</v>
      </c>
      <c r="C457" s="42" t="s">
        <v>170</v>
      </c>
      <c r="D457" s="42" t="s">
        <v>470</v>
      </c>
      <c r="E457" s="42"/>
      <c r="F457" s="7">
        <f>F458</f>
        <v>0</v>
      </c>
      <c r="G457" s="7">
        <f aca="true" t="shared" si="290" ref="G457:L458">G458</f>
        <v>0</v>
      </c>
      <c r="H457" s="7">
        <f t="shared" si="290"/>
        <v>500</v>
      </c>
      <c r="I457" s="7">
        <f t="shared" si="290"/>
        <v>50</v>
      </c>
      <c r="J457" s="7">
        <f t="shared" si="290"/>
        <v>500</v>
      </c>
      <c r="K457" s="7">
        <f t="shared" si="290"/>
        <v>0</v>
      </c>
      <c r="L457" s="7">
        <f t="shared" si="290"/>
        <v>0</v>
      </c>
      <c r="M457" s="7" t="e">
        <f t="shared" si="250"/>
        <v>#DIV/0!</v>
      </c>
    </row>
    <row r="458" spans="1:13" ht="47.25" customHeight="1" hidden="1">
      <c r="A458" s="31" t="s">
        <v>324</v>
      </c>
      <c r="B458" s="42" t="s">
        <v>316</v>
      </c>
      <c r="C458" s="42" t="s">
        <v>170</v>
      </c>
      <c r="D458" s="42" t="s">
        <v>470</v>
      </c>
      <c r="E458" s="42" t="s">
        <v>325</v>
      </c>
      <c r="F458" s="7">
        <f>F459</f>
        <v>0</v>
      </c>
      <c r="G458" s="7">
        <f t="shared" si="290"/>
        <v>0</v>
      </c>
      <c r="H458" s="7">
        <f t="shared" si="290"/>
        <v>500</v>
      </c>
      <c r="I458" s="7">
        <f t="shared" si="290"/>
        <v>50</v>
      </c>
      <c r="J458" s="7">
        <f t="shared" si="290"/>
        <v>500</v>
      </c>
      <c r="K458" s="7">
        <f t="shared" si="290"/>
        <v>0</v>
      </c>
      <c r="L458" s="7">
        <f t="shared" si="290"/>
        <v>0</v>
      </c>
      <c r="M458" s="7" t="e">
        <f t="shared" si="250"/>
        <v>#DIV/0!</v>
      </c>
    </row>
    <row r="459" spans="1:13" ht="15.75" customHeight="1" hidden="1">
      <c r="A459" s="31" t="s">
        <v>326</v>
      </c>
      <c r="B459" s="42" t="s">
        <v>316</v>
      </c>
      <c r="C459" s="42" t="s">
        <v>170</v>
      </c>
      <c r="D459" s="42" t="s">
        <v>470</v>
      </c>
      <c r="E459" s="42" t="s">
        <v>327</v>
      </c>
      <c r="F459" s="7">
        <f>'Прил.№4 ведомств.'!G613</f>
        <v>0</v>
      </c>
      <c r="G459" s="7">
        <f>'Прил.№4 ведомств.'!I613</f>
        <v>0</v>
      </c>
      <c r="H459" s="7">
        <f>'Прил.№4 ведомств.'!J613</f>
        <v>500</v>
      </c>
      <c r="I459" s="7">
        <f>'Прил.№4 ведомств.'!K613</f>
        <v>50</v>
      </c>
      <c r="J459" s="7">
        <f>'Прил.№4 ведомств.'!L613</f>
        <v>500</v>
      </c>
      <c r="K459" s="7">
        <f>'Прил.№4 ведомств.'!M613</f>
        <v>0</v>
      </c>
      <c r="L459" s="7">
        <f>'Прил.№4 ведомств.'!N613</f>
        <v>0</v>
      </c>
      <c r="M459" s="7" t="e">
        <f t="shared" si="250"/>
        <v>#DIV/0!</v>
      </c>
    </row>
    <row r="460" spans="1:13" ht="42" customHeight="1">
      <c r="A460" s="70" t="s">
        <v>865</v>
      </c>
      <c r="B460" s="21" t="s">
        <v>316</v>
      </c>
      <c r="C460" s="21" t="s">
        <v>170</v>
      </c>
      <c r="D460" s="21" t="s">
        <v>868</v>
      </c>
      <c r="E460" s="21"/>
      <c r="F460" s="7">
        <f>F461</f>
        <v>0</v>
      </c>
      <c r="G460" s="7">
        <f aca="true" t="shared" si="291" ref="G460:L461">G461</f>
        <v>0</v>
      </c>
      <c r="H460" s="7">
        <f t="shared" si="291"/>
        <v>3468.9</v>
      </c>
      <c r="I460" s="7">
        <f t="shared" si="291"/>
        <v>3468.9</v>
      </c>
      <c r="J460" s="7">
        <f t="shared" si="291"/>
        <v>3468.9</v>
      </c>
      <c r="K460" s="7">
        <f t="shared" si="291"/>
        <v>3218.9</v>
      </c>
      <c r="L460" s="7">
        <f t="shared" si="291"/>
        <v>3100</v>
      </c>
      <c r="M460" s="7">
        <f t="shared" si="250"/>
        <v>96.30619155612166</v>
      </c>
    </row>
    <row r="461" spans="1:13" ht="46.5" customHeight="1">
      <c r="A461" s="31" t="s">
        <v>324</v>
      </c>
      <c r="B461" s="21" t="s">
        <v>316</v>
      </c>
      <c r="C461" s="21" t="s">
        <v>170</v>
      </c>
      <c r="D461" s="21" t="s">
        <v>868</v>
      </c>
      <c r="E461" s="21" t="s">
        <v>325</v>
      </c>
      <c r="F461" s="7">
        <f>F462</f>
        <v>0</v>
      </c>
      <c r="G461" s="7">
        <f t="shared" si="291"/>
        <v>0</v>
      </c>
      <c r="H461" s="7">
        <f t="shared" si="291"/>
        <v>3468.9</v>
      </c>
      <c r="I461" s="7">
        <f t="shared" si="291"/>
        <v>3468.9</v>
      </c>
      <c r="J461" s="7">
        <f t="shared" si="291"/>
        <v>3468.9</v>
      </c>
      <c r="K461" s="7">
        <f t="shared" si="291"/>
        <v>3218.9</v>
      </c>
      <c r="L461" s="7">
        <f t="shared" si="291"/>
        <v>3100</v>
      </c>
      <c r="M461" s="7">
        <f aca="true" t="shared" si="292" ref="M461:M524">L461/K461*100</f>
        <v>96.30619155612166</v>
      </c>
    </row>
    <row r="462" spans="1:13" ht="15.75" customHeight="1">
      <c r="A462" s="256" t="s">
        <v>326</v>
      </c>
      <c r="B462" s="21" t="s">
        <v>316</v>
      </c>
      <c r="C462" s="21" t="s">
        <v>170</v>
      </c>
      <c r="D462" s="21" t="s">
        <v>868</v>
      </c>
      <c r="E462" s="21" t="s">
        <v>327</v>
      </c>
      <c r="F462" s="7">
        <f>'Прил.№4 ведомств.'!G616</f>
        <v>0</v>
      </c>
      <c r="G462" s="7">
        <f>'Прил.№4 ведомств.'!I616</f>
        <v>0</v>
      </c>
      <c r="H462" s="7">
        <f>'Прил.№4 ведомств.'!J616</f>
        <v>3468.9</v>
      </c>
      <c r="I462" s="7">
        <f>'Прил.№4 ведомств.'!K616</f>
        <v>3468.9</v>
      </c>
      <c r="J462" s="7">
        <f>'Прил.№4 ведомств.'!L616</f>
        <v>3468.9</v>
      </c>
      <c r="K462" s="7">
        <f>'Прил.№4 ведомств.'!M616</f>
        <v>3218.9</v>
      </c>
      <c r="L462" s="7">
        <f>'Прил.№4 ведомств.'!N616</f>
        <v>3100</v>
      </c>
      <c r="M462" s="7">
        <f t="shared" si="292"/>
        <v>96.30619155612166</v>
      </c>
    </row>
    <row r="463" spans="1:13" ht="48.75" customHeight="1">
      <c r="A463" s="70" t="s">
        <v>874</v>
      </c>
      <c r="B463" s="21" t="s">
        <v>316</v>
      </c>
      <c r="C463" s="21" t="s">
        <v>170</v>
      </c>
      <c r="D463" s="21" t="s">
        <v>869</v>
      </c>
      <c r="E463" s="21"/>
      <c r="F463" s="7">
        <f>F464</f>
        <v>0</v>
      </c>
      <c r="G463" s="7">
        <f aca="true" t="shared" si="293" ref="G463:L464">G464</f>
        <v>0</v>
      </c>
      <c r="H463" s="7">
        <f t="shared" si="293"/>
        <v>1230.6</v>
      </c>
      <c r="I463" s="7">
        <f t="shared" si="293"/>
        <v>1230.6</v>
      </c>
      <c r="J463" s="7">
        <f t="shared" si="293"/>
        <v>1230.6</v>
      </c>
      <c r="K463" s="7">
        <f t="shared" si="293"/>
        <v>1230.6</v>
      </c>
      <c r="L463" s="7">
        <f t="shared" si="293"/>
        <v>790</v>
      </c>
      <c r="M463" s="7">
        <f t="shared" si="292"/>
        <v>64.19632699496182</v>
      </c>
    </row>
    <row r="464" spans="1:13" ht="49.5" customHeight="1">
      <c r="A464" s="31" t="s">
        <v>324</v>
      </c>
      <c r="B464" s="21" t="s">
        <v>316</v>
      </c>
      <c r="C464" s="21" t="s">
        <v>170</v>
      </c>
      <c r="D464" s="21" t="s">
        <v>869</v>
      </c>
      <c r="E464" s="21" t="s">
        <v>325</v>
      </c>
      <c r="F464" s="7">
        <f>F465</f>
        <v>0</v>
      </c>
      <c r="G464" s="7">
        <f t="shared" si="293"/>
        <v>0</v>
      </c>
      <c r="H464" s="7">
        <f t="shared" si="293"/>
        <v>1230.6</v>
      </c>
      <c r="I464" s="7">
        <f t="shared" si="293"/>
        <v>1230.6</v>
      </c>
      <c r="J464" s="7">
        <f t="shared" si="293"/>
        <v>1230.6</v>
      </c>
      <c r="K464" s="7">
        <f t="shared" si="293"/>
        <v>1230.6</v>
      </c>
      <c r="L464" s="7">
        <f t="shared" si="293"/>
        <v>790</v>
      </c>
      <c r="M464" s="7">
        <f t="shared" si="292"/>
        <v>64.19632699496182</v>
      </c>
    </row>
    <row r="465" spans="1:13" ht="15.75" customHeight="1">
      <c r="A465" s="256" t="s">
        <v>326</v>
      </c>
      <c r="B465" s="21" t="s">
        <v>316</v>
      </c>
      <c r="C465" s="21" t="s">
        <v>170</v>
      </c>
      <c r="D465" s="21" t="s">
        <v>869</v>
      </c>
      <c r="E465" s="21" t="s">
        <v>327</v>
      </c>
      <c r="F465" s="7">
        <f>'Прил.№4 ведомств.'!G619</f>
        <v>0</v>
      </c>
      <c r="G465" s="7">
        <f>'Прил.№4 ведомств.'!I619</f>
        <v>0</v>
      </c>
      <c r="H465" s="7">
        <f>'Прил.№4 ведомств.'!J619</f>
        <v>1230.6</v>
      </c>
      <c r="I465" s="7">
        <f>'Прил.№4 ведомств.'!K619</f>
        <v>1230.6</v>
      </c>
      <c r="J465" s="7">
        <f>'Прил.№4 ведомств.'!L619</f>
        <v>1230.6</v>
      </c>
      <c r="K465" s="7">
        <f>'Прил.№4 ведомств.'!M619</f>
        <v>1230.6</v>
      </c>
      <c r="L465" s="7">
        <f>'Прил.№4 ведомств.'!N619</f>
        <v>790</v>
      </c>
      <c r="M465" s="7">
        <f t="shared" si="292"/>
        <v>64.19632699496182</v>
      </c>
    </row>
    <row r="466" spans="1:13" ht="15.75">
      <c r="A466" s="31" t="s">
        <v>173</v>
      </c>
      <c r="B466" s="42" t="s">
        <v>316</v>
      </c>
      <c r="C466" s="42" t="s">
        <v>170</v>
      </c>
      <c r="D466" s="42" t="s">
        <v>174</v>
      </c>
      <c r="E466" s="42"/>
      <c r="F466" s="7">
        <f>F467</f>
        <v>61206</v>
      </c>
      <c r="G466" s="7">
        <f aca="true" t="shared" si="294" ref="G466:L466">G467</f>
        <v>61206</v>
      </c>
      <c r="H466" s="7">
        <f t="shared" si="294"/>
        <v>61206</v>
      </c>
      <c r="I466" s="7">
        <f t="shared" si="294"/>
        <v>61206</v>
      </c>
      <c r="J466" s="7">
        <f t="shared" si="294"/>
        <v>61206</v>
      </c>
      <c r="K466" s="7">
        <f t="shared" si="294"/>
        <v>66941.6</v>
      </c>
      <c r="L466" s="7">
        <f t="shared" si="294"/>
        <v>36706</v>
      </c>
      <c r="M466" s="7">
        <f t="shared" si="292"/>
        <v>54.83286924722444</v>
      </c>
    </row>
    <row r="467" spans="1:13" ht="31.5">
      <c r="A467" s="31" t="s">
        <v>237</v>
      </c>
      <c r="B467" s="42" t="s">
        <v>316</v>
      </c>
      <c r="C467" s="42" t="s">
        <v>170</v>
      </c>
      <c r="D467" s="42" t="s">
        <v>238</v>
      </c>
      <c r="E467" s="42"/>
      <c r="F467" s="7">
        <f>F468+F471+F474+F477+F480</f>
        <v>61206</v>
      </c>
      <c r="G467" s="7">
        <f aca="true" t="shared" si="295" ref="G467:K467">G468+G471+G474+G477+G480</f>
        <v>61206</v>
      </c>
      <c r="H467" s="7">
        <f t="shared" si="295"/>
        <v>61206</v>
      </c>
      <c r="I467" s="7">
        <f t="shared" si="295"/>
        <v>61206</v>
      </c>
      <c r="J467" s="7">
        <f t="shared" si="295"/>
        <v>61206</v>
      </c>
      <c r="K467" s="7">
        <f t="shared" si="295"/>
        <v>66941.6</v>
      </c>
      <c r="L467" s="7">
        <f aca="true" t="shared" si="296" ref="L467">L468+L471+L474+L477+L480</f>
        <v>36706</v>
      </c>
      <c r="M467" s="7">
        <f t="shared" si="292"/>
        <v>54.83286924722444</v>
      </c>
    </row>
    <row r="468" spans="1:13" ht="63">
      <c r="A468" s="47" t="s">
        <v>341</v>
      </c>
      <c r="B468" s="42" t="s">
        <v>316</v>
      </c>
      <c r="C468" s="42" t="s">
        <v>170</v>
      </c>
      <c r="D468" s="42" t="s">
        <v>342</v>
      </c>
      <c r="E468" s="42"/>
      <c r="F468" s="7">
        <f>F469</f>
        <v>310.2</v>
      </c>
      <c r="G468" s="7">
        <f aca="true" t="shared" si="297" ref="G468:L469">G469</f>
        <v>310.2</v>
      </c>
      <c r="H468" s="7">
        <f t="shared" si="297"/>
        <v>310.2</v>
      </c>
      <c r="I468" s="7">
        <f t="shared" si="297"/>
        <v>310.2</v>
      </c>
      <c r="J468" s="7">
        <f t="shared" si="297"/>
        <v>310.2</v>
      </c>
      <c r="K468" s="7">
        <f t="shared" si="297"/>
        <v>310.2</v>
      </c>
      <c r="L468" s="7">
        <f t="shared" si="297"/>
        <v>217.5</v>
      </c>
      <c r="M468" s="7">
        <f t="shared" si="292"/>
        <v>70.11605415860735</v>
      </c>
    </row>
    <row r="469" spans="1:13" ht="47.25">
      <c r="A469" s="31" t="s">
        <v>324</v>
      </c>
      <c r="B469" s="42" t="s">
        <v>316</v>
      </c>
      <c r="C469" s="42" t="s">
        <v>170</v>
      </c>
      <c r="D469" s="42" t="s">
        <v>342</v>
      </c>
      <c r="E469" s="42" t="s">
        <v>325</v>
      </c>
      <c r="F469" s="7">
        <f>F470</f>
        <v>310.2</v>
      </c>
      <c r="G469" s="7">
        <f t="shared" si="297"/>
        <v>310.2</v>
      </c>
      <c r="H469" s="7">
        <f t="shared" si="297"/>
        <v>310.2</v>
      </c>
      <c r="I469" s="7">
        <f t="shared" si="297"/>
        <v>310.2</v>
      </c>
      <c r="J469" s="7">
        <f t="shared" si="297"/>
        <v>310.2</v>
      </c>
      <c r="K469" s="7">
        <f t="shared" si="297"/>
        <v>310.2</v>
      </c>
      <c r="L469" s="7">
        <f t="shared" si="297"/>
        <v>217.5</v>
      </c>
      <c r="M469" s="7">
        <f t="shared" si="292"/>
        <v>70.11605415860735</v>
      </c>
    </row>
    <row r="470" spans="1:13" ht="15.75">
      <c r="A470" s="31" t="s">
        <v>326</v>
      </c>
      <c r="B470" s="42" t="s">
        <v>316</v>
      </c>
      <c r="C470" s="42" t="s">
        <v>170</v>
      </c>
      <c r="D470" s="42" t="s">
        <v>342</v>
      </c>
      <c r="E470" s="42" t="s">
        <v>327</v>
      </c>
      <c r="F470" s="7">
        <f>'Прил.№4 ведомств.'!G627</f>
        <v>310.2</v>
      </c>
      <c r="G470" s="7">
        <f>'Прил.№4 ведомств.'!I627</f>
        <v>310.2</v>
      </c>
      <c r="H470" s="7">
        <f>'Прил.№4 ведомств.'!J627</f>
        <v>310.2</v>
      </c>
      <c r="I470" s="7">
        <f>'Прил.№4 ведомств.'!K627</f>
        <v>310.2</v>
      </c>
      <c r="J470" s="7">
        <f>'Прил.№4 ведомств.'!L627</f>
        <v>310.2</v>
      </c>
      <c r="K470" s="7">
        <f>'Прил.№4 ведомств.'!M627</f>
        <v>310.2</v>
      </c>
      <c r="L470" s="7">
        <f>'Прил.№4 ведомств.'!N627</f>
        <v>217.5</v>
      </c>
      <c r="M470" s="7">
        <f t="shared" si="292"/>
        <v>70.11605415860735</v>
      </c>
    </row>
    <row r="471" spans="1:13" ht="63">
      <c r="A471" s="47" t="s">
        <v>473</v>
      </c>
      <c r="B471" s="42" t="s">
        <v>316</v>
      </c>
      <c r="C471" s="42" t="s">
        <v>170</v>
      </c>
      <c r="D471" s="42" t="s">
        <v>344</v>
      </c>
      <c r="E471" s="42"/>
      <c r="F471" s="7">
        <f>F472</f>
        <v>1696.8</v>
      </c>
      <c r="G471" s="7">
        <f aca="true" t="shared" si="298" ref="G471:L472">G472</f>
        <v>1696.8</v>
      </c>
      <c r="H471" s="7">
        <f t="shared" si="298"/>
        <v>1696.8</v>
      </c>
      <c r="I471" s="7">
        <f t="shared" si="298"/>
        <v>1696.8</v>
      </c>
      <c r="J471" s="7">
        <f t="shared" si="298"/>
        <v>1696.8</v>
      </c>
      <c r="K471" s="7">
        <f t="shared" si="298"/>
        <v>1755.8</v>
      </c>
      <c r="L471" s="7">
        <f t="shared" si="298"/>
        <v>944.4</v>
      </c>
      <c r="M471" s="7">
        <f t="shared" si="292"/>
        <v>53.787447317462124</v>
      </c>
    </row>
    <row r="472" spans="1:13" ht="47.25">
      <c r="A472" s="31" t="s">
        <v>324</v>
      </c>
      <c r="B472" s="42" t="s">
        <v>316</v>
      </c>
      <c r="C472" s="42" t="s">
        <v>170</v>
      </c>
      <c r="D472" s="42" t="s">
        <v>344</v>
      </c>
      <c r="E472" s="42" t="s">
        <v>325</v>
      </c>
      <c r="F472" s="7">
        <f>F473</f>
        <v>1696.8</v>
      </c>
      <c r="G472" s="7">
        <f t="shared" si="298"/>
        <v>1696.8</v>
      </c>
      <c r="H472" s="7">
        <f t="shared" si="298"/>
        <v>1696.8</v>
      </c>
      <c r="I472" s="7">
        <f t="shared" si="298"/>
        <v>1696.8</v>
      </c>
      <c r="J472" s="7">
        <f t="shared" si="298"/>
        <v>1696.8</v>
      </c>
      <c r="K472" s="7">
        <f t="shared" si="298"/>
        <v>1755.8</v>
      </c>
      <c r="L472" s="7">
        <f t="shared" si="298"/>
        <v>944.4</v>
      </c>
      <c r="M472" s="7">
        <f t="shared" si="292"/>
        <v>53.787447317462124</v>
      </c>
    </row>
    <row r="473" spans="1:13" ht="15.75">
      <c r="A473" s="31" t="s">
        <v>326</v>
      </c>
      <c r="B473" s="42" t="s">
        <v>316</v>
      </c>
      <c r="C473" s="42" t="s">
        <v>170</v>
      </c>
      <c r="D473" s="42" t="s">
        <v>344</v>
      </c>
      <c r="E473" s="42" t="s">
        <v>327</v>
      </c>
      <c r="F473" s="7">
        <f>'Прил.№4 ведомств.'!G630</f>
        <v>1696.8</v>
      </c>
      <c r="G473" s="7">
        <f>'Прил.№4 ведомств.'!I630</f>
        <v>1696.8</v>
      </c>
      <c r="H473" s="7">
        <f>'Прил.№4 ведомств.'!J630</f>
        <v>1696.8</v>
      </c>
      <c r="I473" s="7">
        <f>'Прил.№4 ведомств.'!K630</f>
        <v>1696.8</v>
      </c>
      <c r="J473" s="7">
        <f>'Прил.№4 ведомств.'!L630</f>
        <v>1696.8</v>
      </c>
      <c r="K473" s="7">
        <f>'Прил.№4 ведомств.'!M630</f>
        <v>1755.8</v>
      </c>
      <c r="L473" s="7">
        <f>'Прил.№4 ведомств.'!N630</f>
        <v>944.4</v>
      </c>
      <c r="M473" s="7">
        <f t="shared" si="292"/>
        <v>53.787447317462124</v>
      </c>
    </row>
    <row r="474" spans="1:13" ht="94.5">
      <c r="A474" s="33" t="s">
        <v>474</v>
      </c>
      <c r="B474" s="42" t="s">
        <v>316</v>
      </c>
      <c r="C474" s="42" t="s">
        <v>170</v>
      </c>
      <c r="D474" s="42" t="s">
        <v>475</v>
      </c>
      <c r="E474" s="42"/>
      <c r="F474" s="7">
        <f>F475</f>
        <v>56320</v>
      </c>
      <c r="G474" s="7">
        <f aca="true" t="shared" si="299" ref="G474:L475">G475</f>
        <v>56320</v>
      </c>
      <c r="H474" s="7">
        <f t="shared" si="299"/>
        <v>56320</v>
      </c>
      <c r="I474" s="7">
        <f t="shared" si="299"/>
        <v>56320</v>
      </c>
      <c r="J474" s="7">
        <f t="shared" si="299"/>
        <v>56320</v>
      </c>
      <c r="K474" s="7">
        <f t="shared" si="299"/>
        <v>62045.6</v>
      </c>
      <c r="L474" s="7">
        <f t="shared" si="299"/>
        <v>34021</v>
      </c>
      <c r="M474" s="7">
        <f t="shared" si="292"/>
        <v>54.832252407906445</v>
      </c>
    </row>
    <row r="475" spans="1:13" ht="47.25">
      <c r="A475" s="31" t="s">
        <v>324</v>
      </c>
      <c r="B475" s="42" t="s">
        <v>316</v>
      </c>
      <c r="C475" s="42" t="s">
        <v>170</v>
      </c>
      <c r="D475" s="42" t="s">
        <v>475</v>
      </c>
      <c r="E475" s="42" t="s">
        <v>325</v>
      </c>
      <c r="F475" s="7">
        <f>F476</f>
        <v>56320</v>
      </c>
      <c r="G475" s="7">
        <f t="shared" si="299"/>
        <v>56320</v>
      </c>
      <c r="H475" s="7">
        <f t="shared" si="299"/>
        <v>56320</v>
      </c>
      <c r="I475" s="7">
        <f t="shared" si="299"/>
        <v>56320</v>
      </c>
      <c r="J475" s="7">
        <f t="shared" si="299"/>
        <v>56320</v>
      </c>
      <c r="K475" s="7">
        <f t="shared" si="299"/>
        <v>62045.6</v>
      </c>
      <c r="L475" s="7">
        <f t="shared" si="299"/>
        <v>34021</v>
      </c>
      <c r="M475" s="7">
        <f t="shared" si="292"/>
        <v>54.832252407906445</v>
      </c>
    </row>
    <row r="476" spans="1:13" ht="15.75">
      <c r="A476" s="31" t="s">
        <v>326</v>
      </c>
      <c r="B476" s="42" t="s">
        <v>316</v>
      </c>
      <c r="C476" s="42" t="s">
        <v>170</v>
      </c>
      <c r="D476" s="42" t="s">
        <v>475</v>
      </c>
      <c r="E476" s="42" t="s">
        <v>327</v>
      </c>
      <c r="F476" s="7">
        <f>'Прил.№4 ведомств.'!G633</f>
        <v>56320</v>
      </c>
      <c r="G476" s="7">
        <f>'Прил.№4 ведомств.'!I633</f>
        <v>56320</v>
      </c>
      <c r="H476" s="7">
        <f>'Прил.№4 ведомств.'!J633</f>
        <v>56320</v>
      </c>
      <c r="I476" s="7">
        <f>'Прил.№4 ведомств.'!K633</f>
        <v>56320</v>
      </c>
      <c r="J476" s="7">
        <f>'Прил.№4 ведомств.'!L633</f>
        <v>56320</v>
      </c>
      <c r="K476" s="7">
        <f>'Прил.№4 ведомств.'!M633</f>
        <v>62045.6</v>
      </c>
      <c r="L476" s="7">
        <f>'Прил.№4 ведомств.'!N633</f>
        <v>34021</v>
      </c>
      <c r="M476" s="7">
        <f t="shared" si="292"/>
        <v>54.832252407906445</v>
      </c>
    </row>
    <row r="477" spans="1:13" ht="94.5">
      <c r="A477" s="47" t="s">
        <v>345</v>
      </c>
      <c r="B477" s="42" t="s">
        <v>316</v>
      </c>
      <c r="C477" s="42" t="s">
        <v>170</v>
      </c>
      <c r="D477" s="21" t="s">
        <v>346</v>
      </c>
      <c r="E477" s="42"/>
      <c r="F477" s="7">
        <f>F478</f>
        <v>2879</v>
      </c>
      <c r="G477" s="7">
        <f aca="true" t="shared" si="300" ref="G477:L478">G478</f>
        <v>2879</v>
      </c>
      <c r="H477" s="7">
        <f t="shared" si="300"/>
        <v>2879</v>
      </c>
      <c r="I477" s="7">
        <f t="shared" si="300"/>
        <v>2879</v>
      </c>
      <c r="J477" s="7">
        <f t="shared" si="300"/>
        <v>2879</v>
      </c>
      <c r="K477" s="7">
        <f t="shared" si="300"/>
        <v>2830</v>
      </c>
      <c r="L477" s="7">
        <f t="shared" si="300"/>
        <v>1523.1</v>
      </c>
      <c r="M477" s="7">
        <f t="shared" si="292"/>
        <v>53.819787985865716</v>
      </c>
    </row>
    <row r="478" spans="1:13" ht="47.25">
      <c r="A478" s="31" t="s">
        <v>324</v>
      </c>
      <c r="B478" s="42" t="s">
        <v>316</v>
      </c>
      <c r="C478" s="42" t="s">
        <v>170</v>
      </c>
      <c r="D478" s="21" t="s">
        <v>346</v>
      </c>
      <c r="E478" s="42" t="s">
        <v>325</v>
      </c>
      <c r="F478" s="7">
        <f>F479</f>
        <v>2879</v>
      </c>
      <c r="G478" s="7">
        <f t="shared" si="300"/>
        <v>2879</v>
      </c>
      <c r="H478" s="7">
        <f t="shared" si="300"/>
        <v>2879</v>
      </c>
      <c r="I478" s="7">
        <f t="shared" si="300"/>
        <v>2879</v>
      </c>
      <c r="J478" s="7">
        <f t="shared" si="300"/>
        <v>2879</v>
      </c>
      <c r="K478" s="7">
        <f t="shared" si="300"/>
        <v>2830</v>
      </c>
      <c r="L478" s="7">
        <f t="shared" si="300"/>
        <v>1523.1</v>
      </c>
      <c r="M478" s="7">
        <f t="shared" si="292"/>
        <v>53.819787985865716</v>
      </c>
    </row>
    <row r="479" spans="1:13" ht="15.75">
      <c r="A479" s="31" t="s">
        <v>326</v>
      </c>
      <c r="B479" s="42" t="s">
        <v>316</v>
      </c>
      <c r="C479" s="42" t="s">
        <v>170</v>
      </c>
      <c r="D479" s="21" t="s">
        <v>346</v>
      </c>
      <c r="E479" s="42" t="s">
        <v>327</v>
      </c>
      <c r="F479" s="7">
        <f>'Прил.№4 ведомств.'!G636</f>
        <v>2879</v>
      </c>
      <c r="G479" s="7">
        <f>'Прил.№4 ведомств.'!I636</f>
        <v>2879</v>
      </c>
      <c r="H479" s="7">
        <f>'Прил.№4 ведомств.'!J636</f>
        <v>2879</v>
      </c>
      <c r="I479" s="7">
        <f>'Прил.№4 ведомств.'!K636</f>
        <v>2879</v>
      </c>
      <c r="J479" s="7">
        <f>'Прил.№4 ведомств.'!L636</f>
        <v>2879</v>
      </c>
      <c r="K479" s="7">
        <f>'Прил.№4 ведомств.'!M636</f>
        <v>2830</v>
      </c>
      <c r="L479" s="7">
        <f>'Прил.№4 ведомств.'!N636</f>
        <v>1523.1</v>
      </c>
      <c r="M479" s="7">
        <f t="shared" si="292"/>
        <v>53.819787985865716</v>
      </c>
    </row>
    <row r="480" spans="1:13" ht="141.75" customHeight="1" hidden="1">
      <c r="A480" s="26" t="s">
        <v>476</v>
      </c>
      <c r="B480" s="42" t="s">
        <v>316</v>
      </c>
      <c r="C480" s="42" t="s">
        <v>170</v>
      </c>
      <c r="D480" s="21" t="s">
        <v>477</v>
      </c>
      <c r="E480" s="42"/>
      <c r="F480" s="7">
        <f>F481</f>
        <v>0</v>
      </c>
      <c r="G480" s="7">
        <f aca="true" t="shared" si="301" ref="G480:L481">G481</f>
        <v>0</v>
      </c>
      <c r="H480" s="7">
        <f t="shared" si="301"/>
        <v>0</v>
      </c>
      <c r="I480" s="7">
        <f t="shared" si="301"/>
        <v>0</v>
      </c>
      <c r="J480" s="7">
        <f t="shared" si="301"/>
        <v>0</v>
      </c>
      <c r="K480" s="7">
        <f t="shared" si="301"/>
        <v>0</v>
      </c>
      <c r="L480" s="7">
        <f t="shared" si="301"/>
        <v>0</v>
      </c>
      <c r="M480" s="4" t="e">
        <f t="shared" si="292"/>
        <v>#DIV/0!</v>
      </c>
    </row>
    <row r="481" spans="1:13" ht="47.25" customHeight="1" hidden="1">
      <c r="A481" s="26" t="s">
        <v>324</v>
      </c>
      <c r="B481" s="42" t="s">
        <v>316</v>
      </c>
      <c r="C481" s="42" t="s">
        <v>170</v>
      </c>
      <c r="D481" s="21" t="s">
        <v>477</v>
      </c>
      <c r="E481" s="42" t="s">
        <v>325</v>
      </c>
      <c r="F481" s="7">
        <f>F482</f>
        <v>0</v>
      </c>
      <c r="G481" s="7">
        <f t="shared" si="301"/>
        <v>0</v>
      </c>
      <c r="H481" s="7">
        <f t="shared" si="301"/>
        <v>0</v>
      </c>
      <c r="I481" s="7">
        <f t="shared" si="301"/>
        <v>0</v>
      </c>
      <c r="J481" s="7">
        <f t="shared" si="301"/>
        <v>0</v>
      </c>
      <c r="K481" s="7">
        <f t="shared" si="301"/>
        <v>0</v>
      </c>
      <c r="L481" s="7">
        <f t="shared" si="301"/>
        <v>0</v>
      </c>
      <c r="M481" s="4" t="e">
        <f t="shared" si="292"/>
        <v>#DIV/0!</v>
      </c>
    </row>
    <row r="482" spans="1:13" ht="15.75" customHeight="1" hidden="1">
      <c r="A482" s="26" t="s">
        <v>326</v>
      </c>
      <c r="B482" s="42" t="s">
        <v>316</v>
      </c>
      <c r="C482" s="42" t="s">
        <v>170</v>
      </c>
      <c r="D482" s="21" t="s">
        <v>477</v>
      </c>
      <c r="E482" s="42" t="s">
        <v>327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4" t="e">
        <f t="shared" si="292"/>
        <v>#DIV/0!</v>
      </c>
    </row>
    <row r="483" spans="1:13" ht="15.75">
      <c r="A483" s="43" t="s">
        <v>478</v>
      </c>
      <c r="B483" s="8" t="s">
        <v>316</v>
      </c>
      <c r="C483" s="8" t="s">
        <v>265</v>
      </c>
      <c r="D483" s="8"/>
      <c r="E483" s="8"/>
      <c r="F483" s="4">
        <f aca="true" t="shared" si="302" ref="F483:K483">F484+F528</f>
        <v>130684.4</v>
      </c>
      <c r="G483" s="4">
        <f t="shared" si="302"/>
        <v>129899.26666666666</v>
      </c>
      <c r="H483" s="4">
        <f t="shared" si="302"/>
        <v>135586.40000000002</v>
      </c>
      <c r="I483" s="4">
        <f t="shared" si="302"/>
        <v>132510.3</v>
      </c>
      <c r="J483" s="4">
        <f t="shared" si="302"/>
        <v>131125.7</v>
      </c>
      <c r="K483" s="4">
        <f t="shared" si="302"/>
        <v>127073.4</v>
      </c>
      <c r="L483" s="4">
        <f aca="true" t="shared" si="303" ref="L483">L484+L528</f>
        <v>89327.3</v>
      </c>
      <c r="M483" s="4">
        <f t="shared" si="292"/>
        <v>70.29582902479984</v>
      </c>
    </row>
    <row r="484" spans="1:13" ht="47.25">
      <c r="A484" s="31" t="s">
        <v>479</v>
      </c>
      <c r="B484" s="42" t="s">
        <v>316</v>
      </c>
      <c r="C484" s="42" t="s">
        <v>265</v>
      </c>
      <c r="D484" s="42" t="s">
        <v>459</v>
      </c>
      <c r="E484" s="42"/>
      <c r="F484" s="7">
        <f>F485+F489</f>
        <v>40826.6</v>
      </c>
      <c r="G484" s="7">
        <f aca="true" t="shared" si="304" ref="G484:K484">G485+G489</f>
        <v>40041.46666666667</v>
      </c>
      <c r="H484" s="7">
        <f t="shared" si="304"/>
        <v>45728.600000000006</v>
      </c>
      <c r="I484" s="7">
        <f t="shared" si="304"/>
        <v>42652.5</v>
      </c>
      <c r="J484" s="7">
        <f t="shared" si="304"/>
        <v>41267.9</v>
      </c>
      <c r="K484" s="7">
        <f t="shared" si="304"/>
        <v>37506.2</v>
      </c>
      <c r="L484" s="7">
        <f aca="true" t="shared" si="305" ref="L484">L485+L489</f>
        <v>25060.5</v>
      </c>
      <c r="M484" s="7">
        <f t="shared" si="292"/>
        <v>66.81695293044883</v>
      </c>
    </row>
    <row r="485" spans="1:13" ht="31.5">
      <c r="A485" s="31" t="s">
        <v>460</v>
      </c>
      <c r="B485" s="42" t="s">
        <v>316</v>
      </c>
      <c r="C485" s="42" t="s">
        <v>265</v>
      </c>
      <c r="D485" s="42" t="s">
        <v>461</v>
      </c>
      <c r="E485" s="42"/>
      <c r="F485" s="7">
        <f>F486</f>
        <v>34151.2</v>
      </c>
      <c r="G485" s="7">
        <f aca="true" t="shared" si="306" ref="G485:L487">G486</f>
        <v>33366.1</v>
      </c>
      <c r="H485" s="7">
        <f t="shared" si="306"/>
        <v>29080.8</v>
      </c>
      <c r="I485" s="7">
        <f t="shared" si="306"/>
        <v>30905.8</v>
      </c>
      <c r="J485" s="7">
        <f t="shared" si="306"/>
        <v>32021.2</v>
      </c>
      <c r="K485" s="7">
        <f t="shared" si="306"/>
        <v>30676.3</v>
      </c>
      <c r="L485" s="7">
        <f t="shared" si="306"/>
        <v>20114</v>
      </c>
      <c r="M485" s="7">
        <f t="shared" si="292"/>
        <v>65.56853336288927</v>
      </c>
    </row>
    <row r="486" spans="1:13" ht="47.25">
      <c r="A486" s="31" t="s">
        <v>480</v>
      </c>
      <c r="B486" s="42" t="s">
        <v>316</v>
      </c>
      <c r="C486" s="42" t="s">
        <v>265</v>
      </c>
      <c r="D486" s="42" t="s">
        <v>481</v>
      </c>
      <c r="E486" s="42"/>
      <c r="F486" s="7">
        <f>F487</f>
        <v>34151.2</v>
      </c>
      <c r="G486" s="7">
        <f t="shared" si="306"/>
        <v>33366.1</v>
      </c>
      <c r="H486" s="7">
        <f t="shared" si="306"/>
        <v>29080.8</v>
      </c>
      <c r="I486" s="7">
        <f t="shared" si="306"/>
        <v>30905.8</v>
      </c>
      <c r="J486" s="7">
        <f t="shared" si="306"/>
        <v>32021.2</v>
      </c>
      <c r="K486" s="7">
        <f t="shared" si="306"/>
        <v>30676.3</v>
      </c>
      <c r="L486" s="7">
        <f t="shared" si="306"/>
        <v>20114</v>
      </c>
      <c r="M486" s="7">
        <f t="shared" si="292"/>
        <v>65.56853336288927</v>
      </c>
    </row>
    <row r="487" spans="1:13" ht="47.25">
      <c r="A487" s="31" t="s">
        <v>324</v>
      </c>
      <c r="B487" s="42" t="s">
        <v>316</v>
      </c>
      <c r="C487" s="42" t="s">
        <v>265</v>
      </c>
      <c r="D487" s="42" t="s">
        <v>481</v>
      </c>
      <c r="E487" s="42" t="s">
        <v>325</v>
      </c>
      <c r="F487" s="63">
        <f>F488</f>
        <v>34151.2</v>
      </c>
      <c r="G487" s="63">
        <f t="shared" si="306"/>
        <v>33366.1</v>
      </c>
      <c r="H487" s="63">
        <f t="shared" si="306"/>
        <v>29080.8</v>
      </c>
      <c r="I487" s="63">
        <f t="shared" si="306"/>
        <v>30905.8</v>
      </c>
      <c r="J487" s="63">
        <f t="shared" si="306"/>
        <v>32021.2</v>
      </c>
      <c r="K487" s="63">
        <f t="shared" si="306"/>
        <v>30676.3</v>
      </c>
      <c r="L487" s="63">
        <f t="shared" si="306"/>
        <v>20114</v>
      </c>
      <c r="M487" s="7">
        <f t="shared" si="292"/>
        <v>65.56853336288927</v>
      </c>
    </row>
    <row r="488" spans="1:13" ht="15.75">
      <c r="A488" s="31" t="s">
        <v>326</v>
      </c>
      <c r="B488" s="42" t="s">
        <v>316</v>
      </c>
      <c r="C488" s="42" t="s">
        <v>265</v>
      </c>
      <c r="D488" s="42" t="s">
        <v>481</v>
      </c>
      <c r="E488" s="42" t="s">
        <v>327</v>
      </c>
      <c r="F488" s="63">
        <f>'Прил.№4 ведомств.'!G645</f>
        <v>34151.2</v>
      </c>
      <c r="G488" s="63">
        <f>'Прил.№4 ведомств.'!I645</f>
        <v>33366.1</v>
      </c>
      <c r="H488" s="63">
        <f>'Прил.№4 ведомств.'!J645</f>
        <v>29080.8</v>
      </c>
      <c r="I488" s="63">
        <f>'Прил.№4 ведомств.'!K645</f>
        <v>30905.8</v>
      </c>
      <c r="J488" s="63">
        <f>'Прил.№4 ведомств.'!L645</f>
        <v>32021.2</v>
      </c>
      <c r="K488" s="63">
        <f>'Прил.№4 ведомств.'!M645</f>
        <v>30676.3</v>
      </c>
      <c r="L488" s="63">
        <f>'Прил.№4 ведомств.'!N645</f>
        <v>20114</v>
      </c>
      <c r="M488" s="7">
        <f t="shared" si="292"/>
        <v>65.56853336288927</v>
      </c>
    </row>
    <row r="489" spans="1:13" ht="31.5">
      <c r="A489" s="31" t="s">
        <v>483</v>
      </c>
      <c r="B489" s="42" t="s">
        <v>316</v>
      </c>
      <c r="C489" s="42" t="s">
        <v>265</v>
      </c>
      <c r="D489" s="42" t="s">
        <v>484</v>
      </c>
      <c r="E489" s="42"/>
      <c r="F489" s="7">
        <f>F490+F504+F519+F525+F494+F497+F522+F507+F501+F513+F516</f>
        <v>6675.4</v>
      </c>
      <c r="G489" s="7">
        <f>G490+G504+G519+G525+G494+G497+G522+G507+G501+G513+G516</f>
        <v>6675.366666666667</v>
      </c>
      <c r="H489" s="7">
        <f>H490+H504+H519+H525+H494+H497+H522+H507+H501+H513+H516</f>
        <v>16647.800000000003</v>
      </c>
      <c r="I489" s="7">
        <f>I490+I504+I519+I525+I494+I497+I522+I507+I501+I513+I516</f>
        <v>11746.7</v>
      </c>
      <c r="J489" s="7">
        <f>J490+J504+J519+J525+J494+J497+J522+J507+J501+J513+J516</f>
        <v>9246.7</v>
      </c>
      <c r="K489" s="7">
        <f>K490+K504+K519+K525+K494+K497+K522+K507+K501+K513+K516+K510</f>
        <v>6829.9</v>
      </c>
      <c r="L489" s="7">
        <f aca="true" t="shared" si="307" ref="L489">L490+L504+L519+L525+L494+L497+L522+L507+L501+L513+L516+L510</f>
        <v>4946.5</v>
      </c>
      <c r="M489" s="7">
        <f t="shared" si="292"/>
        <v>72.42419361923308</v>
      </c>
    </row>
    <row r="490" spans="1:13" ht="47.25" customHeight="1" hidden="1">
      <c r="A490" s="31" t="s">
        <v>658</v>
      </c>
      <c r="B490" s="42" t="s">
        <v>316</v>
      </c>
      <c r="C490" s="42" t="s">
        <v>265</v>
      </c>
      <c r="D490" s="42" t="s">
        <v>664</v>
      </c>
      <c r="E490" s="42"/>
      <c r="F490" s="7">
        <f>F491</f>
        <v>0</v>
      </c>
      <c r="G490" s="7">
        <f aca="true" t="shared" si="308" ref="G490:L492">G491</f>
        <v>0</v>
      </c>
      <c r="H490" s="7">
        <f t="shared" si="308"/>
        <v>0</v>
      </c>
      <c r="I490" s="7">
        <f t="shared" si="308"/>
        <v>0</v>
      </c>
      <c r="J490" s="7">
        <f t="shared" si="308"/>
        <v>0</v>
      </c>
      <c r="K490" s="7">
        <f t="shared" si="308"/>
        <v>0</v>
      </c>
      <c r="L490" s="7">
        <f t="shared" si="308"/>
        <v>0</v>
      </c>
      <c r="M490" s="7" t="e">
        <f t="shared" si="292"/>
        <v>#DIV/0!</v>
      </c>
    </row>
    <row r="491" spans="1:13" ht="47.25" customHeight="1" hidden="1">
      <c r="A491" s="31" t="s">
        <v>324</v>
      </c>
      <c r="B491" s="42" t="s">
        <v>316</v>
      </c>
      <c r="C491" s="42" t="s">
        <v>265</v>
      </c>
      <c r="D491" s="42" t="s">
        <v>664</v>
      </c>
      <c r="E491" s="42" t="s">
        <v>325</v>
      </c>
      <c r="F491" s="7">
        <f>F492</f>
        <v>0</v>
      </c>
      <c r="G491" s="7">
        <f t="shared" si="308"/>
        <v>0</v>
      </c>
      <c r="H491" s="7">
        <f t="shared" si="308"/>
        <v>0</v>
      </c>
      <c r="I491" s="7">
        <f t="shared" si="308"/>
        <v>0</v>
      </c>
      <c r="J491" s="7">
        <f t="shared" si="308"/>
        <v>0</v>
      </c>
      <c r="K491" s="7">
        <f t="shared" si="308"/>
        <v>0</v>
      </c>
      <c r="L491" s="7">
        <f t="shared" si="308"/>
        <v>0</v>
      </c>
      <c r="M491" s="7" t="e">
        <f t="shared" si="292"/>
        <v>#DIV/0!</v>
      </c>
    </row>
    <row r="492" spans="1:13" ht="15.75" customHeight="1" hidden="1">
      <c r="A492" s="31" t="s">
        <v>326</v>
      </c>
      <c r="B492" s="42" t="s">
        <v>316</v>
      </c>
      <c r="C492" s="42" t="s">
        <v>265</v>
      </c>
      <c r="D492" s="42" t="s">
        <v>664</v>
      </c>
      <c r="E492" s="42" t="s">
        <v>327</v>
      </c>
      <c r="F492" s="7">
        <f>F493</f>
        <v>0</v>
      </c>
      <c r="G492" s="7">
        <f t="shared" si="308"/>
        <v>0</v>
      </c>
      <c r="H492" s="7">
        <f t="shared" si="308"/>
        <v>0</v>
      </c>
      <c r="I492" s="7">
        <f t="shared" si="308"/>
        <v>0</v>
      </c>
      <c r="J492" s="7">
        <f t="shared" si="308"/>
        <v>0</v>
      </c>
      <c r="K492" s="7">
        <f t="shared" si="308"/>
        <v>0</v>
      </c>
      <c r="L492" s="7">
        <f t="shared" si="308"/>
        <v>0</v>
      </c>
      <c r="M492" s="7" t="e">
        <f t="shared" si="292"/>
        <v>#DIV/0!</v>
      </c>
    </row>
    <row r="493" spans="1:13" ht="15.75" customHeight="1" hidden="1">
      <c r="A493" s="31" t="s">
        <v>661</v>
      </c>
      <c r="B493" s="42" t="s">
        <v>316</v>
      </c>
      <c r="C493" s="42" t="s">
        <v>265</v>
      </c>
      <c r="D493" s="42" t="s">
        <v>664</v>
      </c>
      <c r="E493" s="42" t="s">
        <v>662</v>
      </c>
      <c r="F493" s="7"/>
      <c r="G493" s="7"/>
      <c r="H493" s="7"/>
      <c r="I493" s="7"/>
      <c r="J493" s="7"/>
      <c r="K493" s="7"/>
      <c r="L493" s="7"/>
      <c r="M493" s="7" t="e">
        <f t="shared" si="292"/>
        <v>#DIV/0!</v>
      </c>
    </row>
    <row r="494" spans="1:13" ht="47.25" customHeight="1" hidden="1">
      <c r="A494" s="31" t="s">
        <v>485</v>
      </c>
      <c r="B494" s="42" t="s">
        <v>316</v>
      </c>
      <c r="C494" s="42" t="s">
        <v>265</v>
      </c>
      <c r="D494" s="42" t="s">
        <v>486</v>
      </c>
      <c r="E494" s="42"/>
      <c r="F494" s="7">
        <f>F495</f>
        <v>0</v>
      </c>
      <c r="G494" s="7">
        <f aca="true" t="shared" si="309" ref="G494:L495">G495</f>
        <v>0</v>
      </c>
      <c r="H494" s="7">
        <f t="shared" si="309"/>
        <v>0</v>
      </c>
      <c r="I494" s="7">
        <f t="shared" si="309"/>
        <v>0</v>
      </c>
      <c r="J494" s="7">
        <f t="shared" si="309"/>
        <v>0</v>
      </c>
      <c r="K494" s="7">
        <f t="shared" si="309"/>
        <v>0</v>
      </c>
      <c r="L494" s="7">
        <f t="shared" si="309"/>
        <v>0</v>
      </c>
      <c r="M494" s="7" t="e">
        <f t="shared" si="292"/>
        <v>#DIV/0!</v>
      </c>
    </row>
    <row r="495" spans="1:13" ht="47.25" customHeight="1" hidden="1">
      <c r="A495" s="31" t="s">
        <v>324</v>
      </c>
      <c r="B495" s="42" t="s">
        <v>316</v>
      </c>
      <c r="C495" s="42" t="s">
        <v>265</v>
      </c>
      <c r="D495" s="42" t="s">
        <v>486</v>
      </c>
      <c r="E495" s="42" t="s">
        <v>325</v>
      </c>
      <c r="F495" s="7">
        <f>F496</f>
        <v>0</v>
      </c>
      <c r="G495" s="7">
        <f t="shared" si="309"/>
        <v>0</v>
      </c>
      <c r="H495" s="7">
        <f t="shared" si="309"/>
        <v>0</v>
      </c>
      <c r="I495" s="7">
        <f t="shared" si="309"/>
        <v>0</v>
      </c>
      <c r="J495" s="7">
        <f t="shared" si="309"/>
        <v>0</v>
      </c>
      <c r="K495" s="7">
        <f t="shared" si="309"/>
        <v>0</v>
      </c>
      <c r="L495" s="7">
        <f t="shared" si="309"/>
        <v>0</v>
      </c>
      <c r="M495" s="7" t="e">
        <f t="shared" si="292"/>
        <v>#DIV/0!</v>
      </c>
    </row>
    <row r="496" spans="1:13" ht="15.75" customHeight="1" hidden="1">
      <c r="A496" s="31" t="s">
        <v>326</v>
      </c>
      <c r="B496" s="42" t="s">
        <v>316</v>
      </c>
      <c r="C496" s="42" t="s">
        <v>265</v>
      </c>
      <c r="D496" s="42" t="s">
        <v>486</v>
      </c>
      <c r="E496" s="42" t="s">
        <v>327</v>
      </c>
      <c r="F496" s="7"/>
      <c r="G496" s="7"/>
      <c r="H496" s="7"/>
      <c r="I496" s="7"/>
      <c r="J496" s="7"/>
      <c r="K496" s="7"/>
      <c r="L496" s="7"/>
      <c r="M496" s="7" t="e">
        <f t="shared" si="292"/>
        <v>#DIV/0!</v>
      </c>
    </row>
    <row r="497" spans="1:13" ht="31.5" customHeight="1" hidden="1">
      <c r="A497" s="31" t="s">
        <v>332</v>
      </c>
      <c r="B497" s="42" t="s">
        <v>316</v>
      </c>
      <c r="C497" s="42" t="s">
        <v>265</v>
      </c>
      <c r="D497" s="42" t="s">
        <v>665</v>
      </c>
      <c r="E497" s="42"/>
      <c r="F497" s="7">
        <f>F498</f>
        <v>0</v>
      </c>
      <c r="G497" s="7">
        <f aca="true" t="shared" si="310" ref="G497:L499">G498</f>
        <v>0</v>
      </c>
      <c r="H497" s="7">
        <f t="shared" si="310"/>
        <v>0</v>
      </c>
      <c r="I497" s="7">
        <f t="shared" si="310"/>
        <v>0</v>
      </c>
      <c r="J497" s="7">
        <f t="shared" si="310"/>
        <v>0</v>
      </c>
      <c r="K497" s="7">
        <f t="shared" si="310"/>
        <v>0</v>
      </c>
      <c r="L497" s="7">
        <f t="shared" si="310"/>
        <v>0</v>
      </c>
      <c r="M497" s="7" t="e">
        <f t="shared" si="292"/>
        <v>#DIV/0!</v>
      </c>
    </row>
    <row r="498" spans="1:13" ht="47.25" customHeight="1" hidden="1">
      <c r="A498" s="31" t="s">
        <v>324</v>
      </c>
      <c r="B498" s="42" t="s">
        <v>316</v>
      </c>
      <c r="C498" s="42" t="s">
        <v>265</v>
      </c>
      <c r="D498" s="42" t="s">
        <v>665</v>
      </c>
      <c r="E498" s="42" t="s">
        <v>325</v>
      </c>
      <c r="F498" s="7">
        <f>F499</f>
        <v>0</v>
      </c>
      <c r="G498" s="7">
        <f t="shared" si="310"/>
        <v>0</v>
      </c>
      <c r="H498" s="7">
        <f t="shared" si="310"/>
        <v>0</v>
      </c>
      <c r="I498" s="7">
        <f t="shared" si="310"/>
        <v>0</v>
      </c>
      <c r="J498" s="7">
        <f t="shared" si="310"/>
        <v>0</v>
      </c>
      <c r="K498" s="7">
        <f t="shared" si="310"/>
        <v>0</v>
      </c>
      <c r="L498" s="7">
        <f t="shared" si="310"/>
        <v>0</v>
      </c>
      <c r="M498" s="7" t="e">
        <f t="shared" si="292"/>
        <v>#DIV/0!</v>
      </c>
    </row>
    <row r="499" spans="1:13" ht="15.75" customHeight="1" hidden="1">
      <c r="A499" s="31" t="s">
        <v>326</v>
      </c>
      <c r="B499" s="42" t="s">
        <v>316</v>
      </c>
      <c r="C499" s="42" t="s">
        <v>265</v>
      </c>
      <c r="D499" s="42" t="s">
        <v>665</v>
      </c>
      <c r="E499" s="42" t="s">
        <v>327</v>
      </c>
      <c r="F499" s="7">
        <f>F500</f>
        <v>0</v>
      </c>
      <c r="G499" s="7">
        <f t="shared" si="310"/>
        <v>0</v>
      </c>
      <c r="H499" s="7">
        <f t="shared" si="310"/>
        <v>0</v>
      </c>
      <c r="I499" s="7">
        <f t="shared" si="310"/>
        <v>0</v>
      </c>
      <c r="J499" s="7">
        <f t="shared" si="310"/>
        <v>0</v>
      </c>
      <c r="K499" s="7">
        <f t="shared" si="310"/>
        <v>0</v>
      </c>
      <c r="L499" s="7">
        <f t="shared" si="310"/>
        <v>0</v>
      </c>
      <c r="M499" s="7" t="e">
        <f t="shared" si="292"/>
        <v>#DIV/0!</v>
      </c>
    </row>
    <row r="500" spans="1:13" ht="15.75" customHeight="1" hidden="1">
      <c r="A500" s="31" t="s">
        <v>661</v>
      </c>
      <c r="B500" s="42" t="s">
        <v>316</v>
      </c>
      <c r="C500" s="42" t="s">
        <v>265</v>
      </c>
      <c r="D500" s="42" t="s">
        <v>665</v>
      </c>
      <c r="E500" s="42" t="s">
        <v>662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 t="e">
        <f t="shared" si="292"/>
        <v>#DIV/0!</v>
      </c>
    </row>
    <row r="501" spans="1:13" ht="31.5" customHeight="1" hidden="1">
      <c r="A501" s="26" t="s">
        <v>487</v>
      </c>
      <c r="B501" s="42" t="s">
        <v>316</v>
      </c>
      <c r="C501" s="42" t="s">
        <v>265</v>
      </c>
      <c r="D501" s="42" t="s">
        <v>488</v>
      </c>
      <c r="E501" s="42"/>
      <c r="F501" s="7">
        <f>F502</f>
        <v>0</v>
      </c>
      <c r="G501" s="7">
        <f aca="true" t="shared" si="311" ref="G501:L502">G502</f>
        <v>0</v>
      </c>
      <c r="H501" s="7">
        <f t="shared" si="311"/>
        <v>0</v>
      </c>
      <c r="I501" s="7">
        <f t="shared" si="311"/>
        <v>0</v>
      </c>
      <c r="J501" s="7">
        <f t="shared" si="311"/>
        <v>0</v>
      </c>
      <c r="K501" s="7">
        <f t="shared" si="311"/>
        <v>0</v>
      </c>
      <c r="L501" s="7">
        <f t="shared" si="311"/>
        <v>0</v>
      </c>
      <c r="M501" s="7" t="e">
        <f t="shared" si="292"/>
        <v>#DIV/0!</v>
      </c>
    </row>
    <row r="502" spans="1:13" ht="47.25" customHeight="1" hidden="1">
      <c r="A502" s="26" t="s">
        <v>324</v>
      </c>
      <c r="B502" s="42" t="s">
        <v>316</v>
      </c>
      <c r="C502" s="42" t="s">
        <v>265</v>
      </c>
      <c r="D502" s="42" t="s">
        <v>488</v>
      </c>
      <c r="E502" s="42" t="s">
        <v>325</v>
      </c>
      <c r="F502" s="7">
        <f>F503</f>
        <v>0</v>
      </c>
      <c r="G502" s="7">
        <f t="shared" si="311"/>
        <v>0</v>
      </c>
      <c r="H502" s="7">
        <f t="shared" si="311"/>
        <v>0</v>
      </c>
      <c r="I502" s="7">
        <f t="shared" si="311"/>
        <v>0</v>
      </c>
      <c r="J502" s="7">
        <f t="shared" si="311"/>
        <v>0</v>
      </c>
      <c r="K502" s="7">
        <f t="shared" si="311"/>
        <v>0</v>
      </c>
      <c r="L502" s="7">
        <f t="shared" si="311"/>
        <v>0</v>
      </c>
      <c r="M502" s="7" t="e">
        <f t="shared" si="292"/>
        <v>#DIV/0!</v>
      </c>
    </row>
    <row r="503" spans="1:13" ht="15.75" customHeight="1" hidden="1">
      <c r="A503" s="26" t="s">
        <v>326</v>
      </c>
      <c r="B503" s="42" t="s">
        <v>316</v>
      </c>
      <c r="C503" s="42" t="s">
        <v>265</v>
      </c>
      <c r="D503" s="42" t="s">
        <v>488</v>
      </c>
      <c r="E503" s="42" t="s">
        <v>327</v>
      </c>
      <c r="F503" s="7"/>
      <c r="G503" s="7"/>
      <c r="H503" s="7"/>
      <c r="I503" s="7"/>
      <c r="J503" s="7"/>
      <c r="K503" s="7"/>
      <c r="L503" s="7"/>
      <c r="M503" s="7" t="e">
        <f t="shared" si="292"/>
        <v>#DIV/0!</v>
      </c>
    </row>
    <row r="504" spans="1:13" ht="47.25">
      <c r="A504" s="31" t="s">
        <v>666</v>
      </c>
      <c r="B504" s="42" t="s">
        <v>316</v>
      </c>
      <c r="C504" s="42" t="s">
        <v>265</v>
      </c>
      <c r="D504" s="42" t="s">
        <v>490</v>
      </c>
      <c r="E504" s="42"/>
      <c r="F504" s="7">
        <f>F505</f>
        <v>2690</v>
      </c>
      <c r="G504" s="7">
        <f aca="true" t="shared" si="312" ref="G504:L505">G505</f>
        <v>2206.6666666666665</v>
      </c>
      <c r="H504" s="7">
        <f t="shared" si="312"/>
        <v>2967.9</v>
      </c>
      <c r="I504" s="7">
        <f t="shared" si="312"/>
        <v>2967.9</v>
      </c>
      <c r="J504" s="7">
        <f t="shared" si="312"/>
        <v>2967.9</v>
      </c>
      <c r="K504" s="7">
        <f t="shared" si="312"/>
        <v>2967.9</v>
      </c>
      <c r="L504" s="7">
        <f t="shared" si="312"/>
        <v>1548.5</v>
      </c>
      <c r="M504" s="7">
        <f t="shared" si="292"/>
        <v>52.17493850870986</v>
      </c>
    </row>
    <row r="505" spans="1:13" ht="47.25">
      <c r="A505" s="31" t="s">
        <v>324</v>
      </c>
      <c r="B505" s="42" t="s">
        <v>316</v>
      </c>
      <c r="C505" s="42" t="s">
        <v>265</v>
      </c>
      <c r="D505" s="42" t="s">
        <v>490</v>
      </c>
      <c r="E505" s="42" t="s">
        <v>325</v>
      </c>
      <c r="F505" s="7">
        <f>F506</f>
        <v>2690</v>
      </c>
      <c r="G505" s="7">
        <f t="shared" si="312"/>
        <v>2206.6666666666665</v>
      </c>
      <c r="H505" s="7">
        <f t="shared" si="312"/>
        <v>2967.9</v>
      </c>
      <c r="I505" s="7">
        <f t="shared" si="312"/>
        <v>2967.9</v>
      </c>
      <c r="J505" s="7">
        <f t="shared" si="312"/>
        <v>2967.9</v>
      </c>
      <c r="K505" s="7">
        <f t="shared" si="312"/>
        <v>2967.9</v>
      </c>
      <c r="L505" s="7">
        <f t="shared" si="312"/>
        <v>1548.5</v>
      </c>
      <c r="M505" s="7">
        <f t="shared" si="292"/>
        <v>52.17493850870986</v>
      </c>
    </row>
    <row r="506" spans="1:13" ht="15.75">
      <c r="A506" s="31" t="s">
        <v>326</v>
      </c>
      <c r="B506" s="42" t="s">
        <v>316</v>
      </c>
      <c r="C506" s="42" t="s">
        <v>265</v>
      </c>
      <c r="D506" s="42" t="s">
        <v>490</v>
      </c>
      <c r="E506" s="42" t="s">
        <v>327</v>
      </c>
      <c r="F506" s="7">
        <f>'Прил.№4 ведомств.'!G655</f>
        <v>2690</v>
      </c>
      <c r="G506" s="7">
        <f>'Прил.№4 ведомств.'!I655</f>
        <v>2206.6666666666665</v>
      </c>
      <c r="H506" s="7">
        <f>'Прил.№4 ведомств.'!J655</f>
        <v>2967.9</v>
      </c>
      <c r="I506" s="7">
        <f>'Прил.№4 ведомств.'!K655</f>
        <v>2967.9</v>
      </c>
      <c r="J506" s="7">
        <f>'Прил.№4 ведомств.'!L655</f>
        <v>2967.9</v>
      </c>
      <c r="K506" s="7">
        <f>'Прил.№4 ведомств.'!M655</f>
        <v>2967.9</v>
      </c>
      <c r="L506" s="7">
        <f>'Прил.№4 ведомств.'!N655</f>
        <v>1548.5</v>
      </c>
      <c r="M506" s="7">
        <f t="shared" si="292"/>
        <v>52.17493850870986</v>
      </c>
    </row>
    <row r="507" spans="1:13" ht="63">
      <c r="A507" s="26" t="s">
        <v>491</v>
      </c>
      <c r="B507" s="42" t="s">
        <v>316</v>
      </c>
      <c r="C507" s="42" t="s">
        <v>265</v>
      </c>
      <c r="D507" s="21" t="s">
        <v>492</v>
      </c>
      <c r="E507" s="42"/>
      <c r="F507" s="7">
        <f>F508</f>
        <v>320</v>
      </c>
      <c r="G507" s="7">
        <f aca="true" t="shared" si="313" ref="G507:L508">G508</f>
        <v>803.3</v>
      </c>
      <c r="H507" s="7">
        <f t="shared" si="313"/>
        <v>320</v>
      </c>
      <c r="I507" s="7">
        <f t="shared" si="313"/>
        <v>320</v>
      </c>
      <c r="J507" s="7">
        <f t="shared" si="313"/>
        <v>320</v>
      </c>
      <c r="K507" s="7">
        <f t="shared" si="313"/>
        <v>320</v>
      </c>
      <c r="L507" s="7">
        <f t="shared" si="313"/>
        <v>279.3</v>
      </c>
      <c r="M507" s="7">
        <f t="shared" si="292"/>
        <v>87.28125</v>
      </c>
    </row>
    <row r="508" spans="1:13" ht="47.25">
      <c r="A508" s="26" t="s">
        <v>324</v>
      </c>
      <c r="B508" s="42" t="s">
        <v>316</v>
      </c>
      <c r="C508" s="42" t="s">
        <v>265</v>
      </c>
      <c r="D508" s="21" t="s">
        <v>492</v>
      </c>
      <c r="E508" s="42" t="s">
        <v>325</v>
      </c>
      <c r="F508" s="7">
        <f>F509</f>
        <v>320</v>
      </c>
      <c r="G508" s="7">
        <f t="shared" si="313"/>
        <v>803.3</v>
      </c>
      <c r="H508" s="7">
        <f t="shared" si="313"/>
        <v>320</v>
      </c>
      <c r="I508" s="7">
        <f t="shared" si="313"/>
        <v>320</v>
      </c>
      <c r="J508" s="7">
        <f t="shared" si="313"/>
        <v>320</v>
      </c>
      <c r="K508" s="7">
        <f t="shared" si="313"/>
        <v>320</v>
      </c>
      <c r="L508" s="7">
        <f t="shared" si="313"/>
        <v>279.3</v>
      </c>
      <c r="M508" s="7">
        <f t="shared" si="292"/>
        <v>87.28125</v>
      </c>
    </row>
    <row r="509" spans="1:13" ht="15.75">
      <c r="A509" s="26" t="s">
        <v>326</v>
      </c>
      <c r="B509" s="42" t="s">
        <v>316</v>
      </c>
      <c r="C509" s="42" t="s">
        <v>265</v>
      </c>
      <c r="D509" s="21" t="s">
        <v>492</v>
      </c>
      <c r="E509" s="42" t="s">
        <v>327</v>
      </c>
      <c r="F509" s="7">
        <f>'Прил.№4 ведомств.'!G658</f>
        <v>320</v>
      </c>
      <c r="G509" s="7">
        <f>'Прил.№4 ведомств.'!I658</f>
        <v>803.3</v>
      </c>
      <c r="H509" s="7">
        <f>'Прил.№4 ведомств.'!J658</f>
        <v>320</v>
      </c>
      <c r="I509" s="7">
        <f>'Прил.№4 ведомств.'!K658</f>
        <v>320</v>
      </c>
      <c r="J509" s="7">
        <f>'Прил.№4 ведомств.'!L658</f>
        <v>320</v>
      </c>
      <c r="K509" s="7">
        <f>'Прил.№4 ведомств.'!M658</f>
        <v>320</v>
      </c>
      <c r="L509" s="7">
        <f>'Прил.№4 ведомств.'!N658</f>
        <v>279.3</v>
      </c>
      <c r="M509" s="7">
        <f t="shared" si="292"/>
        <v>87.28125</v>
      </c>
    </row>
    <row r="510" spans="1:13" ht="47.25">
      <c r="A510" s="26" t="s">
        <v>493</v>
      </c>
      <c r="B510" s="42" t="s">
        <v>316</v>
      </c>
      <c r="C510" s="42" t="s">
        <v>265</v>
      </c>
      <c r="D510" s="21" t="s">
        <v>494</v>
      </c>
      <c r="E510" s="42"/>
      <c r="F510" s="7"/>
      <c r="G510" s="7"/>
      <c r="H510" s="7"/>
      <c r="I510" s="7"/>
      <c r="J510" s="7"/>
      <c r="K510" s="7">
        <f>K511</f>
        <v>321</v>
      </c>
      <c r="L510" s="7">
        <f aca="true" t="shared" si="314" ref="L510:L511">L511</f>
        <v>107</v>
      </c>
      <c r="M510" s="7">
        <f t="shared" si="292"/>
        <v>33.33333333333333</v>
      </c>
    </row>
    <row r="511" spans="1:13" ht="47.25">
      <c r="A511" s="26" t="s">
        <v>324</v>
      </c>
      <c r="B511" s="42" t="s">
        <v>316</v>
      </c>
      <c r="C511" s="42" t="s">
        <v>265</v>
      </c>
      <c r="D511" s="21" t="s">
        <v>494</v>
      </c>
      <c r="E511" s="42" t="s">
        <v>325</v>
      </c>
      <c r="F511" s="7"/>
      <c r="G511" s="7"/>
      <c r="H511" s="7"/>
      <c r="I511" s="7"/>
      <c r="J511" s="7"/>
      <c r="K511" s="7">
        <f>K512</f>
        <v>321</v>
      </c>
      <c r="L511" s="7">
        <f t="shared" si="314"/>
        <v>107</v>
      </c>
      <c r="M511" s="7">
        <f t="shared" si="292"/>
        <v>33.33333333333333</v>
      </c>
    </row>
    <row r="512" spans="1:13" ht="15.75">
      <c r="A512" s="26" t="s">
        <v>326</v>
      </c>
      <c r="B512" s="42" t="s">
        <v>316</v>
      </c>
      <c r="C512" s="42" t="s">
        <v>265</v>
      </c>
      <c r="D512" s="21" t="s">
        <v>494</v>
      </c>
      <c r="E512" s="42" t="s">
        <v>327</v>
      </c>
      <c r="F512" s="7"/>
      <c r="G512" s="7"/>
      <c r="H512" s="7"/>
      <c r="I512" s="7"/>
      <c r="J512" s="7"/>
      <c r="K512" s="7">
        <f>'Прил.№4 ведомств.'!M661</f>
        <v>321</v>
      </c>
      <c r="L512" s="7">
        <f>'Прил.№4 ведомств.'!N661</f>
        <v>107</v>
      </c>
      <c r="M512" s="7">
        <f t="shared" si="292"/>
        <v>33.33333333333333</v>
      </c>
    </row>
    <row r="513" spans="1:13" ht="31.5">
      <c r="A513" s="26" t="s">
        <v>330</v>
      </c>
      <c r="B513" s="42" t="s">
        <v>316</v>
      </c>
      <c r="C513" s="42" t="s">
        <v>265</v>
      </c>
      <c r="D513" s="21" t="s">
        <v>495</v>
      </c>
      <c r="E513" s="42"/>
      <c r="F513" s="7">
        <f>F514</f>
        <v>3309</v>
      </c>
      <c r="G513" s="7">
        <f aca="true" t="shared" si="315" ref="G513:L514">G514</f>
        <v>3309</v>
      </c>
      <c r="H513" s="7">
        <f t="shared" si="315"/>
        <v>8601.1</v>
      </c>
      <c r="I513" s="7">
        <f t="shared" si="315"/>
        <v>4500</v>
      </c>
      <c r="J513" s="7">
        <f t="shared" si="315"/>
        <v>2000</v>
      </c>
      <c r="K513" s="7">
        <f t="shared" si="315"/>
        <v>300</v>
      </c>
      <c r="L513" s="7">
        <f t="shared" si="315"/>
        <v>100</v>
      </c>
      <c r="M513" s="7">
        <f t="shared" si="292"/>
        <v>33.33333333333333</v>
      </c>
    </row>
    <row r="514" spans="1:13" ht="47.25">
      <c r="A514" s="26" t="s">
        <v>324</v>
      </c>
      <c r="B514" s="42" t="s">
        <v>316</v>
      </c>
      <c r="C514" s="42" t="s">
        <v>265</v>
      </c>
      <c r="D514" s="21" t="s">
        <v>495</v>
      </c>
      <c r="E514" s="42" t="s">
        <v>325</v>
      </c>
      <c r="F514" s="7">
        <f>F515</f>
        <v>3309</v>
      </c>
      <c r="G514" s="7">
        <f t="shared" si="315"/>
        <v>3309</v>
      </c>
      <c r="H514" s="7">
        <f t="shared" si="315"/>
        <v>8601.1</v>
      </c>
      <c r="I514" s="7">
        <f t="shared" si="315"/>
        <v>4500</v>
      </c>
      <c r="J514" s="7">
        <f t="shared" si="315"/>
        <v>2000</v>
      </c>
      <c r="K514" s="7">
        <f t="shared" si="315"/>
        <v>300</v>
      </c>
      <c r="L514" s="7">
        <f t="shared" si="315"/>
        <v>100</v>
      </c>
      <c r="M514" s="7">
        <f t="shared" si="292"/>
        <v>33.33333333333333</v>
      </c>
    </row>
    <row r="515" spans="1:13" ht="15.75">
      <c r="A515" s="26" t="s">
        <v>326</v>
      </c>
      <c r="B515" s="42" t="s">
        <v>316</v>
      </c>
      <c r="C515" s="42" t="s">
        <v>265</v>
      </c>
      <c r="D515" s="21" t="s">
        <v>495</v>
      </c>
      <c r="E515" s="42" t="s">
        <v>327</v>
      </c>
      <c r="F515" s="7">
        <f>'Прил.№4 ведомств.'!G664</f>
        <v>3309</v>
      </c>
      <c r="G515" s="7">
        <f>'Прил.№4 ведомств.'!I664</f>
        <v>3309</v>
      </c>
      <c r="H515" s="7">
        <f>'Прил.№4 ведомств.'!J664</f>
        <v>8601.1</v>
      </c>
      <c r="I515" s="7">
        <f>'Прил.№4 ведомств.'!K664</f>
        <v>4500</v>
      </c>
      <c r="J515" s="7">
        <f>'Прил.№4 ведомств.'!L664</f>
        <v>2000</v>
      </c>
      <c r="K515" s="7">
        <f>'Прил.№4 ведомств.'!M664</f>
        <v>300</v>
      </c>
      <c r="L515" s="7">
        <f>'Прил.№4 ведомств.'!N664</f>
        <v>100</v>
      </c>
      <c r="M515" s="7">
        <f t="shared" si="292"/>
        <v>33.33333333333333</v>
      </c>
    </row>
    <row r="516" spans="1:13" ht="31.5" hidden="1">
      <c r="A516" s="26" t="s">
        <v>332</v>
      </c>
      <c r="B516" s="21" t="s">
        <v>316</v>
      </c>
      <c r="C516" s="21" t="s">
        <v>265</v>
      </c>
      <c r="D516" s="21" t="s">
        <v>496</v>
      </c>
      <c r="E516" s="21"/>
      <c r="F516" s="7">
        <f>F517</f>
        <v>0</v>
      </c>
      <c r="G516" s="7">
        <f aca="true" t="shared" si="316" ref="G516:L517">G517</f>
        <v>0</v>
      </c>
      <c r="H516" s="7">
        <f t="shared" si="316"/>
        <v>1000</v>
      </c>
      <c r="I516" s="7">
        <f t="shared" si="316"/>
        <v>700</v>
      </c>
      <c r="J516" s="7">
        <f t="shared" si="316"/>
        <v>700</v>
      </c>
      <c r="K516" s="7">
        <f t="shared" si="316"/>
        <v>0</v>
      </c>
      <c r="L516" s="7">
        <f t="shared" si="316"/>
        <v>0</v>
      </c>
      <c r="M516" s="7" t="e">
        <f t="shared" si="292"/>
        <v>#DIV/0!</v>
      </c>
    </row>
    <row r="517" spans="1:13" ht="47.25" hidden="1">
      <c r="A517" s="26" t="s">
        <v>324</v>
      </c>
      <c r="B517" s="21" t="s">
        <v>316</v>
      </c>
      <c r="C517" s="21" t="s">
        <v>265</v>
      </c>
      <c r="D517" s="21" t="s">
        <v>496</v>
      </c>
      <c r="E517" s="21" t="s">
        <v>325</v>
      </c>
      <c r="F517" s="7">
        <f>F518</f>
        <v>0</v>
      </c>
      <c r="G517" s="7">
        <f t="shared" si="316"/>
        <v>0</v>
      </c>
      <c r="H517" s="7">
        <f t="shared" si="316"/>
        <v>1000</v>
      </c>
      <c r="I517" s="7">
        <f t="shared" si="316"/>
        <v>700</v>
      </c>
      <c r="J517" s="7">
        <f t="shared" si="316"/>
        <v>700</v>
      </c>
      <c r="K517" s="7">
        <f t="shared" si="316"/>
        <v>0</v>
      </c>
      <c r="L517" s="7">
        <f t="shared" si="316"/>
        <v>0</v>
      </c>
      <c r="M517" s="7" t="e">
        <f t="shared" si="292"/>
        <v>#DIV/0!</v>
      </c>
    </row>
    <row r="518" spans="1:13" ht="15.75" hidden="1">
      <c r="A518" s="26" t="s">
        <v>326</v>
      </c>
      <c r="B518" s="21" t="s">
        <v>316</v>
      </c>
      <c r="C518" s="21" t="s">
        <v>265</v>
      </c>
      <c r="D518" s="21" t="s">
        <v>496</v>
      </c>
      <c r="E518" s="21" t="s">
        <v>327</v>
      </c>
      <c r="F518" s="7">
        <f>'Прил.№4 ведомств.'!G667</f>
        <v>0</v>
      </c>
      <c r="G518" s="7">
        <f>'Прил.№4 ведомств.'!I667</f>
        <v>0</v>
      </c>
      <c r="H518" s="7">
        <f>'Прил.№4 ведомств.'!J667</f>
        <v>1000</v>
      </c>
      <c r="I518" s="7">
        <f>'Прил.№4 ведомств.'!K667</f>
        <v>700</v>
      </c>
      <c r="J518" s="7">
        <f>'Прил.№4 ведомств.'!L667</f>
        <v>700</v>
      </c>
      <c r="K518" s="7">
        <f>'Прил.№4 ведомств.'!M667</f>
        <v>0</v>
      </c>
      <c r="L518" s="7">
        <f>'Прил.№4 ведомств.'!N667</f>
        <v>0</v>
      </c>
      <c r="M518" s="7" t="e">
        <f t="shared" si="292"/>
        <v>#DIV/0!</v>
      </c>
    </row>
    <row r="519" spans="1:13" ht="31.5">
      <c r="A519" s="31" t="s">
        <v>334</v>
      </c>
      <c r="B519" s="42" t="s">
        <v>316</v>
      </c>
      <c r="C519" s="42" t="s">
        <v>265</v>
      </c>
      <c r="D519" s="42" t="s">
        <v>497</v>
      </c>
      <c r="E519" s="42"/>
      <c r="F519" s="7">
        <f>F520</f>
        <v>127</v>
      </c>
      <c r="G519" s="7">
        <f aca="true" t="shared" si="317" ref="G519:L520">G520</f>
        <v>127</v>
      </c>
      <c r="H519" s="7">
        <f t="shared" si="317"/>
        <v>214.8</v>
      </c>
      <c r="I519" s="7">
        <f t="shared" si="317"/>
        <v>214.8</v>
      </c>
      <c r="J519" s="7">
        <f t="shared" si="317"/>
        <v>214.8</v>
      </c>
      <c r="K519" s="7">
        <f t="shared" si="317"/>
        <v>127</v>
      </c>
      <c r="L519" s="7">
        <f t="shared" si="317"/>
        <v>117.7</v>
      </c>
      <c r="M519" s="7">
        <f t="shared" si="292"/>
        <v>92.67716535433071</v>
      </c>
    </row>
    <row r="520" spans="1:13" ht="47.25">
      <c r="A520" s="31" t="s">
        <v>324</v>
      </c>
      <c r="B520" s="42" t="s">
        <v>316</v>
      </c>
      <c r="C520" s="42" t="s">
        <v>265</v>
      </c>
      <c r="D520" s="42" t="s">
        <v>497</v>
      </c>
      <c r="E520" s="42" t="s">
        <v>325</v>
      </c>
      <c r="F520" s="7">
        <f>F521</f>
        <v>127</v>
      </c>
      <c r="G520" s="7">
        <f t="shared" si="317"/>
        <v>127</v>
      </c>
      <c r="H520" s="7">
        <f t="shared" si="317"/>
        <v>214.8</v>
      </c>
      <c r="I520" s="7">
        <f t="shared" si="317"/>
        <v>214.8</v>
      </c>
      <c r="J520" s="7">
        <f t="shared" si="317"/>
        <v>214.8</v>
      </c>
      <c r="K520" s="7">
        <f t="shared" si="317"/>
        <v>127</v>
      </c>
      <c r="L520" s="7">
        <f t="shared" si="317"/>
        <v>117.7</v>
      </c>
      <c r="M520" s="7">
        <f t="shared" si="292"/>
        <v>92.67716535433071</v>
      </c>
    </row>
    <row r="521" spans="1:13" ht="15.75">
      <c r="A521" s="31" t="s">
        <v>326</v>
      </c>
      <c r="B521" s="42" t="s">
        <v>316</v>
      </c>
      <c r="C521" s="42" t="s">
        <v>265</v>
      </c>
      <c r="D521" s="42" t="s">
        <v>497</v>
      </c>
      <c r="E521" s="42" t="s">
        <v>327</v>
      </c>
      <c r="F521" s="7">
        <f>'Прил.№4 ведомств.'!G670</f>
        <v>127</v>
      </c>
      <c r="G521" s="7">
        <f>'Прил.№4 ведомств.'!I670</f>
        <v>127</v>
      </c>
      <c r="H521" s="7">
        <f>'Прил.№4 ведомств.'!J670</f>
        <v>214.8</v>
      </c>
      <c r="I521" s="7">
        <f>'Прил.№4 ведомств.'!K670</f>
        <v>214.8</v>
      </c>
      <c r="J521" s="7">
        <f>'Прил.№4 ведомств.'!L670</f>
        <v>214.8</v>
      </c>
      <c r="K521" s="7">
        <f>'Прил.№4 ведомств.'!M670</f>
        <v>127</v>
      </c>
      <c r="L521" s="7">
        <f>'Прил.№4 ведомств.'!N670</f>
        <v>117.7</v>
      </c>
      <c r="M521" s="7">
        <f t="shared" si="292"/>
        <v>92.67716535433071</v>
      </c>
    </row>
    <row r="522" spans="1:13" ht="31.5" hidden="1">
      <c r="A522" s="31" t="s">
        <v>336</v>
      </c>
      <c r="B522" s="42" t="s">
        <v>316</v>
      </c>
      <c r="C522" s="42" t="s">
        <v>265</v>
      </c>
      <c r="D522" s="42" t="s">
        <v>498</v>
      </c>
      <c r="E522" s="42"/>
      <c r="F522" s="7">
        <f>F523</f>
        <v>229.4</v>
      </c>
      <c r="G522" s="7">
        <f aca="true" t="shared" si="318" ref="G522:L523">G523</f>
        <v>229.4</v>
      </c>
      <c r="H522" s="7">
        <f t="shared" si="318"/>
        <v>750</v>
      </c>
      <c r="I522" s="7">
        <f t="shared" si="318"/>
        <v>250</v>
      </c>
      <c r="J522" s="7">
        <f t="shared" si="318"/>
        <v>250</v>
      </c>
      <c r="K522" s="7">
        <f t="shared" si="318"/>
        <v>0</v>
      </c>
      <c r="L522" s="7">
        <f t="shared" si="318"/>
        <v>0</v>
      </c>
      <c r="M522" s="7" t="e">
        <f t="shared" si="292"/>
        <v>#DIV/0!</v>
      </c>
    </row>
    <row r="523" spans="1:13" ht="47.25" hidden="1">
      <c r="A523" s="31" t="s">
        <v>324</v>
      </c>
      <c r="B523" s="42" t="s">
        <v>316</v>
      </c>
      <c r="C523" s="42" t="s">
        <v>265</v>
      </c>
      <c r="D523" s="42" t="s">
        <v>498</v>
      </c>
      <c r="E523" s="42" t="s">
        <v>325</v>
      </c>
      <c r="F523" s="7">
        <f>F524</f>
        <v>229.4</v>
      </c>
      <c r="G523" s="7">
        <f t="shared" si="318"/>
        <v>229.4</v>
      </c>
      <c r="H523" s="7">
        <f t="shared" si="318"/>
        <v>750</v>
      </c>
      <c r="I523" s="7">
        <f t="shared" si="318"/>
        <v>250</v>
      </c>
      <c r="J523" s="7">
        <f t="shared" si="318"/>
        <v>250</v>
      </c>
      <c r="K523" s="7">
        <f t="shared" si="318"/>
        <v>0</v>
      </c>
      <c r="L523" s="7">
        <f t="shared" si="318"/>
        <v>0</v>
      </c>
      <c r="M523" s="7" t="e">
        <f t="shared" si="292"/>
        <v>#DIV/0!</v>
      </c>
    </row>
    <row r="524" spans="1:13" ht="15.75" hidden="1">
      <c r="A524" s="31" t="s">
        <v>326</v>
      </c>
      <c r="B524" s="42" t="s">
        <v>316</v>
      </c>
      <c r="C524" s="42" t="s">
        <v>265</v>
      </c>
      <c r="D524" s="42" t="s">
        <v>498</v>
      </c>
      <c r="E524" s="42" t="s">
        <v>327</v>
      </c>
      <c r="F524" s="7">
        <f>'Прил.№4 ведомств.'!G673</f>
        <v>229.4</v>
      </c>
      <c r="G524" s="7">
        <f>'Прил.№4 ведомств.'!I673</f>
        <v>229.4</v>
      </c>
      <c r="H524" s="7">
        <f>'Прил.№4 ведомств.'!J673</f>
        <v>750</v>
      </c>
      <c r="I524" s="7">
        <f>'Прил.№4 ведомств.'!K673</f>
        <v>250</v>
      </c>
      <c r="J524" s="7">
        <f>'Прил.№4 ведомств.'!L673</f>
        <v>250</v>
      </c>
      <c r="K524" s="7">
        <f>'Прил.№4 ведомств.'!M673</f>
        <v>0</v>
      </c>
      <c r="L524" s="7">
        <f>'Прил.№4 ведомств.'!N673</f>
        <v>0</v>
      </c>
      <c r="M524" s="7" t="e">
        <f t="shared" si="292"/>
        <v>#DIV/0!</v>
      </c>
    </row>
    <row r="525" spans="1:13" ht="31.5" customHeight="1">
      <c r="A525" s="208" t="s">
        <v>865</v>
      </c>
      <c r="B525" s="21" t="s">
        <v>316</v>
      </c>
      <c r="C525" s="21" t="s">
        <v>265</v>
      </c>
      <c r="D525" s="21" t="s">
        <v>867</v>
      </c>
      <c r="E525" s="21"/>
      <c r="F525" s="7">
        <f>F526</f>
        <v>0</v>
      </c>
      <c r="G525" s="257">
        <f aca="true" t="shared" si="319" ref="G525:L526">G526</f>
        <v>0</v>
      </c>
      <c r="H525" s="7">
        <f t="shared" si="319"/>
        <v>2794</v>
      </c>
      <c r="I525" s="7">
        <f t="shared" si="319"/>
        <v>2794</v>
      </c>
      <c r="J525" s="7">
        <f t="shared" si="319"/>
        <v>2794</v>
      </c>
      <c r="K525" s="7">
        <f t="shared" si="319"/>
        <v>2794</v>
      </c>
      <c r="L525" s="7">
        <f t="shared" si="319"/>
        <v>2794</v>
      </c>
      <c r="M525" s="7">
        <f aca="true" t="shared" si="320" ref="M525:M588">L525/K525*100</f>
        <v>100</v>
      </c>
    </row>
    <row r="526" spans="1:13" ht="21.75" customHeight="1">
      <c r="A526" s="31" t="s">
        <v>661</v>
      </c>
      <c r="B526" s="21" t="s">
        <v>316</v>
      </c>
      <c r="C526" s="21" t="s">
        <v>265</v>
      </c>
      <c r="D526" s="21" t="s">
        <v>867</v>
      </c>
      <c r="E526" s="21" t="s">
        <v>325</v>
      </c>
      <c r="F526" s="7">
        <f>F527</f>
        <v>0</v>
      </c>
      <c r="G526" s="7">
        <f t="shared" si="319"/>
        <v>0</v>
      </c>
      <c r="H526" s="7">
        <f t="shared" si="319"/>
        <v>2794</v>
      </c>
      <c r="I526" s="7">
        <f t="shared" si="319"/>
        <v>2794</v>
      </c>
      <c r="J526" s="7">
        <f t="shared" si="319"/>
        <v>2794</v>
      </c>
      <c r="K526" s="7">
        <f t="shared" si="319"/>
        <v>2794</v>
      </c>
      <c r="L526" s="7">
        <f t="shared" si="319"/>
        <v>2794</v>
      </c>
      <c r="M526" s="7">
        <f t="shared" si="320"/>
        <v>100</v>
      </c>
    </row>
    <row r="527" spans="1:13" ht="15.75" customHeight="1">
      <c r="A527" s="31" t="s">
        <v>326</v>
      </c>
      <c r="B527" s="21" t="s">
        <v>316</v>
      </c>
      <c r="C527" s="21" t="s">
        <v>265</v>
      </c>
      <c r="D527" s="21" t="s">
        <v>867</v>
      </c>
      <c r="E527" s="21" t="s">
        <v>327</v>
      </c>
      <c r="F527" s="7">
        <f>'Прил.№4 ведомств.'!G676</f>
        <v>0</v>
      </c>
      <c r="G527" s="7">
        <f>'Прил.№4 ведомств.'!I676</f>
        <v>0</v>
      </c>
      <c r="H527" s="7">
        <f>'Прил.№4 ведомств.'!J676</f>
        <v>2794</v>
      </c>
      <c r="I527" s="7">
        <f>'Прил.№4 ведомств.'!K676</f>
        <v>2794</v>
      </c>
      <c r="J527" s="7">
        <f>'Прил.№4 ведомств.'!L676</f>
        <v>2794</v>
      </c>
      <c r="K527" s="7">
        <f>'Прил.№4 ведомств.'!M676</f>
        <v>2794</v>
      </c>
      <c r="L527" s="7">
        <f>'Прил.№4 ведомств.'!N676</f>
        <v>2794</v>
      </c>
      <c r="M527" s="7">
        <f t="shared" si="320"/>
        <v>100</v>
      </c>
    </row>
    <row r="528" spans="1:13" ht="15.75">
      <c r="A528" s="31" t="s">
        <v>173</v>
      </c>
      <c r="B528" s="42" t="s">
        <v>316</v>
      </c>
      <c r="C528" s="42" t="s">
        <v>265</v>
      </c>
      <c r="D528" s="42" t="s">
        <v>174</v>
      </c>
      <c r="E528" s="42"/>
      <c r="F528" s="7">
        <f>F529</f>
        <v>89857.8</v>
      </c>
      <c r="G528" s="7">
        <f aca="true" t="shared" si="321" ref="G528:L528">G529</f>
        <v>89857.8</v>
      </c>
      <c r="H528" s="7">
        <f t="shared" si="321"/>
        <v>89857.8</v>
      </c>
      <c r="I528" s="7">
        <f t="shared" si="321"/>
        <v>89857.8</v>
      </c>
      <c r="J528" s="7">
        <f t="shared" si="321"/>
        <v>89857.8</v>
      </c>
      <c r="K528" s="7">
        <f t="shared" si="321"/>
        <v>89567.2</v>
      </c>
      <c r="L528" s="7">
        <f t="shared" si="321"/>
        <v>64266.8</v>
      </c>
      <c r="M528" s="7">
        <f t="shared" si="320"/>
        <v>71.7526058646469</v>
      </c>
    </row>
    <row r="529" spans="1:13" ht="31.5">
      <c r="A529" s="31" t="s">
        <v>237</v>
      </c>
      <c r="B529" s="42" t="s">
        <v>316</v>
      </c>
      <c r="C529" s="42" t="s">
        <v>265</v>
      </c>
      <c r="D529" s="42" t="s">
        <v>238</v>
      </c>
      <c r="E529" s="42"/>
      <c r="F529" s="7">
        <f>F530+F533+F536+F539+F545+F548+F551+F554+F557+F542</f>
        <v>89857.8</v>
      </c>
      <c r="G529" s="7">
        <f aca="true" t="shared" si="322" ref="G529:K529">G530+G533+G536+G539+G545+G548+G551+G554+G557+G542</f>
        <v>89857.8</v>
      </c>
      <c r="H529" s="7">
        <f t="shared" si="322"/>
        <v>89857.8</v>
      </c>
      <c r="I529" s="7">
        <f t="shared" si="322"/>
        <v>89857.8</v>
      </c>
      <c r="J529" s="7">
        <f t="shared" si="322"/>
        <v>89857.8</v>
      </c>
      <c r="K529" s="7">
        <f t="shared" si="322"/>
        <v>89567.2</v>
      </c>
      <c r="L529" s="7">
        <f aca="true" t="shared" si="323" ref="L529">L530+L533+L536+L539+L545+L548+L551+L554+L557+L542</f>
        <v>64266.8</v>
      </c>
      <c r="M529" s="7">
        <f t="shared" si="320"/>
        <v>71.7526058646469</v>
      </c>
    </row>
    <row r="530" spans="1:13" ht="47.25" customHeight="1" hidden="1">
      <c r="A530" s="26" t="s">
        <v>503</v>
      </c>
      <c r="B530" s="21" t="s">
        <v>316</v>
      </c>
      <c r="C530" s="21" t="s">
        <v>265</v>
      </c>
      <c r="D530" s="21" t="s">
        <v>504</v>
      </c>
      <c r="E530" s="21"/>
      <c r="F530" s="7">
        <f>F531</f>
        <v>0</v>
      </c>
      <c r="G530" s="7">
        <f aca="true" t="shared" si="324" ref="G530:L531">G531</f>
        <v>0</v>
      </c>
      <c r="H530" s="7">
        <f t="shared" si="324"/>
        <v>0</v>
      </c>
      <c r="I530" s="7">
        <f t="shared" si="324"/>
        <v>0</v>
      </c>
      <c r="J530" s="7">
        <f t="shared" si="324"/>
        <v>0</v>
      </c>
      <c r="K530" s="7">
        <f t="shared" si="324"/>
        <v>0</v>
      </c>
      <c r="L530" s="7">
        <f t="shared" si="324"/>
        <v>0</v>
      </c>
      <c r="M530" s="7" t="e">
        <f t="shared" si="320"/>
        <v>#DIV/0!</v>
      </c>
    </row>
    <row r="531" spans="1:13" ht="47.25" customHeight="1" hidden="1">
      <c r="A531" s="26" t="s">
        <v>324</v>
      </c>
      <c r="B531" s="21" t="s">
        <v>316</v>
      </c>
      <c r="C531" s="21" t="s">
        <v>265</v>
      </c>
      <c r="D531" s="21" t="s">
        <v>504</v>
      </c>
      <c r="E531" s="21" t="s">
        <v>325</v>
      </c>
      <c r="F531" s="7">
        <f>F532</f>
        <v>0</v>
      </c>
      <c r="G531" s="7">
        <f t="shared" si="324"/>
        <v>0</v>
      </c>
      <c r="H531" s="7">
        <f t="shared" si="324"/>
        <v>0</v>
      </c>
      <c r="I531" s="7">
        <f t="shared" si="324"/>
        <v>0</v>
      </c>
      <c r="J531" s="7">
        <f t="shared" si="324"/>
        <v>0</v>
      </c>
      <c r="K531" s="7">
        <f t="shared" si="324"/>
        <v>0</v>
      </c>
      <c r="L531" s="7">
        <f t="shared" si="324"/>
        <v>0</v>
      </c>
      <c r="M531" s="7" t="e">
        <f t="shared" si="320"/>
        <v>#DIV/0!</v>
      </c>
    </row>
    <row r="532" spans="1:13" ht="15.75" customHeight="1" hidden="1">
      <c r="A532" s="26" t="s">
        <v>326</v>
      </c>
      <c r="B532" s="21" t="s">
        <v>316</v>
      </c>
      <c r="C532" s="21" t="s">
        <v>265</v>
      </c>
      <c r="D532" s="21" t="s">
        <v>504</v>
      </c>
      <c r="E532" s="21" t="s">
        <v>327</v>
      </c>
      <c r="F532" s="7"/>
      <c r="G532" s="7"/>
      <c r="H532" s="7"/>
      <c r="I532" s="7"/>
      <c r="J532" s="7"/>
      <c r="K532" s="7"/>
      <c r="L532" s="7"/>
      <c r="M532" s="7" t="e">
        <f t="shared" si="320"/>
        <v>#DIV/0!</v>
      </c>
    </row>
    <row r="533" spans="1:13" ht="15.75" customHeight="1" hidden="1">
      <c r="A533" s="26" t="s">
        <v>505</v>
      </c>
      <c r="B533" s="21" t="s">
        <v>316</v>
      </c>
      <c r="C533" s="21" t="s">
        <v>265</v>
      </c>
      <c r="D533" s="21" t="s">
        <v>506</v>
      </c>
      <c r="E533" s="21"/>
      <c r="F533" s="7">
        <f>F534</f>
        <v>0</v>
      </c>
      <c r="G533" s="7">
        <f aca="true" t="shared" si="325" ref="G533:L534">G534</f>
        <v>0</v>
      </c>
      <c r="H533" s="7">
        <f t="shared" si="325"/>
        <v>0</v>
      </c>
      <c r="I533" s="7">
        <f t="shared" si="325"/>
        <v>0</v>
      </c>
      <c r="J533" s="7">
        <f t="shared" si="325"/>
        <v>0</v>
      </c>
      <c r="K533" s="7">
        <f t="shared" si="325"/>
        <v>0</v>
      </c>
      <c r="L533" s="7">
        <f t="shared" si="325"/>
        <v>0</v>
      </c>
      <c r="M533" s="7" t="e">
        <f t="shared" si="320"/>
        <v>#DIV/0!</v>
      </c>
    </row>
    <row r="534" spans="1:13" ht="47.25" customHeight="1" hidden="1">
      <c r="A534" s="26" t="s">
        <v>324</v>
      </c>
      <c r="B534" s="21" t="s">
        <v>316</v>
      </c>
      <c r="C534" s="21" t="s">
        <v>265</v>
      </c>
      <c r="D534" s="21" t="s">
        <v>506</v>
      </c>
      <c r="E534" s="21" t="s">
        <v>325</v>
      </c>
      <c r="F534" s="7">
        <f>F535</f>
        <v>0</v>
      </c>
      <c r="G534" s="7">
        <f t="shared" si="325"/>
        <v>0</v>
      </c>
      <c r="H534" s="7">
        <f t="shared" si="325"/>
        <v>0</v>
      </c>
      <c r="I534" s="7">
        <f t="shared" si="325"/>
        <v>0</v>
      </c>
      <c r="J534" s="7">
        <f t="shared" si="325"/>
        <v>0</v>
      </c>
      <c r="K534" s="7">
        <f t="shared" si="325"/>
        <v>0</v>
      </c>
      <c r="L534" s="7">
        <f t="shared" si="325"/>
        <v>0</v>
      </c>
      <c r="M534" s="7" t="e">
        <f t="shared" si="320"/>
        <v>#DIV/0!</v>
      </c>
    </row>
    <row r="535" spans="1:13" ht="15.75" customHeight="1" hidden="1">
      <c r="A535" s="26" t="s">
        <v>326</v>
      </c>
      <c r="B535" s="21" t="s">
        <v>316</v>
      </c>
      <c r="C535" s="21" t="s">
        <v>265</v>
      </c>
      <c r="D535" s="21" t="s">
        <v>506</v>
      </c>
      <c r="E535" s="21" t="s">
        <v>327</v>
      </c>
      <c r="F535" s="7"/>
      <c r="G535" s="7"/>
      <c r="H535" s="7"/>
      <c r="I535" s="7"/>
      <c r="J535" s="7"/>
      <c r="K535" s="7"/>
      <c r="L535" s="7"/>
      <c r="M535" s="7" t="e">
        <f t="shared" si="320"/>
        <v>#DIV/0!</v>
      </c>
    </row>
    <row r="536" spans="1:13" ht="31.5" customHeight="1" hidden="1">
      <c r="A536" s="31" t="s">
        <v>673</v>
      </c>
      <c r="B536" s="42" t="s">
        <v>316</v>
      </c>
      <c r="C536" s="42" t="s">
        <v>265</v>
      </c>
      <c r="D536" s="42" t="s">
        <v>508</v>
      </c>
      <c r="E536" s="42"/>
      <c r="F536" s="7">
        <f>F537</f>
        <v>0</v>
      </c>
      <c r="G536" s="7">
        <f aca="true" t="shared" si="326" ref="G536:L537">G537</f>
        <v>0</v>
      </c>
      <c r="H536" s="7">
        <f t="shared" si="326"/>
        <v>0</v>
      </c>
      <c r="I536" s="7">
        <f t="shared" si="326"/>
        <v>0</v>
      </c>
      <c r="J536" s="7">
        <f t="shared" si="326"/>
        <v>0</v>
      </c>
      <c r="K536" s="7">
        <f t="shared" si="326"/>
        <v>0</v>
      </c>
      <c r="L536" s="7">
        <f t="shared" si="326"/>
        <v>0</v>
      </c>
      <c r="M536" s="7" t="e">
        <f t="shared" si="320"/>
        <v>#DIV/0!</v>
      </c>
    </row>
    <row r="537" spans="1:13" ht="47.25" customHeight="1" hidden="1">
      <c r="A537" s="31" t="s">
        <v>324</v>
      </c>
      <c r="B537" s="42" t="s">
        <v>316</v>
      </c>
      <c r="C537" s="42" t="s">
        <v>265</v>
      </c>
      <c r="D537" s="42" t="s">
        <v>508</v>
      </c>
      <c r="E537" s="42" t="s">
        <v>325</v>
      </c>
      <c r="F537" s="7">
        <f>F538</f>
        <v>0</v>
      </c>
      <c r="G537" s="7">
        <f t="shared" si="326"/>
        <v>0</v>
      </c>
      <c r="H537" s="7">
        <f t="shared" si="326"/>
        <v>0</v>
      </c>
      <c r="I537" s="7">
        <f t="shared" si="326"/>
        <v>0</v>
      </c>
      <c r="J537" s="7">
        <f t="shared" si="326"/>
        <v>0</v>
      </c>
      <c r="K537" s="7">
        <f t="shared" si="326"/>
        <v>0</v>
      </c>
      <c r="L537" s="7">
        <f t="shared" si="326"/>
        <v>0</v>
      </c>
      <c r="M537" s="7" t="e">
        <f t="shared" si="320"/>
        <v>#DIV/0!</v>
      </c>
    </row>
    <row r="538" spans="1:13" ht="15.75" customHeight="1" hidden="1">
      <c r="A538" s="31" t="s">
        <v>326</v>
      </c>
      <c r="B538" s="42" t="s">
        <v>316</v>
      </c>
      <c r="C538" s="42" t="s">
        <v>265</v>
      </c>
      <c r="D538" s="42" t="s">
        <v>508</v>
      </c>
      <c r="E538" s="42" t="s">
        <v>327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 t="e">
        <f t="shared" si="320"/>
        <v>#DIV/0!</v>
      </c>
    </row>
    <row r="539" spans="1:13" ht="31.5">
      <c r="A539" s="31" t="s">
        <v>509</v>
      </c>
      <c r="B539" s="42" t="s">
        <v>316</v>
      </c>
      <c r="C539" s="42" t="s">
        <v>265</v>
      </c>
      <c r="D539" s="42" t="s">
        <v>510</v>
      </c>
      <c r="E539" s="42"/>
      <c r="F539" s="7">
        <f>F540</f>
        <v>1293.6</v>
      </c>
      <c r="G539" s="7">
        <f aca="true" t="shared" si="327" ref="G539:L540">G540</f>
        <v>1293.6</v>
      </c>
      <c r="H539" s="7">
        <f t="shared" si="327"/>
        <v>1293.6</v>
      </c>
      <c r="I539" s="7">
        <f t="shared" si="327"/>
        <v>1293.6</v>
      </c>
      <c r="J539" s="7">
        <f t="shared" si="327"/>
        <v>1293.6</v>
      </c>
      <c r="K539" s="7">
        <f t="shared" si="327"/>
        <v>1293.6</v>
      </c>
      <c r="L539" s="7">
        <f t="shared" si="327"/>
        <v>768</v>
      </c>
      <c r="M539" s="7">
        <f t="shared" si="320"/>
        <v>59.36920222634509</v>
      </c>
    </row>
    <row r="540" spans="1:13" ht="47.25">
      <c r="A540" s="31" t="s">
        <v>324</v>
      </c>
      <c r="B540" s="42" t="s">
        <v>316</v>
      </c>
      <c r="C540" s="42" t="s">
        <v>265</v>
      </c>
      <c r="D540" s="42" t="s">
        <v>510</v>
      </c>
      <c r="E540" s="42" t="s">
        <v>325</v>
      </c>
      <c r="F540" s="7">
        <f>F541</f>
        <v>1293.6</v>
      </c>
      <c r="G540" s="7">
        <f t="shared" si="327"/>
        <v>1293.6</v>
      </c>
      <c r="H540" s="7">
        <f t="shared" si="327"/>
        <v>1293.6</v>
      </c>
      <c r="I540" s="7">
        <f t="shared" si="327"/>
        <v>1293.6</v>
      </c>
      <c r="J540" s="7">
        <f t="shared" si="327"/>
        <v>1293.6</v>
      </c>
      <c r="K540" s="7">
        <f t="shared" si="327"/>
        <v>1293.6</v>
      </c>
      <c r="L540" s="7">
        <f t="shared" si="327"/>
        <v>768</v>
      </c>
      <c r="M540" s="7">
        <f t="shared" si="320"/>
        <v>59.36920222634509</v>
      </c>
    </row>
    <row r="541" spans="1:13" ht="15.75">
      <c r="A541" s="31" t="s">
        <v>326</v>
      </c>
      <c r="B541" s="42" t="s">
        <v>316</v>
      </c>
      <c r="C541" s="42" t="s">
        <v>265</v>
      </c>
      <c r="D541" s="42" t="s">
        <v>510</v>
      </c>
      <c r="E541" s="42" t="s">
        <v>327</v>
      </c>
      <c r="F541" s="7">
        <f>'Прил.№4 ведомств.'!G690</f>
        <v>1293.6</v>
      </c>
      <c r="G541" s="7">
        <f>'Прил.№4 ведомств.'!I690</f>
        <v>1293.6</v>
      </c>
      <c r="H541" s="7">
        <f>'Прил.№4 ведомств.'!J690</f>
        <v>1293.6</v>
      </c>
      <c r="I541" s="7">
        <f>'Прил.№4 ведомств.'!K690</f>
        <v>1293.6</v>
      </c>
      <c r="J541" s="7">
        <f>'Прил.№4 ведомств.'!L690</f>
        <v>1293.6</v>
      </c>
      <c r="K541" s="7">
        <f>'Прил.№4 ведомств.'!M690</f>
        <v>1293.6</v>
      </c>
      <c r="L541" s="7">
        <f>'Прил.№4 ведомств.'!N690</f>
        <v>768</v>
      </c>
      <c r="M541" s="7">
        <f t="shared" si="320"/>
        <v>59.36920222634509</v>
      </c>
    </row>
    <row r="542" spans="1:13" ht="47.25">
      <c r="A542" s="26" t="s">
        <v>511</v>
      </c>
      <c r="B542" s="42" t="s">
        <v>316</v>
      </c>
      <c r="C542" s="42" t="s">
        <v>265</v>
      </c>
      <c r="D542" s="42" t="s">
        <v>512</v>
      </c>
      <c r="E542" s="42"/>
      <c r="F542" s="7">
        <f>F543</f>
        <v>488.7</v>
      </c>
      <c r="G542" s="7">
        <f aca="true" t="shared" si="328" ref="G542:L543">G543</f>
        <v>488.7</v>
      </c>
      <c r="H542" s="7">
        <f t="shared" si="328"/>
        <v>488.7</v>
      </c>
      <c r="I542" s="7">
        <f t="shared" si="328"/>
        <v>488.7</v>
      </c>
      <c r="J542" s="7">
        <f t="shared" si="328"/>
        <v>488.7</v>
      </c>
      <c r="K542" s="7">
        <f t="shared" si="328"/>
        <v>488.7</v>
      </c>
      <c r="L542" s="7">
        <f t="shared" si="328"/>
        <v>342.3</v>
      </c>
      <c r="M542" s="7">
        <f t="shared" si="320"/>
        <v>70.04297114794352</v>
      </c>
    </row>
    <row r="543" spans="1:13" ht="47.25">
      <c r="A543" s="26" t="s">
        <v>324</v>
      </c>
      <c r="B543" s="42" t="s">
        <v>316</v>
      </c>
      <c r="C543" s="42" t="s">
        <v>265</v>
      </c>
      <c r="D543" s="42" t="s">
        <v>512</v>
      </c>
      <c r="E543" s="42" t="s">
        <v>325</v>
      </c>
      <c r="F543" s="7">
        <f>F544</f>
        <v>488.7</v>
      </c>
      <c r="G543" s="7">
        <f t="shared" si="328"/>
        <v>488.7</v>
      </c>
      <c r="H543" s="7">
        <f t="shared" si="328"/>
        <v>488.7</v>
      </c>
      <c r="I543" s="7">
        <f t="shared" si="328"/>
        <v>488.7</v>
      </c>
      <c r="J543" s="7">
        <f t="shared" si="328"/>
        <v>488.7</v>
      </c>
      <c r="K543" s="7">
        <f t="shared" si="328"/>
        <v>488.7</v>
      </c>
      <c r="L543" s="7">
        <f t="shared" si="328"/>
        <v>342.3</v>
      </c>
      <c r="M543" s="7">
        <f t="shared" si="320"/>
        <v>70.04297114794352</v>
      </c>
    </row>
    <row r="544" spans="1:13" ht="15.75">
      <c r="A544" s="26" t="s">
        <v>326</v>
      </c>
      <c r="B544" s="42" t="s">
        <v>316</v>
      </c>
      <c r="C544" s="42" t="s">
        <v>265</v>
      </c>
      <c r="D544" s="42" t="s">
        <v>512</v>
      </c>
      <c r="E544" s="42" t="s">
        <v>327</v>
      </c>
      <c r="F544" s="7">
        <f>'Прил.№4 ведомств.'!G693</f>
        <v>488.7</v>
      </c>
      <c r="G544" s="7">
        <f>'Прил.№4 ведомств.'!I693</f>
        <v>488.7</v>
      </c>
      <c r="H544" s="7">
        <f>'Прил.№4 ведомств.'!J693</f>
        <v>488.7</v>
      </c>
      <c r="I544" s="7">
        <f>'Прил.№4 ведомств.'!K693</f>
        <v>488.7</v>
      </c>
      <c r="J544" s="7">
        <f>'Прил.№4 ведомств.'!L693</f>
        <v>488.7</v>
      </c>
      <c r="K544" s="7">
        <f>'Прил.№4 ведомств.'!M693</f>
        <v>488.7</v>
      </c>
      <c r="L544" s="7">
        <f>'Прил.№4 ведомств.'!N693</f>
        <v>342.3</v>
      </c>
      <c r="M544" s="7">
        <f t="shared" si="320"/>
        <v>70.04297114794352</v>
      </c>
    </row>
    <row r="545" spans="1:13" ht="78.75">
      <c r="A545" s="33" t="s">
        <v>513</v>
      </c>
      <c r="B545" s="42" t="s">
        <v>316</v>
      </c>
      <c r="C545" s="42" t="s">
        <v>265</v>
      </c>
      <c r="D545" s="42" t="s">
        <v>514</v>
      </c>
      <c r="E545" s="42"/>
      <c r="F545" s="7">
        <f>F546</f>
        <v>79753.6</v>
      </c>
      <c r="G545" s="7">
        <f aca="true" t="shared" si="329" ref="G545:L546">G546</f>
        <v>79753.6</v>
      </c>
      <c r="H545" s="7">
        <f t="shared" si="329"/>
        <v>79753.6</v>
      </c>
      <c r="I545" s="7">
        <f t="shared" si="329"/>
        <v>79753.6</v>
      </c>
      <c r="J545" s="7">
        <f t="shared" si="329"/>
        <v>79753.6</v>
      </c>
      <c r="K545" s="7">
        <f t="shared" si="329"/>
        <v>79406.8</v>
      </c>
      <c r="L545" s="7">
        <f t="shared" si="329"/>
        <v>58590.8</v>
      </c>
      <c r="M545" s="7">
        <f t="shared" si="320"/>
        <v>73.78562037508122</v>
      </c>
    </row>
    <row r="546" spans="1:13" ht="47.25">
      <c r="A546" s="31" t="s">
        <v>324</v>
      </c>
      <c r="B546" s="42" t="s">
        <v>316</v>
      </c>
      <c r="C546" s="42" t="s">
        <v>265</v>
      </c>
      <c r="D546" s="42" t="s">
        <v>514</v>
      </c>
      <c r="E546" s="42" t="s">
        <v>325</v>
      </c>
      <c r="F546" s="7">
        <f>F547</f>
        <v>79753.6</v>
      </c>
      <c r="G546" s="7">
        <f t="shared" si="329"/>
        <v>79753.6</v>
      </c>
      <c r="H546" s="7">
        <f t="shared" si="329"/>
        <v>79753.6</v>
      </c>
      <c r="I546" s="7">
        <f t="shared" si="329"/>
        <v>79753.6</v>
      </c>
      <c r="J546" s="7">
        <f t="shared" si="329"/>
        <v>79753.6</v>
      </c>
      <c r="K546" s="7">
        <f t="shared" si="329"/>
        <v>79406.8</v>
      </c>
      <c r="L546" s="7">
        <f t="shared" si="329"/>
        <v>58590.8</v>
      </c>
      <c r="M546" s="7">
        <f t="shared" si="320"/>
        <v>73.78562037508122</v>
      </c>
    </row>
    <row r="547" spans="1:13" ht="15.75">
      <c r="A547" s="31" t="s">
        <v>326</v>
      </c>
      <c r="B547" s="42" t="s">
        <v>316</v>
      </c>
      <c r="C547" s="42" t="s">
        <v>265</v>
      </c>
      <c r="D547" s="42" t="s">
        <v>514</v>
      </c>
      <c r="E547" s="42" t="s">
        <v>327</v>
      </c>
      <c r="F547" s="7">
        <f>'Прил.№4 ведомств.'!G696</f>
        <v>79753.6</v>
      </c>
      <c r="G547" s="7">
        <f>'Прил.№4 ведомств.'!I696</f>
        <v>79753.6</v>
      </c>
      <c r="H547" s="7">
        <f>'Прил.№4 ведомств.'!J696</f>
        <v>79753.6</v>
      </c>
      <c r="I547" s="7">
        <f>'Прил.№4 ведомств.'!K696</f>
        <v>79753.6</v>
      </c>
      <c r="J547" s="7">
        <f>'Прил.№4 ведомств.'!L696</f>
        <v>79753.6</v>
      </c>
      <c r="K547" s="7">
        <f>'Прил.№4 ведомств.'!M696</f>
        <v>79406.8</v>
      </c>
      <c r="L547" s="7">
        <f>'Прил.№4 ведомств.'!N696</f>
        <v>58590.8</v>
      </c>
      <c r="M547" s="7">
        <f t="shared" si="320"/>
        <v>73.78562037508122</v>
      </c>
    </row>
    <row r="548" spans="1:13" ht="63">
      <c r="A548" s="47" t="s">
        <v>341</v>
      </c>
      <c r="B548" s="42" t="s">
        <v>316</v>
      </c>
      <c r="C548" s="42" t="s">
        <v>265</v>
      </c>
      <c r="D548" s="42" t="s">
        <v>342</v>
      </c>
      <c r="E548" s="42"/>
      <c r="F548" s="7">
        <f>F549</f>
        <v>910.9000000000001</v>
      </c>
      <c r="G548" s="7">
        <f aca="true" t="shared" si="330" ref="G548:L549">G549</f>
        <v>910.9000000000001</v>
      </c>
      <c r="H548" s="7">
        <f t="shared" si="330"/>
        <v>910.9000000000001</v>
      </c>
      <c r="I548" s="7">
        <f t="shared" si="330"/>
        <v>910.9000000000001</v>
      </c>
      <c r="J548" s="7">
        <f t="shared" si="330"/>
        <v>910.9000000000001</v>
      </c>
      <c r="K548" s="7">
        <f t="shared" si="330"/>
        <v>910.9000000000001</v>
      </c>
      <c r="L548" s="7">
        <f t="shared" si="330"/>
        <v>428.5</v>
      </c>
      <c r="M548" s="7">
        <f t="shared" si="320"/>
        <v>47.04138763859918</v>
      </c>
    </row>
    <row r="549" spans="1:13" ht="47.25">
      <c r="A549" s="31" t="s">
        <v>324</v>
      </c>
      <c r="B549" s="42" t="s">
        <v>316</v>
      </c>
      <c r="C549" s="42" t="s">
        <v>265</v>
      </c>
      <c r="D549" s="42" t="s">
        <v>342</v>
      </c>
      <c r="E549" s="42" t="s">
        <v>325</v>
      </c>
      <c r="F549" s="7">
        <f>F550</f>
        <v>910.9000000000001</v>
      </c>
      <c r="G549" s="7">
        <f t="shared" si="330"/>
        <v>910.9000000000001</v>
      </c>
      <c r="H549" s="7">
        <f t="shared" si="330"/>
        <v>910.9000000000001</v>
      </c>
      <c r="I549" s="7">
        <f t="shared" si="330"/>
        <v>910.9000000000001</v>
      </c>
      <c r="J549" s="7">
        <f t="shared" si="330"/>
        <v>910.9000000000001</v>
      </c>
      <c r="K549" s="7">
        <f t="shared" si="330"/>
        <v>910.9000000000001</v>
      </c>
      <c r="L549" s="7">
        <f t="shared" si="330"/>
        <v>428.5</v>
      </c>
      <c r="M549" s="7">
        <f t="shared" si="320"/>
        <v>47.04138763859918</v>
      </c>
    </row>
    <row r="550" spans="1:13" ht="15.75">
      <c r="A550" s="31" t="s">
        <v>326</v>
      </c>
      <c r="B550" s="42" t="s">
        <v>316</v>
      </c>
      <c r="C550" s="42" t="s">
        <v>265</v>
      </c>
      <c r="D550" s="42" t="s">
        <v>342</v>
      </c>
      <c r="E550" s="42" t="s">
        <v>327</v>
      </c>
      <c r="F550" s="7">
        <f>'Прил.№4 ведомств.'!G699</f>
        <v>910.9000000000001</v>
      </c>
      <c r="G550" s="7">
        <f>'Прил.№4 ведомств.'!I699</f>
        <v>910.9000000000001</v>
      </c>
      <c r="H550" s="7">
        <f>'Прил.№4 ведомств.'!J699</f>
        <v>910.9000000000001</v>
      </c>
      <c r="I550" s="7">
        <f>'Прил.№4 ведомств.'!K699</f>
        <v>910.9000000000001</v>
      </c>
      <c r="J550" s="7">
        <f>'Прил.№4 ведомств.'!L699</f>
        <v>910.9000000000001</v>
      </c>
      <c r="K550" s="7">
        <f>'Прил.№4 ведомств.'!M699</f>
        <v>910.9000000000001</v>
      </c>
      <c r="L550" s="7">
        <f>'Прил.№4 ведомств.'!N699</f>
        <v>428.5</v>
      </c>
      <c r="M550" s="7">
        <f t="shared" si="320"/>
        <v>47.04138763859918</v>
      </c>
    </row>
    <row r="551" spans="1:13" ht="63">
      <c r="A551" s="47" t="s">
        <v>343</v>
      </c>
      <c r="B551" s="42" t="s">
        <v>316</v>
      </c>
      <c r="C551" s="42" t="s">
        <v>265</v>
      </c>
      <c r="D551" s="42" t="s">
        <v>344</v>
      </c>
      <c r="E551" s="42"/>
      <c r="F551" s="7">
        <f>F552</f>
        <v>2155.5</v>
      </c>
      <c r="G551" s="7">
        <f aca="true" t="shared" si="331" ref="G551:L552">G552</f>
        <v>2155.5</v>
      </c>
      <c r="H551" s="7">
        <f t="shared" si="331"/>
        <v>2155.5</v>
      </c>
      <c r="I551" s="7">
        <f t="shared" si="331"/>
        <v>2155.5</v>
      </c>
      <c r="J551" s="7">
        <f t="shared" si="331"/>
        <v>2155.5</v>
      </c>
      <c r="K551" s="7">
        <f t="shared" si="331"/>
        <v>2230.5</v>
      </c>
      <c r="L551" s="7">
        <f t="shared" si="331"/>
        <v>1422.1</v>
      </c>
      <c r="M551" s="7">
        <f t="shared" si="320"/>
        <v>63.757005155794666</v>
      </c>
    </row>
    <row r="552" spans="1:13" ht="47.25">
      <c r="A552" s="31" t="s">
        <v>324</v>
      </c>
      <c r="B552" s="42" t="s">
        <v>316</v>
      </c>
      <c r="C552" s="42" t="s">
        <v>265</v>
      </c>
      <c r="D552" s="42" t="s">
        <v>344</v>
      </c>
      <c r="E552" s="42" t="s">
        <v>325</v>
      </c>
      <c r="F552" s="7">
        <f>F553</f>
        <v>2155.5</v>
      </c>
      <c r="G552" s="7">
        <f t="shared" si="331"/>
        <v>2155.5</v>
      </c>
      <c r="H552" s="7">
        <f t="shared" si="331"/>
        <v>2155.5</v>
      </c>
      <c r="I552" s="7">
        <f t="shared" si="331"/>
        <v>2155.5</v>
      </c>
      <c r="J552" s="7">
        <f t="shared" si="331"/>
        <v>2155.5</v>
      </c>
      <c r="K552" s="7">
        <f t="shared" si="331"/>
        <v>2230.5</v>
      </c>
      <c r="L552" s="7">
        <f t="shared" si="331"/>
        <v>1422.1</v>
      </c>
      <c r="M552" s="7">
        <f t="shared" si="320"/>
        <v>63.757005155794666</v>
      </c>
    </row>
    <row r="553" spans="1:13" ht="15.75">
      <c r="A553" s="31" t="s">
        <v>326</v>
      </c>
      <c r="B553" s="42" t="s">
        <v>316</v>
      </c>
      <c r="C553" s="42" t="s">
        <v>265</v>
      </c>
      <c r="D553" s="42" t="s">
        <v>344</v>
      </c>
      <c r="E553" s="42" t="s">
        <v>327</v>
      </c>
      <c r="F553" s="7">
        <f>'Прил.№4 ведомств.'!G702</f>
        <v>2155.5</v>
      </c>
      <c r="G553" s="7">
        <f>'Прил.№4 ведомств.'!I702</f>
        <v>2155.5</v>
      </c>
      <c r="H553" s="7">
        <f>'Прил.№4 ведомств.'!J702</f>
        <v>2155.5</v>
      </c>
      <c r="I553" s="7">
        <f>'Прил.№4 ведомств.'!K702</f>
        <v>2155.5</v>
      </c>
      <c r="J553" s="7">
        <f>'Прил.№4 ведомств.'!L702</f>
        <v>2155.5</v>
      </c>
      <c r="K553" s="7">
        <f>'Прил.№4 ведомств.'!M702</f>
        <v>2230.5</v>
      </c>
      <c r="L553" s="7">
        <f>'Прил.№4 ведомств.'!N702</f>
        <v>1422.1</v>
      </c>
      <c r="M553" s="7">
        <f t="shared" si="320"/>
        <v>63.757005155794666</v>
      </c>
    </row>
    <row r="554" spans="1:13" ht="47.25">
      <c r="A554" s="33" t="s">
        <v>515</v>
      </c>
      <c r="B554" s="42" t="s">
        <v>316</v>
      </c>
      <c r="C554" s="42" t="s">
        <v>265</v>
      </c>
      <c r="D554" s="42" t="s">
        <v>516</v>
      </c>
      <c r="E554" s="42"/>
      <c r="F554" s="7">
        <f>F555</f>
        <v>886.5</v>
      </c>
      <c r="G554" s="7">
        <f aca="true" t="shared" si="332" ref="G554:L555">G555</f>
        <v>886.5</v>
      </c>
      <c r="H554" s="7">
        <f t="shared" si="332"/>
        <v>886.5</v>
      </c>
      <c r="I554" s="7">
        <f t="shared" si="332"/>
        <v>886.5</v>
      </c>
      <c r="J554" s="7">
        <f t="shared" si="332"/>
        <v>886.5</v>
      </c>
      <c r="K554" s="7">
        <f t="shared" si="332"/>
        <v>942</v>
      </c>
      <c r="L554" s="7">
        <f t="shared" si="332"/>
        <v>647</v>
      </c>
      <c r="M554" s="7">
        <f t="shared" si="320"/>
        <v>68.68365180467092</v>
      </c>
    </row>
    <row r="555" spans="1:13" ht="47.25">
      <c r="A555" s="31" t="s">
        <v>324</v>
      </c>
      <c r="B555" s="42" t="s">
        <v>316</v>
      </c>
      <c r="C555" s="42" t="s">
        <v>265</v>
      </c>
      <c r="D555" s="42" t="s">
        <v>516</v>
      </c>
      <c r="E555" s="42" t="s">
        <v>325</v>
      </c>
      <c r="F555" s="7">
        <f>F556</f>
        <v>886.5</v>
      </c>
      <c r="G555" s="7">
        <f t="shared" si="332"/>
        <v>886.5</v>
      </c>
      <c r="H555" s="7">
        <f t="shared" si="332"/>
        <v>886.5</v>
      </c>
      <c r="I555" s="7">
        <f t="shared" si="332"/>
        <v>886.5</v>
      </c>
      <c r="J555" s="7">
        <f t="shared" si="332"/>
        <v>886.5</v>
      </c>
      <c r="K555" s="7">
        <f t="shared" si="332"/>
        <v>942</v>
      </c>
      <c r="L555" s="7">
        <f t="shared" si="332"/>
        <v>647</v>
      </c>
      <c r="M555" s="7">
        <f t="shared" si="320"/>
        <v>68.68365180467092</v>
      </c>
    </row>
    <row r="556" spans="1:13" ht="15.75">
      <c r="A556" s="31" t="s">
        <v>326</v>
      </c>
      <c r="B556" s="42" t="s">
        <v>316</v>
      </c>
      <c r="C556" s="42" t="s">
        <v>265</v>
      </c>
      <c r="D556" s="42" t="s">
        <v>516</v>
      </c>
      <c r="E556" s="42" t="s">
        <v>327</v>
      </c>
      <c r="F556" s="7">
        <f>'Прил.№4 ведомств.'!G705</f>
        <v>886.5</v>
      </c>
      <c r="G556" s="7">
        <f>'Прил.№4 ведомств.'!I705</f>
        <v>886.5</v>
      </c>
      <c r="H556" s="7">
        <f>'Прил.№4 ведомств.'!J705</f>
        <v>886.5</v>
      </c>
      <c r="I556" s="7">
        <f>'Прил.№4 ведомств.'!K705</f>
        <v>886.5</v>
      </c>
      <c r="J556" s="7">
        <f>'Прил.№4 ведомств.'!L705</f>
        <v>886.5</v>
      </c>
      <c r="K556" s="7">
        <f>'Прил.№4 ведомств.'!M705</f>
        <v>942</v>
      </c>
      <c r="L556" s="7">
        <f>'Прил.№4 ведомств.'!N705</f>
        <v>647</v>
      </c>
      <c r="M556" s="7">
        <f t="shared" si="320"/>
        <v>68.68365180467092</v>
      </c>
    </row>
    <row r="557" spans="1:13" ht="94.5">
      <c r="A557" s="47" t="s">
        <v>345</v>
      </c>
      <c r="B557" s="42" t="s">
        <v>316</v>
      </c>
      <c r="C557" s="42" t="s">
        <v>265</v>
      </c>
      <c r="D557" s="21" t="s">
        <v>346</v>
      </c>
      <c r="E557" s="42"/>
      <c r="F557" s="7">
        <f>F558</f>
        <v>4369</v>
      </c>
      <c r="G557" s="7">
        <f aca="true" t="shared" si="333" ref="G557:L558">G558</f>
        <v>4369</v>
      </c>
      <c r="H557" s="7">
        <f t="shared" si="333"/>
        <v>4369</v>
      </c>
      <c r="I557" s="7">
        <f t="shared" si="333"/>
        <v>4369</v>
      </c>
      <c r="J557" s="7">
        <f t="shared" si="333"/>
        <v>4369</v>
      </c>
      <c r="K557" s="7">
        <f t="shared" si="333"/>
        <v>4294.7</v>
      </c>
      <c r="L557" s="7">
        <f t="shared" si="333"/>
        <v>2068.1</v>
      </c>
      <c r="M557" s="7">
        <f t="shared" si="320"/>
        <v>48.154702307495285</v>
      </c>
    </row>
    <row r="558" spans="1:13" ht="47.25">
      <c r="A558" s="31" t="s">
        <v>324</v>
      </c>
      <c r="B558" s="42" t="s">
        <v>316</v>
      </c>
      <c r="C558" s="42" t="s">
        <v>265</v>
      </c>
      <c r="D558" s="21" t="s">
        <v>346</v>
      </c>
      <c r="E558" s="42" t="s">
        <v>325</v>
      </c>
      <c r="F558" s="7">
        <f>F559</f>
        <v>4369</v>
      </c>
      <c r="G558" s="7">
        <f t="shared" si="333"/>
        <v>4369</v>
      </c>
      <c r="H558" s="7">
        <f t="shared" si="333"/>
        <v>4369</v>
      </c>
      <c r="I558" s="7">
        <f t="shared" si="333"/>
        <v>4369</v>
      </c>
      <c r="J558" s="7">
        <f t="shared" si="333"/>
        <v>4369</v>
      </c>
      <c r="K558" s="7">
        <f t="shared" si="333"/>
        <v>4294.7</v>
      </c>
      <c r="L558" s="7">
        <f t="shared" si="333"/>
        <v>2068.1</v>
      </c>
      <c r="M558" s="7">
        <f t="shared" si="320"/>
        <v>48.154702307495285</v>
      </c>
    </row>
    <row r="559" spans="1:13" ht="15.75">
      <c r="A559" s="31" t="s">
        <v>326</v>
      </c>
      <c r="B559" s="42" t="s">
        <v>316</v>
      </c>
      <c r="C559" s="42" t="s">
        <v>265</v>
      </c>
      <c r="D559" s="21" t="s">
        <v>346</v>
      </c>
      <c r="E559" s="42" t="s">
        <v>327</v>
      </c>
      <c r="F559" s="7">
        <f>'Прил.№4 ведомств.'!G708</f>
        <v>4369</v>
      </c>
      <c r="G559" s="7">
        <f>'Прил.№4 ведомств.'!I708</f>
        <v>4369</v>
      </c>
      <c r="H559" s="7">
        <f>'Прил.№4 ведомств.'!J708</f>
        <v>4369</v>
      </c>
      <c r="I559" s="7">
        <f>'Прил.№4 ведомств.'!K708</f>
        <v>4369</v>
      </c>
      <c r="J559" s="7">
        <f>'Прил.№4 ведомств.'!L708</f>
        <v>4369</v>
      </c>
      <c r="K559" s="7">
        <f>'Прил.№4 ведомств.'!M708</f>
        <v>4294.7</v>
      </c>
      <c r="L559" s="7">
        <f>'Прил.№4 ведомств.'!N708</f>
        <v>2068.1</v>
      </c>
      <c r="M559" s="7">
        <f t="shared" si="320"/>
        <v>48.154702307495285</v>
      </c>
    </row>
    <row r="560" spans="1:13" ht="15.75">
      <c r="A560" s="43" t="s">
        <v>317</v>
      </c>
      <c r="B560" s="8" t="s">
        <v>316</v>
      </c>
      <c r="C560" s="8" t="s">
        <v>267</v>
      </c>
      <c r="D560" s="25"/>
      <c r="E560" s="8"/>
      <c r="F560" s="4">
        <f>F561+F573+F593+F619</f>
        <v>52029.9</v>
      </c>
      <c r="G560" s="4">
        <f aca="true" t="shared" si="334" ref="G560:K560">G561+G573+G593+G619</f>
        <v>47647.13333333334</v>
      </c>
      <c r="H560" s="4">
        <f t="shared" si="334"/>
        <v>67974.7</v>
      </c>
      <c r="I560" s="4">
        <f t="shared" si="334"/>
        <v>68080.09999999999</v>
      </c>
      <c r="J560" s="4">
        <f t="shared" si="334"/>
        <v>68616.79999999999</v>
      </c>
      <c r="K560" s="4">
        <f t="shared" si="334"/>
        <v>53801.799999999996</v>
      </c>
      <c r="L560" s="4">
        <f aca="true" t="shared" si="335" ref="L560">L561+L573+L593+L619</f>
        <v>31885.6</v>
      </c>
      <c r="M560" s="4">
        <f t="shared" si="320"/>
        <v>59.26493165656168</v>
      </c>
    </row>
    <row r="561" spans="1:17" ht="47.25">
      <c r="A561" s="26" t="s">
        <v>479</v>
      </c>
      <c r="B561" s="42" t="s">
        <v>316</v>
      </c>
      <c r="C561" s="42" t="s">
        <v>267</v>
      </c>
      <c r="D561" s="21" t="s">
        <v>459</v>
      </c>
      <c r="E561" s="42"/>
      <c r="F561" s="7">
        <f>F562+F566</f>
        <v>21479.9</v>
      </c>
      <c r="G561" s="7">
        <f aca="true" t="shared" si="336" ref="G561:K561">G562+G566</f>
        <v>22159.4</v>
      </c>
      <c r="H561" s="7">
        <f t="shared" si="336"/>
        <v>26339.8</v>
      </c>
      <c r="I561" s="7">
        <f t="shared" si="336"/>
        <v>26628.8</v>
      </c>
      <c r="J561" s="7">
        <f t="shared" si="336"/>
        <v>26803</v>
      </c>
      <c r="K561" s="7">
        <f t="shared" si="336"/>
        <v>21921.199999999997</v>
      </c>
      <c r="L561" s="7">
        <f aca="true" t="shared" si="337" ref="L561">L562+L566</f>
        <v>15654</v>
      </c>
      <c r="M561" s="7">
        <f t="shared" si="320"/>
        <v>71.41032425232197</v>
      </c>
      <c r="Q561" s="23"/>
    </row>
    <row r="562" spans="1:17" ht="31.5">
      <c r="A562" s="26" t="s">
        <v>460</v>
      </c>
      <c r="B562" s="42" t="s">
        <v>316</v>
      </c>
      <c r="C562" s="42" t="s">
        <v>267</v>
      </c>
      <c r="D562" s="21" t="s">
        <v>461</v>
      </c>
      <c r="E562" s="42"/>
      <c r="F562" s="7">
        <f>F563</f>
        <v>21124</v>
      </c>
      <c r="G562" s="7">
        <f aca="true" t="shared" si="338" ref="G562:L564">G563</f>
        <v>21803.5</v>
      </c>
      <c r="H562" s="7">
        <f t="shared" si="338"/>
        <v>25586.7</v>
      </c>
      <c r="I562" s="7">
        <f t="shared" si="338"/>
        <v>25875.7</v>
      </c>
      <c r="J562" s="7">
        <f t="shared" si="338"/>
        <v>26049.9</v>
      </c>
      <c r="K562" s="7">
        <f t="shared" si="338"/>
        <v>21168.1</v>
      </c>
      <c r="L562" s="7">
        <f t="shared" si="338"/>
        <v>14900.9</v>
      </c>
      <c r="M562" s="7">
        <f t="shared" si="320"/>
        <v>70.3931859732333</v>
      </c>
      <c r="Q562" s="23"/>
    </row>
    <row r="563" spans="1:13" ht="47.25">
      <c r="A563" s="26" t="s">
        <v>322</v>
      </c>
      <c r="B563" s="42" t="s">
        <v>316</v>
      </c>
      <c r="C563" s="42" t="s">
        <v>267</v>
      </c>
      <c r="D563" s="21" t="s">
        <v>482</v>
      </c>
      <c r="E563" s="42"/>
      <c r="F563" s="7">
        <f>F564</f>
        <v>21124</v>
      </c>
      <c r="G563" s="7">
        <f t="shared" si="338"/>
        <v>21803.5</v>
      </c>
      <c r="H563" s="7">
        <f t="shared" si="338"/>
        <v>25586.7</v>
      </c>
      <c r="I563" s="7">
        <f t="shared" si="338"/>
        <v>25875.7</v>
      </c>
      <c r="J563" s="7">
        <f t="shared" si="338"/>
        <v>26049.9</v>
      </c>
      <c r="K563" s="7">
        <f t="shared" si="338"/>
        <v>21168.1</v>
      </c>
      <c r="L563" s="7">
        <f t="shared" si="338"/>
        <v>14900.9</v>
      </c>
      <c r="M563" s="7">
        <f t="shared" si="320"/>
        <v>70.3931859732333</v>
      </c>
    </row>
    <row r="564" spans="1:13" ht="47.25">
      <c r="A564" s="26" t="s">
        <v>324</v>
      </c>
      <c r="B564" s="42" t="s">
        <v>316</v>
      </c>
      <c r="C564" s="42" t="s">
        <v>267</v>
      </c>
      <c r="D564" s="21" t="s">
        <v>482</v>
      </c>
      <c r="E564" s="42" t="s">
        <v>325</v>
      </c>
      <c r="F564" s="7">
        <f>F565</f>
        <v>21124</v>
      </c>
      <c r="G564" s="7">
        <f t="shared" si="338"/>
        <v>21803.5</v>
      </c>
      <c r="H564" s="7">
        <f t="shared" si="338"/>
        <v>25586.7</v>
      </c>
      <c r="I564" s="7">
        <f t="shared" si="338"/>
        <v>25875.7</v>
      </c>
      <c r="J564" s="7">
        <f t="shared" si="338"/>
        <v>26049.9</v>
      </c>
      <c r="K564" s="7">
        <f t="shared" si="338"/>
        <v>21168.1</v>
      </c>
      <c r="L564" s="7">
        <f t="shared" si="338"/>
        <v>14900.9</v>
      </c>
      <c r="M564" s="7">
        <f t="shared" si="320"/>
        <v>70.3931859732333</v>
      </c>
    </row>
    <row r="565" spans="1:13" ht="15.75">
      <c r="A565" s="26" t="s">
        <v>326</v>
      </c>
      <c r="B565" s="42" t="s">
        <v>316</v>
      </c>
      <c r="C565" s="42" t="s">
        <v>267</v>
      </c>
      <c r="D565" s="21" t="s">
        <v>482</v>
      </c>
      <c r="E565" s="42" t="s">
        <v>327</v>
      </c>
      <c r="F565" s="7">
        <f>'Прил.№4 ведомств.'!G714</f>
        <v>21124</v>
      </c>
      <c r="G565" s="7">
        <f>'Прил.№4 ведомств.'!I714</f>
        <v>21803.5</v>
      </c>
      <c r="H565" s="7">
        <f>'Прил.№4 ведомств.'!J714</f>
        <v>25586.7</v>
      </c>
      <c r="I565" s="7">
        <f>'Прил.№4 ведомств.'!K714</f>
        <v>25875.7</v>
      </c>
      <c r="J565" s="7">
        <f>'Прил.№4 ведомств.'!L714</f>
        <v>26049.9</v>
      </c>
      <c r="K565" s="7">
        <f>'Прил.№4 ведомств.'!M714</f>
        <v>21168.1</v>
      </c>
      <c r="L565" s="7">
        <f>'Прил.№4 ведомств.'!N714</f>
        <v>14900.9</v>
      </c>
      <c r="M565" s="7">
        <f t="shared" si="320"/>
        <v>70.3931859732333</v>
      </c>
    </row>
    <row r="566" spans="1:13" ht="31.5">
      <c r="A566" s="33" t="s">
        <v>794</v>
      </c>
      <c r="B566" s="42" t="s">
        <v>316</v>
      </c>
      <c r="C566" s="42" t="s">
        <v>267</v>
      </c>
      <c r="D566" s="21" t="s">
        <v>500</v>
      </c>
      <c r="E566" s="42"/>
      <c r="F566" s="7">
        <f>F567+F570</f>
        <v>355.9</v>
      </c>
      <c r="G566" s="7">
        <f aca="true" t="shared" si="339" ref="G566:K566">G567+G570</f>
        <v>355.9</v>
      </c>
      <c r="H566" s="7">
        <f t="shared" si="339"/>
        <v>753.1</v>
      </c>
      <c r="I566" s="7">
        <f t="shared" si="339"/>
        <v>753.1</v>
      </c>
      <c r="J566" s="7">
        <f t="shared" si="339"/>
        <v>753.1</v>
      </c>
      <c r="K566" s="7">
        <f t="shared" si="339"/>
        <v>753.1</v>
      </c>
      <c r="L566" s="7">
        <f aca="true" t="shared" si="340" ref="L566">L567+L570</f>
        <v>753.1</v>
      </c>
      <c r="M566" s="7">
        <f t="shared" si="320"/>
        <v>100</v>
      </c>
    </row>
    <row r="567" spans="1:13" ht="31.5" hidden="1">
      <c r="A567" s="47" t="s">
        <v>795</v>
      </c>
      <c r="B567" s="42" t="s">
        <v>316</v>
      </c>
      <c r="C567" s="42" t="s">
        <v>267</v>
      </c>
      <c r="D567" s="21" t="s">
        <v>796</v>
      </c>
      <c r="E567" s="42"/>
      <c r="F567" s="7">
        <f>F568</f>
        <v>355.9</v>
      </c>
      <c r="G567" s="7">
        <f aca="true" t="shared" si="341" ref="G567:L568">G568</f>
        <v>355.9</v>
      </c>
      <c r="H567" s="7">
        <f t="shared" si="341"/>
        <v>0</v>
      </c>
      <c r="I567" s="7">
        <f t="shared" si="341"/>
        <v>0</v>
      </c>
      <c r="J567" s="7">
        <f t="shared" si="341"/>
        <v>0</v>
      </c>
      <c r="K567" s="7">
        <f t="shared" si="341"/>
        <v>0</v>
      </c>
      <c r="L567" s="7">
        <f t="shared" si="341"/>
        <v>0</v>
      </c>
      <c r="M567" s="7" t="e">
        <f t="shared" si="320"/>
        <v>#DIV/0!</v>
      </c>
    </row>
    <row r="568" spans="1:13" ht="47.25" hidden="1">
      <c r="A568" s="33" t="s">
        <v>324</v>
      </c>
      <c r="B568" s="42" t="s">
        <v>316</v>
      </c>
      <c r="C568" s="42" t="s">
        <v>267</v>
      </c>
      <c r="D568" s="21" t="s">
        <v>796</v>
      </c>
      <c r="E568" s="42" t="s">
        <v>325</v>
      </c>
      <c r="F568" s="7">
        <f>F569</f>
        <v>355.9</v>
      </c>
      <c r="G568" s="7">
        <f t="shared" si="341"/>
        <v>355.9</v>
      </c>
      <c r="H568" s="7">
        <f t="shared" si="341"/>
        <v>0</v>
      </c>
      <c r="I568" s="7">
        <f t="shared" si="341"/>
        <v>0</v>
      </c>
      <c r="J568" s="7">
        <f t="shared" si="341"/>
        <v>0</v>
      </c>
      <c r="K568" s="7">
        <f t="shared" si="341"/>
        <v>0</v>
      </c>
      <c r="L568" s="7">
        <f t="shared" si="341"/>
        <v>0</v>
      </c>
      <c r="M568" s="7" t="e">
        <f t="shared" si="320"/>
        <v>#DIV/0!</v>
      </c>
    </row>
    <row r="569" spans="1:13" ht="15.75" hidden="1">
      <c r="A569" s="33" t="s">
        <v>326</v>
      </c>
      <c r="B569" s="42" t="s">
        <v>316</v>
      </c>
      <c r="C569" s="42" t="s">
        <v>267</v>
      </c>
      <c r="D569" s="21" t="s">
        <v>796</v>
      </c>
      <c r="E569" s="42" t="s">
        <v>327</v>
      </c>
      <c r="F569" s="7">
        <f>'Прил.№4 ведомств.'!G717</f>
        <v>355.9</v>
      </c>
      <c r="G569" s="7">
        <f>'Прил.№4 ведомств.'!I717</f>
        <v>355.9</v>
      </c>
      <c r="H569" s="7">
        <f>'Прил.№4 ведомств.'!J717</f>
        <v>0</v>
      </c>
      <c r="I569" s="7">
        <f>'Прил.№4 ведомств.'!K717</f>
        <v>0</v>
      </c>
      <c r="J569" s="7">
        <f>'Прил.№4 ведомств.'!L717</f>
        <v>0</v>
      </c>
      <c r="K569" s="7">
        <f>'Прил.№4 ведомств.'!M717</f>
        <v>0</v>
      </c>
      <c r="L569" s="7">
        <f>'Прил.№4 ведомств.'!N717</f>
        <v>0</v>
      </c>
      <c r="M569" s="7" t="e">
        <f t="shared" si="320"/>
        <v>#DIV/0!</v>
      </c>
    </row>
    <row r="570" spans="1:13" ht="31.5">
      <c r="A570" s="47" t="s">
        <v>865</v>
      </c>
      <c r="B570" s="42" t="s">
        <v>316</v>
      </c>
      <c r="C570" s="42" t="s">
        <v>267</v>
      </c>
      <c r="D570" s="21" t="s">
        <v>866</v>
      </c>
      <c r="E570" s="42"/>
      <c r="F570" s="7">
        <f>F571</f>
        <v>0</v>
      </c>
      <c r="G570" s="7">
        <f aca="true" t="shared" si="342" ref="G570:L571">G571</f>
        <v>0</v>
      </c>
      <c r="H570" s="7">
        <f t="shared" si="342"/>
        <v>753.1</v>
      </c>
      <c r="I570" s="7">
        <f t="shared" si="342"/>
        <v>753.1</v>
      </c>
      <c r="J570" s="7">
        <f t="shared" si="342"/>
        <v>753.1</v>
      </c>
      <c r="K570" s="7">
        <f t="shared" si="342"/>
        <v>753.1</v>
      </c>
      <c r="L570" s="7">
        <f t="shared" si="342"/>
        <v>753.1</v>
      </c>
      <c r="M570" s="7">
        <f t="shared" si="320"/>
        <v>100</v>
      </c>
    </row>
    <row r="571" spans="1:13" ht="47.25">
      <c r="A571" s="33" t="s">
        <v>324</v>
      </c>
      <c r="B571" s="42" t="s">
        <v>316</v>
      </c>
      <c r="C571" s="42" t="s">
        <v>267</v>
      </c>
      <c r="D571" s="21" t="s">
        <v>866</v>
      </c>
      <c r="E571" s="42" t="s">
        <v>325</v>
      </c>
      <c r="F571" s="7">
        <f>F572</f>
        <v>0</v>
      </c>
      <c r="G571" s="7">
        <f t="shared" si="342"/>
        <v>0</v>
      </c>
      <c r="H571" s="7">
        <f t="shared" si="342"/>
        <v>753.1</v>
      </c>
      <c r="I571" s="7">
        <f t="shared" si="342"/>
        <v>753.1</v>
      </c>
      <c r="J571" s="7">
        <f t="shared" si="342"/>
        <v>753.1</v>
      </c>
      <c r="K571" s="7">
        <f t="shared" si="342"/>
        <v>753.1</v>
      </c>
      <c r="L571" s="7">
        <f t="shared" si="342"/>
        <v>753.1</v>
      </c>
      <c r="M571" s="7">
        <f t="shared" si="320"/>
        <v>100</v>
      </c>
    </row>
    <row r="572" spans="1:13" ht="15.75">
      <c r="A572" s="33" t="s">
        <v>326</v>
      </c>
      <c r="B572" s="42" t="s">
        <v>316</v>
      </c>
      <c r="C572" s="42" t="s">
        <v>267</v>
      </c>
      <c r="D572" s="21" t="s">
        <v>866</v>
      </c>
      <c r="E572" s="42" t="s">
        <v>327</v>
      </c>
      <c r="F572" s="7">
        <f>'Прил.№4 ведомств.'!G721</f>
        <v>0</v>
      </c>
      <c r="G572" s="7">
        <f>'Прил.№4 ведомств.'!I721</f>
        <v>0</v>
      </c>
      <c r="H572" s="7">
        <f>'Прил.№4 ведомств.'!J721</f>
        <v>753.1</v>
      </c>
      <c r="I572" s="7">
        <f>'Прил.№4 ведомств.'!K721</f>
        <v>753.1</v>
      </c>
      <c r="J572" s="7">
        <f>'Прил.№4 ведомств.'!L721</f>
        <v>753.1</v>
      </c>
      <c r="K572" s="7">
        <f>'Прил.№4 ведомств.'!M721</f>
        <v>753.1</v>
      </c>
      <c r="L572" s="7">
        <f>'Прил.№4 ведомств.'!N721</f>
        <v>753.1</v>
      </c>
      <c r="M572" s="7">
        <f t="shared" si="320"/>
        <v>100</v>
      </c>
    </row>
    <row r="573" spans="1:13" ht="47.25">
      <c r="A573" s="26" t="s">
        <v>534</v>
      </c>
      <c r="B573" s="42" t="s">
        <v>316</v>
      </c>
      <c r="C573" s="42" t="s">
        <v>267</v>
      </c>
      <c r="D573" s="21" t="s">
        <v>535</v>
      </c>
      <c r="E573" s="42"/>
      <c r="F573" s="7">
        <f>F574</f>
        <v>10758</v>
      </c>
      <c r="G573" s="7">
        <f aca="true" t="shared" si="343" ref="G573:L573">G574</f>
        <v>10758</v>
      </c>
      <c r="H573" s="7">
        <f t="shared" si="343"/>
        <v>16464.5</v>
      </c>
      <c r="I573" s="7">
        <f t="shared" si="343"/>
        <v>16607.3</v>
      </c>
      <c r="J573" s="7">
        <f t="shared" si="343"/>
        <v>16742.6</v>
      </c>
      <c r="K573" s="7">
        <f t="shared" si="343"/>
        <v>11806.7</v>
      </c>
      <c r="L573" s="7">
        <f t="shared" si="343"/>
        <v>6329.2</v>
      </c>
      <c r="M573" s="7">
        <f t="shared" si="320"/>
        <v>53.60685034768393</v>
      </c>
    </row>
    <row r="574" spans="1:13" ht="47.25">
      <c r="A574" s="26" t="s">
        <v>536</v>
      </c>
      <c r="B574" s="42" t="s">
        <v>316</v>
      </c>
      <c r="C574" s="42" t="s">
        <v>267</v>
      </c>
      <c r="D574" s="21" t="s">
        <v>537</v>
      </c>
      <c r="E574" s="42"/>
      <c r="F574" s="7">
        <f>F575+F584+F587+F590</f>
        <v>10758</v>
      </c>
      <c r="G574" s="7">
        <f aca="true" t="shared" si="344" ref="G574:K574">G575+G584+G587+G590</f>
        <v>10758</v>
      </c>
      <c r="H574" s="7">
        <f t="shared" si="344"/>
        <v>16464.5</v>
      </c>
      <c r="I574" s="7">
        <f t="shared" si="344"/>
        <v>16607.3</v>
      </c>
      <c r="J574" s="7">
        <f t="shared" si="344"/>
        <v>16742.6</v>
      </c>
      <c r="K574" s="7">
        <f t="shared" si="344"/>
        <v>11806.7</v>
      </c>
      <c r="L574" s="7">
        <f aca="true" t="shared" si="345" ref="L574">L575+L584+L587+L590</f>
        <v>6329.2</v>
      </c>
      <c r="M574" s="7">
        <f t="shared" si="320"/>
        <v>53.60685034768393</v>
      </c>
    </row>
    <row r="575" spans="1:13" ht="47.25">
      <c r="A575" s="26" t="s">
        <v>322</v>
      </c>
      <c r="B575" s="42" t="s">
        <v>316</v>
      </c>
      <c r="C575" s="42" t="s">
        <v>267</v>
      </c>
      <c r="D575" s="21" t="s">
        <v>538</v>
      </c>
      <c r="E575" s="42"/>
      <c r="F575" s="7">
        <f>F576</f>
        <v>10722</v>
      </c>
      <c r="G575" s="7">
        <f aca="true" t="shared" si="346" ref="G575:L576">G576</f>
        <v>10722</v>
      </c>
      <c r="H575" s="7">
        <f t="shared" si="346"/>
        <v>15788.3</v>
      </c>
      <c r="I575" s="7">
        <f t="shared" si="346"/>
        <v>15931.1</v>
      </c>
      <c r="J575" s="7">
        <f t="shared" si="346"/>
        <v>16066.4</v>
      </c>
      <c r="K575" s="7">
        <f t="shared" si="346"/>
        <v>11348.5</v>
      </c>
      <c r="L575" s="7">
        <f t="shared" si="346"/>
        <v>5948.6</v>
      </c>
      <c r="M575" s="7">
        <f t="shared" si="320"/>
        <v>52.41750011014672</v>
      </c>
    </row>
    <row r="576" spans="1:13" ht="47.25">
      <c r="A576" s="26" t="s">
        <v>324</v>
      </c>
      <c r="B576" s="42" t="s">
        <v>316</v>
      </c>
      <c r="C576" s="42" t="s">
        <v>267</v>
      </c>
      <c r="D576" s="21" t="s">
        <v>538</v>
      </c>
      <c r="E576" s="42" t="s">
        <v>325</v>
      </c>
      <c r="F576" s="7">
        <f>F577</f>
        <v>10722</v>
      </c>
      <c r="G576" s="7">
        <f t="shared" si="346"/>
        <v>10722</v>
      </c>
      <c r="H576" s="7">
        <f t="shared" si="346"/>
        <v>15788.3</v>
      </c>
      <c r="I576" s="7">
        <f t="shared" si="346"/>
        <v>15931.1</v>
      </c>
      <c r="J576" s="7">
        <f t="shared" si="346"/>
        <v>16066.4</v>
      </c>
      <c r="K576" s="7">
        <f t="shared" si="346"/>
        <v>11348.5</v>
      </c>
      <c r="L576" s="7">
        <f t="shared" si="346"/>
        <v>5948.6</v>
      </c>
      <c r="M576" s="7">
        <f t="shared" si="320"/>
        <v>52.41750011014672</v>
      </c>
    </row>
    <row r="577" spans="1:13" ht="15.75">
      <c r="A577" s="26" t="s">
        <v>326</v>
      </c>
      <c r="B577" s="42" t="s">
        <v>316</v>
      </c>
      <c r="C577" s="42" t="s">
        <v>267</v>
      </c>
      <c r="D577" s="21" t="s">
        <v>538</v>
      </c>
      <c r="E577" s="42" t="s">
        <v>327</v>
      </c>
      <c r="F577" s="7">
        <f>'Прил.№4 ведомств.'!G786</f>
        <v>10722</v>
      </c>
      <c r="G577" s="7">
        <f>'Прил.№4 ведомств.'!I786</f>
        <v>10722</v>
      </c>
      <c r="H577" s="7">
        <f>'Прил.№4 ведомств.'!J786</f>
        <v>15788.3</v>
      </c>
      <c r="I577" s="7">
        <f>'Прил.№4 ведомств.'!K786</f>
        <v>15931.1</v>
      </c>
      <c r="J577" s="7">
        <f>'Прил.№4 ведомств.'!L786</f>
        <v>16066.4</v>
      </c>
      <c r="K577" s="7">
        <f>'Прил.№4 ведомств.'!M786</f>
        <v>11348.5</v>
      </c>
      <c r="L577" s="7">
        <f>'Прил.№4 ведомств.'!N786</f>
        <v>5948.6</v>
      </c>
      <c r="M577" s="7">
        <f t="shared" si="320"/>
        <v>52.41750011014672</v>
      </c>
    </row>
    <row r="578" spans="1:13" ht="31.5" customHeight="1" hidden="1">
      <c r="A578" s="26" t="s">
        <v>330</v>
      </c>
      <c r="B578" s="42" t="s">
        <v>316</v>
      </c>
      <c r="C578" s="42" t="s">
        <v>267</v>
      </c>
      <c r="D578" s="21" t="s">
        <v>539</v>
      </c>
      <c r="E578" s="42"/>
      <c r="F578" s="7"/>
      <c r="G578" s="7"/>
      <c r="H578" s="7"/>
      <c r="I578" s="7"/>
      <c r="J578" s="7"/>
      <c r="K578" s="7"/>
      <c r="L578" s="7"/>
      <c r="M578" s="7" t="e">
        <f t="shared" si="320"/>
        <v>#DIV/0!</v>
      </c>
    </row>
    <row r="579" spans="1:13" ht="47.25" customHeight="1" hidden="1">
      <c r="A579" s="26" t="s">
        <v>324</v>
      </c>
      <c r="B579" s="42" t="s">
        <v>316</v>
      </c>
      <c r="C579" s="42" t="s">
        <v>267</v>
      </c>
      <c r="D579" s="21" t="s">
        <v>539</v>
      </c>
      <c r="E579" s="42"/>
      <c r="F579" s="7"/>
      <c r="G579" s="7"/>
      <c r="H579" s="7"/>
      <c r="I579" s="7"/>
      <c r="J579" s="7"/>
      <c r="K579" s="7"/>
      <c r="L579" s="7"/>
      <c r="M579" s="7" t="e">
        <f t="shared" si="320"/>
        <v>#DIV/0!</v>
      </c>
    </row>
    <row r="580" spans="1:13" ht="15.75" customHeight="1" hidden="1">
      <c r="A580" s="26" t="s">
        <v>326</v>
      </c>
      <c r="B580" s="42" t="s">
        <v>316</v>
      </c>
      <c r="C580" s="42" t="s">
        <v>267</v>
      </c>
      <c r="D580" s="21" t="s">
        <v>539</v>
      </c>
      <c r="E580" s="42"/>
      <c r="F580" s="7"/>
      <c r="G580" s="7"/>
      <c r="H580" s="7"/>
      <c r="I580" s="7"/>
      <c r="J580" s="7"/>
      <c r="K580" s="7"/>
      <c r="L580" s="7"/>
      <c r="M580" s="7" t="e">
        <f t="shared" si="320"/>
        <v>#DIV/0!</v>
      </c>
    </row>
    <row r="581" spans="1:13" ht="31.5" customHeight="1" hidden="1">
      <c r="A581" s="26" t="s">
        <v>332</v>
      </c>
      <c r="B581" s="42" t="s">
        <v>316</v>
      </c>
      <c r="C581" s="42" t="s">
        <v>267</v>
      </c>
      <c r="D581" s="21" t="s">
        <v>540</v>
      </c>
      <c r="E581" s="42"/>
      <c r="F581" s="7"/>
      <c r="G581" s="7"/>
      <c r="H581" s="7"/>
      <c r="I581" s="7"/>
      <c r="J581" s="7"/>
      <c r="K581" s="7"/>
      <c r="L581" s="7"/>
      <c r="M581" s="7" t="e">
        <f t="shared" si="320"/>
        <v>#DIV/0!</v>
      </c>
    </row>
    <row r="582" spans="1:13" ht="47.25" customHeight="1" hidden="1">
      <c r="A582" s="26" t="s">
        <v>324</v>
      </c>
      <c r="B582" s="42" t="s">
        <v>316</v>
      </c>
      <c r="C582" s="42" t="s">
        <v>267</v>
      </c>
      <c r="D582" s="21" t="s">
        <v>540</v>
      </c>
      <c r="E582" s="42"/>
      <c r="F582" s="7"/>
      <c r="G582" s="7"/>
      <c r="H582" s="7"/>
      <c r="I582" s="7"/>
      <c r="J582" s="7"/>
      <c r="K582" s="7"/>
      <c r="L582" s="7"/>
      <c r="M582" s="7" t="e">
        <f t="shared" si="320"/>
        <v>#DIV/0!</v>
      </c>
    </row>
    <row r="583" spans="1:13" ht="15.75" customHeight="1" hidden="1">
      <c r="A583" s="26" t="s">
        <v>326</v>
      </c>
      <c r="B583" s="42" t="s">
        <v>316</v>
      </c>
      <c r="C583" s="42" t="s">
        <v>267</v>
      </c>
      <c r="D583" s="21" t="s">
        <v>540</v>
      </c>
      <c r="E583" s="42"/>
      <c r="F583" s="7"/>
      <c r="G583" s="7"/>
      <c r="H583" s="7"/>
      <c r="I583" s="7"/>
      <c r="J583" s="7"/>
      <c r="K583" s="7"/>
      <c r="L583" s="7"/>
      <c r="M583" s="7" t="e">
        <f t="shared" si="320"/>
        <v>#DIV/0!</v>
      </c>
    </row>
    <row r="584" spans="1:13" ht="31.5">
      <c r="A584" s="26" t="s">
        <v>334</v>
      </c>
      <c r="B584" s="42" t="s">
        <v>316</v>
      </c>
      <c r="C584" s="42" t="s">
        <v>267</v>
      </c>
      <c r="D584" s="21" t="s">
        <v>541</v>
      </c>
      <c r="E584" s="42"/>
      <c r="F584" s="7">
        <f>F585</f>
        <v>36</v>
      </c>
      <c r="G584" s="7">
        <f aca="true" t="shared" si="347" ref="G584:L585">G585</f>
        <v>36</v>
      </c>
      <c r="H584" s="7">
        <f t="shared" si="347"/>
        <v>36</v>
      </c>
      <c r="I584" s="7">
        <f t="shared" si="347"/>
        <v>36</v>
      </c>
      <c r="J584" s="7">
        <f t="shared" si="347"/>
        <v>36</v>
      </c>
      <c r="K584" s="7">
        <f t="shared" si="347"/>
        <v>36</v>
      </c>
      <c r="L584" s="7">
        <f t="shared" si="347"/>
        <v>15.4</v>
      </c>
      <c r="M584" s="7">
        <f t="shared" si="320"/>
        <v>42.77777777777778</v>
      </c>
    </row>
    <row r="585" spans="1:13" ht="47.25">
      <c r="A585" s="26" t="s">
        <v>324</v>
      </c>
      <c r="B585" s="42" t="s">
        <v>316</v>
      </c>
      <c r="C585" s="42" t="s">
        <v>267</v>
      </c>
      <c r="D585" s="21" t="s">
        <v>541</v>
      </c>
      <c r="E585" s="42" t="s">
        <v>325</v>
      </c>
      <c r="F585" s="7">
        <f>F586</f>
        <v>36</v>
      </c>
      <c r="G585" s="7">
        <f t="shared" si="347"/>
        <v>36</v>
      </c>
      <c r="H585" s="7">
        <f t="shared" si="347"/>
        <v>36</v>
      </c>
      <c r="I585" s="7">
        <f t="shared" si="347"/>
        <v>36</v>
      </c>
      <c r="J585" s="7">
        <f t="shared" si="347"/>
        <v>36</v>
      </c>
      <c r="K585" s="7">
        <f t="shared" si="347"/>
        <v>36</v>
      </c>
      <c r="L585" s="7">
        <f t="shared" si="347"/>
        <v>15.4</v>
      </c>
      <c r="M585" s="7">
        <f t="shared" si="320"/>
        <v>42.77777777777778</v>
      </c>
    </row>
    <row r="586" spans="1:13" ht="15.75">
      <c r="A586" s="26" t="s">
        <v>326</v>
      </c>
      <c r="B586" s="42" t="s">
        <v>316</v>
      </c>
      <c r="C586" s="42" t="s">
        <v>267</v>
      </c>
      <c r="D586" s="21" t="s">
        <v>541</v>
      </c>
      <c r="E586" s="42" t="s">
        <v>327</v>
      </c>
      <c r="F586" s="7">
        <f>'Прил.№4 ведомств.'!G795</f>
        <v>36</v>
      </c>
      <c r="G586" s="7">
        <f>'Прил.№4 ведомств.'!I795</f>
        <v>36</v>
      </c>
      <c r="H586" s="7">
        <f>'Прил.№4 ведомств.'!J795</f>
        <v>36</v>
      </c>
      <c r="I586" s="7">
        <f>'Прил.№4 ведомств.'!K795</f>
        <v>36</v>
      </c>
      <c r="J586" s="7">
        <f>'Прил.№4 ведомств.'!L795</f>
        <v>36</v>
      </c>
      <c r="K586" s="7">
        <f>'Прил.№4 ведомств.'!M795</f>
        <v>36</v>
      </c>
      <c r="L586" s="7">
        <f>'Прил.№4 ведомств.'!N795</f>
        <v>15.4</v>
      </c>
      <c r="M586" s="7">
        <f t="shared" si="320"/>
        <v>42.77777777777778</v>
      </c>
    </row>
    <row r="587" spans="1:13" ht="31.5" hidden="1">
      <c r="A587" s="26" t="s">
        <v>336</v>
      </c>
      <c r="B587" s="42" t="s">
        <v>316</v>
      </c>
      <c r="C587" s="42" t="s">
        <v>267</v>
      </c>
      <c r="D587" s="21" t="s">
        <v>542</v>
      </c>
      <c r="E587" s="42"/>
      <c r="F587" s="7">
        <f>F588</f>
        <v>0</v>
      </c>
      <c r="G587" s="7">
        <f aca="true" t="shared" si="348" ref="G587:L588">G588</f>
        <v>0</v>
      </c>
      <c r="H587" s="7">
        <f t="shared" si="348"/>
        <v>275</v>
      </c>
      <c r="I587" s="7">
        <f t="shared" si="348"/>
        <v>275</v>
      </c>
      <c r="J587" s="7">
        <f t="shared" si="348"/>
        <v>275</v>
      </c>
      <c r="K587" s="7">
        <f t="shared" si="348"/>
        <v>0</v>
      </c>
      <c r="L587" s="7">
        <f t="shared" si="348"/>
        <v>0</v>
      </c>
      <c r="M587" s="7" t="e">
        <f t="shared" si="320"/>
        <v>#DIV/0!</v>
      </c>
    </row>
    <row r="588" spans="1:13" ht="47.25" hidden="1">
      <c r="A588" s="26" t="s">
        <v>324</v>
      </c>
      <c r="B588" s="42" t="s">
        <v>316</v>
      </c>
      <c r="C588" s="42" t="s">
        <v>267</v>
      </c>
      <c r="D588" s="21" t="s">
        <v>542</v>
      </c>
      <c r="E588" s="42" t="s">
        <v>325</v>
      </c>
      <c r="F588" s="7">
        <f>F589</f>
        <v>0</v>
      </c>
      <c r="G588" s="7">
        <f t="shared" si="348"/>
        <v>0</v>
      </c>
      <c r="H588" s="7">
        <f t="shared" si="348"/>
        <v>275</v>
      </c>
      <c r="I588" s="7">
        <f t="shared" si="348"/>
        <v>275</v>
      </c>
      <c r="J588" s="7">
        <f t="shared" si="348"/>
        <v>275</v>
      </c>
      <c r="K588" s="7">
        <f t="shared" si="348"/>
        <v>0</v>
      </c>
      <c r="L588" s="7">
        <f t="shared" si="348"/>
        <v>0</v>
      </c>
      <c r="M588" s="7" t="e">
        <f t="shared" si="320"/>
        <v>#DIV/0!</v>
      </c>
    </row>
    <row r="589" spans="1:13" ht="15.75" hidden="1">
      <c r="A589" s="26" t="s">
        <v>326</v>
      </c>
      <c r="B589" s="42" t="s">
        <v>316</v>
      </c>
      <c r="C589" s="42" t="s">
        <v>267</v>
      </c>
      <c r="D589" s="21" t="s">
        <v>542</v>
      </c>
      <c r="E589" s="42" t="s">
        <v>327</v>
      </c>
      <c r="F589" s="7">
        <f>'Прил.№4 ведомств.'!G798</f>
        <v>0</v>
      </c>
      <c r="G589" s="7">
        <f>'Прил.№4 ведомств.'!I798</f>
        <v>0</v>
      </c>
      <c r="H589" s="7">
        <f>'Прил.№4 ведомств.'!J798</f>
        <v>275</v>
      </c>
      <c r="I589" s="7">
        <f>'Прил.№4 ведомств.'!K798</f>
        <v>275</v>
      </c>
      <c r="J589" s="7">
        <f>'Прил.№4 ведомств.'!L798</f>
        <v>275</v>
      </c>
      <c r="K589" s="7">
        <f>'Прил.№4 ведомств.'!M798</f>
        <v>0</v>
      </c>
      <c r="L589" s="7">
        <f>'Прил.№4 ведомств.'!N798</f>
        <v>0</v>
      </c>
      <c r="M589" s="7" t="e">
        <f aca="true" t="shared" si="349" ref="M589:M652">L589/K589*100</f>
        <v>#DIV/0!</v>
      </c>
    </row>
    <row r="590" spans="1:13" ht="31.5">
      <c r="A590" s="47" t="s">
        <v>865</v>
      </c>
      <c r="B590" s="42" t="s">
        <v>316</v>
      </c>
      <c r="C590" s="42" t="s">
        <v>267</v>
      </c>
      <c r="D590" s="21" t="s">
        <v>872</v>
      </c>
      <c r="E590" s="42"/>
      <c r="F590" s="7">
        <f>F591</f>
        <v>0</v>
      </c>
      <c r="G590" s="7">
        <f aca="true" t="shared" si="350" ref="G590:L591">G591</f>
        <v>0</v>
      </c>
      <c r="H590" s="7">
        <f t="shared" si="350"/>
        <v>365.2</v>
      </c>
      <c r="I590" s="7">
        <f t="shared" si="350"/>
        <v>365.2</v>
      </c>
      <c r="J590" s="7">
        <f t="shared" si="350"/>
        <v>365.2</v>
      </c>
      <c r="K590" s="7">
        <f t="shared" si="350"/>
        <v>422.2</v>
      </c>
      <c r="L590" s="7">
        <f t="shared" si="350"/>
        <v>365.2</v>
      </c>
      <c r="M590" s="7">
        <f t="shared" si="349"/>
        <v>86.49928943628612</v>
      </c>
    </row>
    <row r="591" spans="1:13" ht="47.25">
      <c r="A591" s="33" t="s">
        <v>324</v>
      </c>
      <c r="B591" s="42" t="s">
        <v>316</v>
      </c>
      <c r="C591" s="42" t="s">
        <v>267</v>
      </c>
      <c r="D591" s="21" t="s">
        <v>872</v>
      </c>
      <c r="E591" s="42" t="s">
        <v>325</v>
      </c>
      <c r="F591" s="7">
        <f>F592</f>
        <v>0</v>
      </c>
      <c r="G591" s="7">
        <f t="shared" si="350"/>
        <v>0</v>
      </c>
      <c r="H591" s="7">
        <f t="shared" si="350"/>
        <v>365.2</v>
      </c>
      <c r="I591" s="7">
        <f t="shared" si="350"/>
        <v>365.2</v>
      </c>
      <c r="J591" s="7">
        <f t="shared" si="350"/>
        <v>365.2</v>
      </c>
      <c r="K591" s="7">
        <f t="shared" si="350"/>
        <v>422.2</v>
      </c>
      <c r="L591" s="7">
        <f t="shared" si="350"/>
        <v>365.2</v>
      </c>
      <c r="M591" s="7">
        <f t="shared" si="349"/>
        <v>86.49928943628612</v>
      </c>
    </row>
    <row r="592" spans="1:13" ht="15.75">
      <c r="A592" s="33" t="s">
        <v>326</v>
      </c>
      <c r="B592" s="42" t="s">
        <v>316</v>
      </c>
      <c r="C592" s="42" t="s">
        <v>267</v>
      </c>
      <c r="D592" s="21" t="s">
        <v>872</v>
      </c>
      <c r="E592" s="42" t="s">
        <v>327</v>
      </c>
      <c r="F592" s="7">
        <f>'Прил.№4 ведомств.'!G801</f>
        <v>0</v>
      </c>
      <c r="G592" s="7">
        <f>'Прил.№4 ведомств.'!I801</f>
        <v>0</v>
      </c>
      <c r="H592" s="7">
        <f>'Прил.№4 ведомств.'!J801</f>
        <v>365.2</v>
      </c>
      <c r="I592" s="7">
        <f>'Прил.№4 ведомств.'!K801</f>
        <v>365.2</v>
      </c>
      <c r="J592" s="7">
        <f>'Прил.№4 ведомств.'!L801</f>
        <v>365.2</v>
      </c>
      <c r="K592" s="7">
        <f>'Прил.№4 ведомств.'!M801</f>
        <v>422.2</v>
      </c>
      <c r="L592" s="7">
        <f>'Прил.№4 ведомств.'!N801</f>
        <v>365.2</v>
      </c>
      <c r="M592" s="7">
        <f t="shared" si="349"/>
        <v>86.49928943628612</v>
      </c>
    </row>
    <row r="593" spans="1:13" ht="31.5">
      <c r="A593" s="26" t="s">
        <v>318</v>
      </c>
      <c r="B593" s="42" t="s">
        <v>316</v>
      </c>
      <c r="C593" s="42" t="s">
        <v>267</v>
      </c>
      <c r="D593" s="21" t="s">
        <v>319</v>
      </c>
      <c r="E593" s="42"/>
      <c r="F593" s="7">
        <f>F594</f>
        <v>16445.6</v>
      </c>
      <c r="G593" s="7">
        <f aca="true" t="shared" si="351" ref="G593:L593">G594</f>
        <v>11383.333333333334</v>
      </c>
      <c r="H593" s="7">
        <f t="shared" si="351"/>
        <v>21824</v>
      </c>
      <c r="I593" s="7">
        <f t="shared" si="351"/>
        <v>21497.6</v>
      </c>
      <c r="J593" s="7">
        <f t="shared" si="351"/>
        <v>21724.8</v>
      </c>
      <c r="K593" s="7">
        <f t="shared" si="351"/>
        <v>16723.8</v>
      </c>
      <c r="L593" s="7">
        <f t="shared" si="351"/>
        <v>8557.8</v>
      </c>
      <c r="M593" s="7">
        <f t="shared" si="349"/>
        <v>51.17138449395472</v>
      </c>
    </row>
    <row r="594" spans="1:13" ht="47.25">
      <c r="A594" s="26" t="s">
        <v>320</v>
      </c>
      <c r="B594" s="42" t="s">
        <v>316</v>
      </c>
      <c r="C594" s="42" t="s">
        <v>267</v>
      </c>
      <c r="D594" s="21" t="s">
        <v>321</v>
      </c>
      <c r="E594" s="42"/>
      <c r="F594" s="7">
        <f>F595+F607+F610+F613+F616</f>
        <v>16445.6</v>
      </c>
      <c r="G594" s="7">
        <f aca="true" t="shared" si="352" ref="G594:J594">G595+G607+G610+G613+G616</f>
        <v>11383.333333333334</v>
      </c>
      <c r="H594" s="7">
        <f t="shared" si="352"/>
        <v>21824</v>
      </c>
      <c r="I594" s="7">
        <f t="shared" si="352"/>
        <v>21497.6</v>
      </c>
      <c r="J594" s="7">
        <f t="shared" si="352"/>
        <v>21724.8</v>
      </c>
      <c r="K594" s="7">
        <f>K595+K607+K610+K613+K616+K601</f>
        <v>16723.8</v>
      </c>
      <c r="L594" s="7">
        <f aca="true" t="shared" si="353" ref="L594">L595+L607+L610+L613+L616+L601</f>
        <v>8557.8</v>
      </c>
      <c r="M594" s="7">
        <f t="shared" si="349"/>
        <v>51.17138449395472</v>
      </c>
    </row>
    <row r="595" spans="1:13" ht="47.25">
      <c r="A595" s="26" t="s">
        <v>322</v>
      </c>
      <c r="B595" s="42" t="s">
        <v>316</v>
      </c>
      <c r="C595" s="42" t="s">
        <v>267</v>
      </c>
      <c r="D595" s="21" t="s">
        <v>323</v>
      </c>
      <c r="E595" s="42"/>
      <c r="F595" s="7">
        <f>F596</f>
        <v>16395.6</v>
      </c>
      <c r="G595" s="7">
        <f aca="true" t="shared" si="354" ref="G595:L596">G596</f>
        <v>11333.333333333334</v>
      </c>
      <c r="H595" s="7">
        <f t="shared" si="354"/>
        <v>20227.2</v>
      </c>
      <c r="I595" s="7">
        <f t="shared" si="354"/>
        <v>20500.8</v>
      </c>
      <c r="J595" s="7">
        <f t="shared" si="354"/>
        <v>20728</v>
      </c>
      <c r="K595" s="7">
        <f t="shared" si="354"/>
        <v>15893.46</v>
      </c>
      <c r="L595" s="7">
        <f t="shared" si="354"/>
        <v>7846</v>
      </c>
      <c r="M595" s="7">
        <f t="shared" si="349"/>
        <v>49.36621729944267</v>
      </c>
    </row>
    <row r="596" spans="1:13" ht="47.25">
      <c r="A596" s="26" t="s">
        <v>324</v>
      </c>
      <c r="B596" s="42" t="s">
        <v>316</v>
      </c>
      <c r="C596" s="42" t="s">
        <v>267</v>
      </c>
      <c r="D596" s="21" t="s">
        <v>323</v>
      </c>
      <c r="E596" s="42" t="s">
        <v>325</v>
      </c>
      <c r="F596" s="7">
        <f>F597</f>
        <v>16395.6</v>
      </c>
      <c r="G596" s="7">
        <f t="shared" si="354"/>
        <v>11333.333333333334</v>
      </c>
      <c r="H596" s="7">
        <f t="shared" si="354"/>
        <v>20227.2</v>
      </c>
      <c r="I596" s="7">
        <f t="shared" si="354"/>
        <v>20500.8</v>
      </c>
      <c r="J596" s="7">
        <f t="shared" si="354"/>
        <v>20728</v>
      </c>
      <c r="K596" s="7">
        <f t="shared" si="354"/>
        <v>15893.46</v>
      </c>
      <c r="L596" s="7">
        <f t="shared" si="354"/>
        <v>7846</v>
      </c>
      <c r="M596" s="7">
        <f t="shared" si="349"/>
        <v>49.36621729944267</v>
      </c>
    </row>
    <row r="597" spans="1:13" ht="15.75">
      <c r="A597" s="26" t="s">
        <v>326</v>
      </c>
      <c r="B597" s="42" t="s">
        <v>316</v>
      </c>
      <c r="C597" s="42" t="s">
        <v>267</v>
      </c>
      <c r="D597" s="21" t="s">
        <v>323</v>
      </c>
      <c r="E597" s="42" t="s">
        <v>327</v>
      </c>
      <c r="F597" s="7">
        <f>'Прил.№4 ведомств.'!G289</f>
        <v>16395.6</v>
      </c>
      <c r="G597" s="7">
        <f>'Прил.№4 ведомств.'!I289</f>
        <v>11333.333333333334</v>
      </c>
      <c r="H597" s="7">
        <f>'Прил.№4 ведомств.'!J289</f>
        <v>20227.2</v>
      </c>
      <c r="I597" s="7">
        <f>'Прил.№4 ведомств.'!K289</f>
        <v>20500.8</v>
      </c>
      <c r="J597" s="7">
        <f>'Прил.№4 ведомств.'!L289</f>
        <v>20728</v>
      </c>
      <c r="K597" s="7">
        <f>'Прил.№4 ведомств.'!M289</f>
        <v>15893.46</v>
      </c>
      <c r="L597" s="7">
        <f>'Прил.№4 ведомств.'!N289</f>
        <v>7846</v>
      </c>
      <c r="M597" s="7">
        <f t="shared" si="349"/>
        <v>49.36621729944267</v>
      </c>
    </row>
    <row r="598" spans="1:13" ht="47.25" customHeight="1" hidden="1">
      <c r="A598" s="26" t="s">
        <v>328</v>
      </c>
      <c r="B598" s="42" t="s">
        <v>316</v>
      </c>
      <c r="C598" s="42" t="s">
        <v>267</v>
      </c>
      <c r="D598" s="21" t="s">
        <v>329</v>
      </c>
      <c r="E598" s="42"/>
      <c r="F598" s="7"/>
      <c r="G598" s="7"/>
      <c r="H598" s="7"/>
      <c r="I598" s="7"/>
      <c r="J598" s="7"/>
      <c r="K598" s="7"/>
      <c r="L598" s="7"/>
      <c r="M598" s="7" t="e">
        <f t="shared" si="349"/>
        <v>#DIV/0!</v>
      </c>
    </row>
    <row r="599" spans="1:13" ht="47.25" customHeight="1" hidden="1">
      <c r="A599" s="26" t="s">
        <v>324</v>
      </c>
      <c r="B599" s="42" t="s">
        <v>316</v>
      </c>
      <c r="C599" s="42" t="s">
        <v>267</v>
      </c>
      <c r="D599" s="21" t="s">
        <v>329</v>
      </c>
      <c r="E599" s="42"/>
      <c r="F599" s="7"/>
      <c r="G599" s="7"/>
      <c r="H599" s="7"/>
      <c r="I599" s="7"/>
      <c r="J599" s="7"/>
      <c r="K599" s="7"/>
      <c r="L599" s="7"/>
      <c r="M599" s="7" t="e">
        <f t="shared" si="349"/>
        <v>#DIV/0!</v>
      </c>
    </row>
    <row r="600" spans="1:13" ht="15.75" customHeight="1" hidden="1">
      <c r="A600" s="26" t="s">
        <v>326</v>
      </c>
      <c r="B600" s="42" t="s">
        <v>316</v>
      </c>
      <c r="C600" s="42" t="s">
        <v>267</v>
      </c>
      <c r="D600" s="21" t="s">
        <v>329</v>
      </c>
      <c r="E600" s="42"/>
      <c r="F600" s="7"/>
      <c r="G600" s="7"/>
      <c r="H600" s="7"/>
      <c r="I600" s="7"/>
      <c r="J600" s="7"/>
      <c r="K600" s="7"/>
      <c r="L600" s="7"/>
      <c r="M600" s="7" t="e">
        <f t="shared" si="349"/>
        <v>#DIV/0!</v>
      </c>
    </row>
    <row r="601" spans="1:13" ht="31.5" customHeight="1">
      <c r="A601" s="26" t="s">
        <v>330</v>
      </c>
      <c r="B601" s="42" t="s">
        <v>316</v>
      </c>
      <c r="C601" s="42" t="s">
        <v>267</v>
      </c>
      <c r="D601" s="21" t="s">
        <v>331</v>
      </c>
      <c r="E601" s="42"/>
      <c r="F601" s="7"/>
      <c r="G601" s="7"/>
      <c r="H601" s="7"/>
      <c r="I601" s="7"/>
      <c r="J601" s="7"/>
      <c r="K601" s="7">
        <f>K602</f>
        <v>80.6</v>
      </c>
      <c r="L601" s="7">
        <f aca="true" t="shared" si="355" ref="L601:L602">L602</f>
        <v>0</v>
      </c>
      <c r="M601" s="7">
        <f t="shared" si="349"/>
        <v>0</v>
      </c>
    </row>
    <row r="602" spans="1:13" ht="47.25" customHeight="1">
      <c r="A602" s="26" t="s">
        <v>324</v>
      </c>
      <c r="B602" s="42" t="s">
        <v>316</v>
      </c>
      <c r="C602" s="42" t="s">
        <v>267</v>
      </c>
      <c r="D602" s="21" t="s">
        <v>331</v>
      </c>
      <c r="E602" s="42"/>
      <c r="F602" s="7"/>
      <c r="G602" s="7"/>
      <c r="H602" s="7"/>
      <c r="I602" s="7"/>
      <c r="J602" s="7"/>
      <c r="K602" s="7">
        <f>K603</f>
        <v>80.6</v>
      </c>
      <c r="L602" s="7">
        <f t="shared" si="355"/>
        <v>0</v>
      </c>
      <c r="M602" s="7">
        <f t="shared" si="349"/>
        <v>0</v>
      </c>
    </row>
    <row r="603" spans="1:13" ht="15.75" customHeight="1">
      <c r="A603" s="26" t="s">
        <v>326</v>
      </c>
      <c r="B603" s="42" t="s">
        <v>316</v>
      </c>
      <c r="C603" s="42" t="s">
        <v>267</v>
      </c>
      <c r="D603" s="21" t="s">
        <v>331</v>
      </c>
      <c r="E603" s="42" t="s">
        <v>327</v>
      </c>
      <c r="F603" s="7"/>
      <c r="G603" s="7"/>
      <c r="H603" s="7"/>
      <c r="I603" s="7"/>
      <c r="J603" s="7"/>
      <c r="K603" s="7">
        <f>'Прил.№4 ведомств.'!M295</f>
        <v>80.6</v>
      </c>
      <c r="L603" s="7">
        <f>'Прил.№4 ведомств.'!N295</f>
        <v>0</v>
      </c>
      <c r="M603" s="7">
        <f t="shared" si="349"/>
        <v>0</v>
      </c>
    </row>
    <row r="604" spans="1:13" ht="31.5" customHeight="1" hidden="1">
      <c r="A604" s="26" t="s">
        <v>332</v>
      </c>
      <c r="B604" s="42" t="s">
        <v>316</v>
      </c>
      <c r="C604" s="42" t="s">
        <v>267</v>
      </c>
      <c r="D604" s="21" t="s">
        <v>333</v>
      </c>
      <c r="E604" s="42"/>
      <c r="F604" s="7"/>
      <c r="G604" s="7"/>
      <c r="H604" s="7"/>
      <c r="I604" s="7"/>
      <c r="J604" s="7"/>
      <c r="K604" s="7"/>
      <c r="L604" s="7"/>
      <c r="M604" s="7" t="e">
        <f t="shared" si="349"/>
        <v>#DIV/0!</v>
      </c>
    </row>
    <row r="605" spans="1:13" ht="47.25" customHeight="1" hidden="1">
      <c r="A605" s="26" t="s">
        <v>324</v>
      </c>
      <c r="B605" s="42" t="s">
        <v>316</v>
      </c>
      <c r="C605" s="42" t="s">
        <v>267</v>
      </c>
      <c r="D605" s="21" t="s">
        <v>333</v>
      </c>
      <c r="E605" s="42"/>
      <c r="F605" s="7"/>
      <c r="G605" s="7"/>
      <c r="H605" s="7"/>
      <c r="I605" s="7"/>
      <c r="J605" s="7"/>
      <c r="K605" s="7"/>
      <c r="L605" s="7"/>
      <c r="M605" s="7" t="e">
        <f t="shared" si="349"/>
        <v>#DIV/0!</v>
      </c>
    </row>
    <row r="606" spans="1:13" ht="15.75" customHeight="1" hidden="1">
      <c r="A606" s="26" t="s">
        <v>326</v>
      </c>
      <c r="B606" s="42" t="s">
        <v>316</v>
      </c>
      <c r="C606" s="42" t="s">
        <v>267</v>
      </c>
      <c r="D606" s="21" t="s">
        <v>333</v>
      </c>
      <c r="E606" s="42"/>
      <c r="F606" s="7"/>
      <c r="G606" s="7"/>
      <c r="H606" s="7"/>
      <c r="I606" s="7"/>
      <c r="J606" s="7"/>
      <c r="K606" s="7"/>
      <c r="L606" s="7"/>
      <c r="M606" s="7" t="e">
        <f t="shared" si="349"/>
        <v>#DIV/0!</v>
      </c>
    </row>
    <row r="607" spans="1:13" ht="31.5">
      <c r="A607" s="26" t="s">
        <v>334</v>
      </c>
      <c r="B607" s="42" t="s">
        <v>316</v>
      </c>
      <c r="C607" s="42" t="s">
        <v>267</v>
      </c>
      <c r="D607" s="21" t="s">
        <v>335</v>
      </c>
      <c r="E607" s="42"/>
      <c r="F607" s="7">
        <f>F608</f>
        <v>50</v>
      </c>
      <c r="G607" s="7">
        <f aca="true" t="shared" si="356" ref="G607:L608">G608</f>
        <v>50</v>
      </c>
      <c r="H607" s="7">
        <f t="shared" si="356"/>
        <v>60</v>
      </c>
      <c r="I607" s="7">
        <f t="shared" si="356"/>
        <v>60</v>
      </c>
      <c r="J607" s="7">
        <f t="shared" si="356"/>
        <v>60</v>
      </c>
      <c r="K607" s="7">
        <f t="shared" si="356"/>
        <v>50</v>
      </c>
      <c r="L607" s="7">
        <f t="shared" si="356"/>
        <v>50</v>
      </c>
      <c r="M607" s="7">
        <f t="shared" si="349"/>
        <v>100</v>
      </c>
    </row>
    <row r="608" spans="1:13" ht="47.25">
      <c r="A608" s="26" t="s">
        <v>324</v>
      </c>
      <c r="B608" s="42" t="s">
        <v>316</v>
      </c>
      <c r="C608" s="42" t="s">
        <v>267</v>
      </c>
      <c r="D608" s="21" t="s">
        <v>335</v>
      </c>
      <c r="E608" s="42" t="s">
        <v>325</v>
      </c>
      <c r="F608" s="7">
        <f>F609</f>
        <v>50</v>
      </c>
      <c r="G608" s="7">
        <f t="shared" si="356"/>
        <v>50</v>
      </c>
      <c r="H608" s="7">
        <f t="shared" si="356"/>
        <v>60</v>
      </c>
      <c r="I608" s="7">
        <f t="shared" si="356"/>
        <v>60</v>
      </c>
      <c r="J608" s="7">
        <f t="shared" si="356"/>
        <v>60</v>
      </c>
      <c r="K608" s="7">
        <f t="shared" si="356"/>
        <v>50</v>
      </c>
      <c r="L608" s="7">
        <f t="shared" si="356"/>
        <v>50</v>
      </c>
      <c r="M608" s="7">
        <f t="shared" si="349"/>
        <v>100</v>
      </c>
    </row>
    <row r="609" spans="1:13" ht="15.75">
      <c r="A609" s="26" t="s">
        <v>326</v>
      </c>
      <c r="B609" s="42" t="s">
        <v>316</v>
      </c>
      <c r="C609" s="42" t="s">
        <v>267</v>
      </c>
      <c r="D609" s="21" t="s">
        <v>335</v>
      </c>
      <c r="E609" s="42" t="s">
        <v>327</v>
      </c>
      <c r="F609" s="7">
        <f>'Прил.№4 ведомств.'!G301</f>
        <v>50</v>
      </c>
      <c r="G609" s="7">
        <f>'Прил.№4 ведомств.'!I301</f>
        <v>50</v>
      </c>
      <c r="H609" s="7">
        <f>'Прил.№4 ведомств.'!J301</f>
        <v>60</v>
      </c>
      <c r="I609" s="7">
        <f>'Прил.№4 ведомств.'!K301</f>
        <v>60</v>
      </c>
      <c r="J609" s="7">
        <f>'Прил.№4 ведомств.'!L301</f>
        <v>60</v>
      </c>
      <c r="K609" s="7">
        <f>'Прил.№4 ведомств.'!M301</f>
        <v>50</v>
      </c>
      <c r="L609" s="7">
        <f>'Прил.№4 ведомств.'!N301</f>
        <v>50</v>
      </c>
      <c r="M609" s="7">
        <f t="shared" si="349"/>
        <v>100</v>
      </c>
    </row>
    <row r="610" spans="1:13" ht="31.5" customHeight="1">
      <c r="A610" s="26" t="s">
        <v>336</v>
      </c>
      <c r="B610" s="42" t="s">
        <v>316</v>
      </c>
      <c r="C610" s="42" t="s">
        <v>267</v>
      </c>
      <c r="D610" s="21" t="s">
        <v>337</v>
      </c>
      <c r="E610" s="42"/>
      <c r="F610" s="7">
        <f>F611</f>
        <v>0</v>
      </c>
      <c r="G610" s="7">
        <f aca="true" t="shared" si="357" ref="G610:L611">G611</f>
        <v>0</v>
      </c>
      <c r="H610" s="7">
        <f t="shared" si="357"/>
        <v>275</v>
      </c>
      <c r="I610" s="7">
        <f t="shared" si="357"/>
        <v>275</v>
      </c>
      <c r="J610" s="7">
        <f t="shared" si="357"/>
        <v>275</v>
      </c>
      <c r="K610" s="7">
        <f t="shared" si="357"/>
        <v>37.94</v>
      </c>
      <c r="L610" s="7">
        <f t="shared" si="357"/>
        <v>0</v>
      </c>
      <c r="M610" s="7">
        <f t="shared" si="349"/>
        <v>0</v>
      </c>
    </row>
    <row r="611" spans="1:13" ht="47.25" customHeight="1">
      <c r="A611" s="26" t="s">
        <v>324</v>
      </c>
      <c r="B611" s="42" t="s">
        <v>316</v>
      </c>
      <c r="C611" s="42" t="s">
        <v>267</v>
      </c>
      <c r="D611" s="21" t="s">
        <v>338</v>
      </c>
      <c r="E611" s="42" t="s">
        <v>325</v>
      </c>
      <c r="F611" s="7">
        <f>F612</f>
        <v>0</v>
      </c>
      <c r="G611" s="7">
        <f t="shared" si="357"/>
        <v>0</v>
      </c>
      <c r="H611" s="7">
        <f t="shared" si="357"/>
        <v>275</v>
      </c>
      <c r="I611" s="7">
        <f t="shared" si="357"/>
        <v>275</v>
      </c>
      <c r="J611" s="7">
        <f t="shared" si="357"/>
        <v>275</v>
      </c>
      <c r="K611" s="7">
        <f t="shared" si="357"/>
        <v>37.94</v>
      </c>
      <c r="L611" s="7">
        <f t="shared" si="357"/>
        <v>0</v>
      </c>
      <c r="M611" s="7">
        <f t="shared" si="349"/>
        <v>0</v>
      </c>
    </row>
    <row r="612" spans="1:13" ht="15.75" customHeight="1">
      <c r="A612" s="26" t="s">
        <v>326</v>
      </c>
      <c r="B612" s="42" t="s">
        <v>316</v>
      </c>
      <c r="C612" s="42" t="s">
        <v>267</v>
      </c>
      <c r="D612" s="21" t="s">
        <v>338</v>
      </c>
      <c r="E612" s="42" t="s">
        <v>327</v>
      </c>
      <c r="F612" s="7">
        <f>'Прил.№4 ведомств.'!G304</f>
        <v>0</v>
      </c>
      <c r="G612" s="7">
        <f>'Прил.№4 ведомств.'!I304</f>
        <v>0</v>
      </c>
      <c r="H612" s="7">
        <f>'Прил.№4 ведомств.'!J304</f>
        <v>275</v>
      </c>
      <c r="I612" s="7">
        <f>'Прил.№4 ведомств.'!K304</f>
        <v>275</v>
      </c>
      <c r="J612" s="7">
        <f>'Прил.№4 ведомств.'!L304</f>
        <v>275</v>
      </c>
      <c r="K612" s="7">
        <f>'Прил.№4 ведомств.'!M304</f>
        <v>37.94</v>
      </c>
      <c r="L612" s="7">
        <f>'Прил.№4 ведомств.'!N304</f>
        <v>0</v>
      </c>
      <c r="M612" s="7">
        <f t="shared" si="349"/>
        <v>0</v>
      </c>
    </row>
    <row r="613" spans="1:13" ht="31.5" customHeight="1" hidden="1">
      <c r="A613" s="37" t="s">
        <v>339</v>
      </c>
      <c r="B613" s="42" t="s">
        <v>316</v>
      </c>
      <c r="C613" s="42" t="s">
        <v>267</v>
      </c>
      <c r="D613" s="21" t="s">
        <v>340</v>
      </c>
      <c r="E613" s="42"/>
      <c r="F613" s="7">
        <f>F614</f>
        <v>0</v>
      </c>
      <c r="G613" s="7">
        <f aca="true" t="shared" si="358" ref="G613:L614">G614</f>
        <v>0</v>
      </c>
      <c r="H613" s="7">
        <f t="shared" si="358"/>
        <v>600</v>
      </c>
      <c r="I613" s="7">
        <f t="shared" si="358"/>
        <v>0</v>
      </c>
      <c r="J613" s="7">
        <f t="shared" si="358"/>
        <v>0</v>
      </c>
      <c r="K613" s="7">
        <f t="shared" si="358"/>
        <v>0</v>
      </c>
      <c r="L613" s="7">
        <f t="shared" si="358"/>
        <v>0</v>
      </c>
      <c r="M613" s="7" t="e">
        <f t="shared" si="349"/>
        <v>#DIV/0!</v>
      </c>
    </row>
    <row r="614" spans="1:13" ht="47.25" customHeight="1" hidden="1">
      <c r="A614" s="26" t="s">
        <v>324</v>
      </c>
      <c r="B614" s="42" t="s">
        <v>316</v>
      </c>
      <c r="C614" s="42" t="s">
        <v>267</v>
      </c>
      <c r="D614" s="21" t="s">
        <v>340</v>
      </c>
      <c r="E614" s="42" t="s">
        <v>325</v>
      </c>
      <c r="F614" s="7">
        <f>F615</f>
        <v>0</v>
      </c>
      <c r="G614" s="7">
        <f t="shared" si="358"/>
        <v>0</v>
      </c>
      <c r="H614" s="7">
        <f t="shared" si="358"/>
        <v>600</v>
      </c>
      <c r="I614" s="7">
        <f t="shared" si="358"/>
        <v>0</v>
      </c>
      <c r="J614" s="7">
        <f t="shared" si="358"/>
        <v>0</v>
      </c>
      <c r="K614" s="7">
        <f t="shared" si="358"/>
        <v>0</v>
      </c>
      <c r="L614" s="7">
        <f t="shared" si="358"/>
        <v>0</v>
      </c>
      <c r="M614" s="7" t="e">
        <f t="shared" si="349"/>
        <v>#DIV/0!</v>
      </c>
    </row>
    <row r="615" spans="1:13" ht="15.75" customHeight="1" hidden="1">
      <c r="A615" s="26" t="s">
        <v>326</v>
      </c>
      <c r="B615" s="42" t="s">
        <v>316</v>
      </c>
      <c r="C615" s="42" t="s">
        <v>267</v>
      </c>
      <c r="D615" s="21" t="s">
        <v>340</v>
      </c>
      <c r="E615" s="42" t="s">
        <v>327</v>
      </c>
      <c r="F615" s="7">
        <f>'Прил.№4 ведомств.'!G307</f>
        <v>0</v>
      </c>
      <c r="G615" s="7">
        <f>'Прил.№4 ведомств.'!I307</f>
        <v>0</v>
      </c>
      <c r="H615" s="7">
        <f>'Прил.№4 ведомств.'!J307</f>
        <v>600</v>
      </c>
      <c r="I615" s="7">
        <f>'Прил.№4 ведомств.'!K307</f>
        <v>0</v>
      </c>
      <c r="J615" s="7">
        <f>'Прил.№4 ведомств.'!L307</f>
        <v>0</v>
      </c>
      <c r="K615" s="7">
        <f>'Прил.№4 ведомств.'!M307</f>
        <v>0</v>
      </c>
      <c r="L615" s="7">
        <f>'Прил.№4 ведомств.'!N307</f>
        <v>0</v>
      </c>
      <c r="M615" s="7" t="e">
        <f t="shared" si="349"/>
        <v>#DIV/0!</v>
      </c>
    </row>
    <row r="616" spans="1:13" ht="15.75" customHeight="1">
      <c r="A616" s="47" t="s">
        <v>865</v>
      </c>
      <c r="B616" s="42" t="s">
        <v>316</v>
      </c>
      <c r="C616" s="42" t="s">
        <v>267</v>
      </c>
      <c r="D616" s="21" t="s">
        <v>871</v>
      </c>
      <c r="E616" s="42"/>
      <c r="F616" s="7">
        <f>F617</f>
        <v>0</v>
      </c>
      <c r="G616" s="7">
        <f aca="true" t="shared" si="359" ref="G616:L617">G617</f>
        <v>0</v>
      </c>
      <c r="H616" s="7">
        <f t="shared" si="359"/>
        <v>661.8</v>
      </c>
      <c r="I616" s="7">
        <f t="shared" si="359"/>
        <v>661.8</v>
      </c>
      <c r="J616" s="7">
        <f t="shared" si="359"/>
        <v>661.8</v>
      </c>
      <c r="K616" s="7">
        <f t="shared" si="359"/>
        <v>661.8</v>
      </c>
      <c r="L616" s="7">
        <f t="shared" si="359"/>
        <v>661.8</v>
      </c>
      <c r="M616" s="7">
        <f t="shared" si="349"/>
        <v>100</v>
      </c>
    </row>
    <row r="617" spans="1:13" ht="15.75" customHeight="1">
      <c r="A617" s="33" t="s">
        <v>324</v>
      </c>
      <c r="B617" s="42" t="s">
        <v>316</v>
      </c>
      <c r="C617" s="42" t="s">
        <v>267</v>
      </c>
      <c r="D617" s="21" t="s">
        <v>871</v>
      </c>
      <c r="E617" s="42" t="s">
        <v>325</v>
      </c>
      <c r="F617" s="7">
        <f>F618</f>
        <v>0</v>
      </c>
      <c r="G617" s="7">
        <f t="shared" si="359"/>
        <v>0</v>
      </c>
      <c r="H617" s="7">
        <f t="shared" si="359"/>
        <v>661.8</v>
      </c>
      <c r="I617" s="7">
        <f t="shared" si="359"/>
        <v>661.8</v>
      </c>
      <c r="J617" s="7">
        <f t="shared" si="359"/>
        <v>661.8</v>
      </c>
      <c r="K617" s="7">
        <f t="shared" si="359"/>
        <v>661.8</v>
      </c>
      <c r="L617" s="7">
        <f t="shared" si="359"/>
        <v>661.8</v>
      </c>
      <c r="M617" s="7">
        <f t="shared" si="349"/>
        <v>100</v>
      </c>
    </row>
    <row r="618" spans="1:13" ht="15.75" customHeight="1">
      <c r="A618" s="33" t="s">
        <v>326</v>
      </c>
      <c r="B618" s="42" t="s">
        <v>316</v>
      </c>
      <c r="C618" s="42" t="s">
        <v>267</v>
      </c>
      <c r="D618" s="21" t="s">
        <v>871</v>
      </c>
      <c r="E618" s="42" t="s">
        <v>327</v>
      </c>
      <c r="F618" s="7">
        <f>'Прил.№4 ведомств.'!G310</f>
        <v>0</v>
      </c>
      <c r="G618" s="7">
        <f>'Прил.№4 ведомств.'!I310</f>
        <v>0</v>
      </c>
      <c r="H618" s="7">
        <f>'Прил.№4 ведомств.'!J310</f>
        <v>661.8</v>
      </c>
      <c r="I618" s="7">
        <f>'Прил.№4 ведомств.'!K310</f>
        <v>661.8</v>
      </c>
      <c r="J618" s="7">
        <f>'Прил.№4 ведомств.'!L310</f>
        <v>661.8</v>
      </c>
      <c r="K618" s="7">
        <f>'Прил.№4 ведомств.'!M310</f>
        <v>661.8</v>
      </c>
      <c r="L618" s="7">
        <f>'Прил.№4 ведомств.'!N310</f>
        <v>661.8</v>
      </c>
      <c r="M618" s="7">
        <f t="shared" si="349"/>
        <v>100</v>
      </c>
    </row>
    <row r="619" spans="1:13" ht="15.75">
      <c r="A619" s="26" t="s">
        <v>173</v>
      </c>
      <c r="B619" s="42" t="s">
        <v>316</v>
      </c>
      <c r="C619" s="42" t="s">
        <v>267</v>
      </c>
      <c r="D619" s="21" t="s">
        <v>174</v>
      </c>
      <c r="E619" s="42"/>
      <c r="F619" s="7">
        <f>F620</f>
        <v>3346.4</v>
      </c>
      <c r="G619" s="7">
        <f aca="true" t="shared" si="360" ref="G619:L619">G620</f>
        <v>3346.4</v>
      </c>
      <c r="H619" s="7">
        <f t="shared" si="360"/>
        <v>3346.4</v>
      </c>
      <c r="I619" s="7">
        <f t="shared" si="360"/>
        <v>3346.4</v>
      </c>
      <c r="J619" s="7">
        <f t="shared" si="360"/>
        <v>3346.4</v>
      </c>
      <c r="K619" s="7">
        <f t="shared" si="360"/>
        <v>3350.1000000000004</v>
      </c>
      <c r="L619" s="7">
        <f t="shared" si="360"/>
        <v>1344.6</v>
      </c>
      <c r="M619" s="7">
        <f t="shared" si="349"/>
        <v>40.13611533984059</v>
      </c>
    </row>
    <row r="620" spans="1:13" ht="31.5">
      <c r="A620" s="26" t="s">
        <v>237</v>
      </c>
      <c r="B620" s="42" t="s">
        <v>316</v>
      </c>
      <c r="C620" s="42" t="s">
        <v>267</v>
      </c>
      <c r="D620" s="21" t="s">
        <v>238</v>
      </c>
      <c r="E620" s="42"/>
      <c r="F620" s="7">
        <f>F621+F624+F627</f>
        <v>3346.4</v>
      </c>
      <c r="G620" s="7">
        <f aca="true" t="shared" si="361" ref="G620:K620">G621+G624+G627</f>
        <v>3346.4</v>
      </c>
      <c r="H620" s="7">
        <f t="shared" si="361"/>
        <v>3346.4</v>
      </c>
      <c r="I620" s="7">
        <f t="shared" si="361"/>
        <v>3346.4</v>
      </c>
      <c r="J620" s="7">
        <f t="shared" si="361"/>
        <v>3346.4</v>
      </c>
      <c r="K620" s="7">
        <f t="shared" si="361"/>
        <v>3350.1000000000004</v>
      </c>
      <c r="L620" s="7">
        <f aca="true" t="shared" si="362" ref="L620">L621+L624+L627</f>
        <v>1344.6</v>
      </c>
      <c r="M620" s="7">
        <f t="shared" si="349"/>
        <v>40.13611533984059</v>
      </c>
    </row>
    <row r="621" spans="1:13" ht="63">
      <c r="A621" s="33" t="s">
        <v>341</v>
      </c>
      <c r="B621" s="42" t="s">
        <v>316</v>
      </c>
      <c r="C621" s="42" t="s">
        <v>267</v>
      </c>
      <c r="D621" s="21" t="s">
        <v>342</v>
      </c>
      <c r="E621" s="42"/>
      <c r="F621" s="7">
        <f>F622</f>
        <v>286.7</v>
      </c>
      <c r="G621" s="7">
        <f aca="true" t="shared" si="363" ref="G621:L622">G622</f>
        <v>286.7</v>
      </c>
      <c r="H621" s="7">
        <f t="shared" si="363"/>
        <v>286.7</v>
      </c>
      <c r="I621" s="7">
        <f t="shared" si="363"/>
        <v>286.7</v>
      </c>
      <c r="J621" s="7">
        <f t="shared" si="363"/>
        <v>286.7</v>
      </c>
      <c r="K621" s="7">
        <f t="shared" si="363"/>
        <v>286.7</v>
      </c>
      <c r="L621" s="7">
        <f t="shared" si="363"/>
        <v>103.19999999999999</v>
      </c>
      <c r="M621" s="7">
        <f t="shared" si="349"/>
        <v>35.99581444018137</v>
      </c>
    </row>
    <row r="622" spans="1:13" ht="47.25">
      <c r="A622" s="26" t="s">
        <v>324</v>
      </c>
      <c r="B622" s="42" t="s">
        <v>316</v>
      </c>
      <c r="C622" s="42" t="s">
        <v>267</v>
      </c>
      <c r="D622" s="21" t="s">
        <v>342</v>
      </c>
      <c r="E622" s="42" t="s">
        <v>325</v>
      </c>
      <c r="F622" s="7">
        <f>F623</f>
        <v>286.7</v>
      </c>
      <c r="G622" s="7">
        <f t="shared" si="363"/>
        <v>286.7</v>
      </c>
      <c r="H622" s="7">
        <f t="shared" si="363"/>
        <v>286.7</v>
      </c>
      <c r="I622" s="7">
        <f t="shared" si="363"/>
        <v>286.7</v>
      </c>
      <c r="J622" s="7">
        <f t="shared" si="363"/>
        <v>286.7</v>
      </c>
      <c r="K622" s="7">
        <f t="shared" si="363"/>
        <v>286.7</v>
      </c>
      <c r="L622" s="7">
        <f t="shared" si="363"/>
        <v>103.19999999999999</v>
      </c>
      <c r="M622" s="7">
        <f t="shared" si="349"/>
        <v>35.99581444018137</v>
      </c>
    </row>
    <row r="623" spans="1:13" ht="15.75">
      <c r="A623" s="26" t="s">
        <v>326</v>
      </c>
      <c r="B623" s="42" t="s">
        <v>316</v>
      </c>
      <c r="C623" s="42" t="s">
        <v>267</v>
      </c>
      <c r="D623" s="21" t="s">
        <v>342</v>
      </c>
      <c r="E623" s="42" t="s">
        <v>327</v>
      </c>
      <c r="F623" s="7">
        <f>'Прил.№4 ведомств.'!G315+'Прил.№4 ведомств.'!G726+'Прил.№4 ведомств.'!G806</f>
        <v>286.7</v>
      </c>
      <c r="G623" s="7">
        <f>'Прил.№4 ведомств.'!I315+'Прил.№4 ведомств.'!I726+'Прил.№4 ведомств.'!I806</f>
        <v>286.7</v>
      </c>
      <c r="H623" s="7">
        <f>'Прил.№4 ведомств.'!J315+'Прил.№4 ведомств.'!J726+'Прил.№4 ведомств.'!J806</f>
        <v>286.7</v>
      </c>
      <c r="I623" s="7">
        <f>'Прил.№4 ведомств.'!K315+'Прил.№4 ведомств.'!K726+'Прил.№4 ведомств.'!K806</f>
        <v>286.7</v>
      </c>
      <c r="J623" s="7">
        <f>'Прил.№4 ведомств.'!L315+'Прил.№4 ведомств.'!L726+'Прил.№4 ведомств.'!L806</f>
        <v>286.7</v>
      </c>
      <c r="K623" s="7">
        <f>'Прил.№4 ведомств.'!M315+'Прил.№4 ведомств.'!M726+'Прил.№4 ведомств.'!M806</f>
        <v>286.7</v>
      </c>
      <c r="L623" s="7">
        <f>'Прил.№4 ведомств.'!N315+'Прил.№4 ведомств.'!N726+'Прил.№4 ведомств.'!N806</f>
        <v>103.19999999999999</v>
      </c>
      <c r="M623" s="7">
        <f t="shared" si="349"/>
        <v>35.99581444018137</v>
      </c>
    </row>
    <row r="624" spans="1:13" ht="63">
      <c r="A624" s="33" t="s">
        <v>343</v>
      </c>
      <c r="B624" s="42" t="s">
        <v>316</v>
      </c>
      <c r="C624" s="42" t="s">
        <v>267</v>
      </c>
      <c r="D624" s="21" t="s">
        <v>344</v>
      </c>
      <c r="E624" s="42"/>
      <c r="F624" s="7">
        <f>F625</f>
        <v>1080.2</v>
      </c>
      <c r="G624" s="7">
        <f aca="true" t="shared" si="364" ref="G624:L625">G625</f>
        <v>1080.2</v>
      </c>
      <c r="H624" s="7">
        <f t="shared" si="364"/>
        <v>1080.2</v>
      </c>
      <c r="I624" s="7">
        <f t="shared" si="364"/>
        <v>1080.2</v>
      </c>
      <c r="J624" s="7">
        <f t="shared" si="364"/>
        <v>1080.2</v>
      </c>
      <c r="K624" s="7">
        <f t="shared" si="364"/>
        <v>1117.8000000000002</v>
      </c>
      <c r="L624" s="7">
        <f t="shared" si="364"/>
        <v>495.4</v>
      </c>
      <c r="M624" s="7">
        <f t="shared" si="349"/>
        <v>44.31919842547861</v>
      </c>
    </row>
    <row r="625" spans="1:13" ht="47.25">
      <c r="A625" s="26" t="s">
        <v>324</v>
      </c>
      <c r="B625" s="42" t="s">
        <v>316</v>
      </c>
      <c r="C625" s="42" t="s">
        <v>267</v>
      </c>
      <c r="D625" s="21" t="s">
        <v>344</v>
      </c>
      <c r="E625" s="42" t="s">
        <v>325</v>
      </c>
      <c r="F625" s="7">
        <f>F626</f>
        <v>1080.2</v>
      </c>
      <c r="G625" s="7">
        <f t="shared" si="364"/>
        <v>1080.2</v>
      </c>
      <c r="H625" s="7">
        <f t="shared" si="364"/>
        <v>1080.2</v>
      </c>
      <c r="I625" s="7">
        <f t="shared" si="364"/>
        <v>1080.2</v>
      </c>
      <c r="J625" s="7">
        <f t="shared" si="364"/>
        <v>1080.2</v>
      </c>
      <c r="K625" s="7">
        <f t="shared" si="364"/>
        <v>1117.8000000000002</v>
      </c>
      <c r="L625" s="7">
        <f t="shared" si="364"/>
        <v>495.4</v>
      </c>
      <c r="M625" s="7">
        <f t="shared" si="349"/>
        <v>44.31919842547861</v>
      </c>
    </row>
    <row r="626" spans="1:13" ht="15.75">
      <c r="A626" s="26" t="s">
        <v>326</v>
      </c>
      <c r="B626" s="42" t="s">
        <v>316</v>
      </c>
      <c r="C626" s="42" t="s">
        <v>267</v>
      </c>
      <c r="D626" s="21" t="s">
        <v>344</v>
      </c>
      <c r="E626" s="42" t="s">
        <v>327</v>
      </c>
      <c r="F626" s="7">
        <f>'Прил.№4 ведомств.'!G809+'Прил.№4 ведомств.'!G729+'Прил.№4 ведомств.'!G318</f>
        <v>1080.2</v>
      </c>
      <c r="G626" s="7">
        <f>'Прил.№4 ведомств.'!I809+'Прил.№4 ведомств.'!I729+'Прил.№4 ведомств.'!I318</f>
        <v>1080.2</v>
      </c>
      <c r="H626" s="7">
        <f>'Прил.№4 ведомств.'!J809+'Прил.№4 ведомств.'!J729+'Прил.№4 ведомств.'!J318</f>
        <v>1080.2</v>
      </c>
      <c r="I626" s="7">
        <f>'Прил.№4 ведомств.'!K809+'Прил.№4 ведомств.'!K729+'Прил.№4 ведомств.'!K318</f>
        <v>1080.2</v>
      </c>
      <c r="J626" s="7">
        <f>'Прил.№4 ведомств.'!L809+'Прил.№4 ведомств.'!L729+'Прил.№4 ведомств.'!L318</f>
        <v>1080.2</v>
      </c>
      <c r="K626" s="7">
        <f>'Прил.№4 ведомств.'!M809+'Прил.№4 ведомств.'!M729+'Прил.№4 ведомств.'!M318</f>
        <v>1117.8000000000002</v>
      </c>
      <c r="L626" s="7">
        <f>'Прил.№4 ведомств.'!N809+'Прил.№4 ведомств.'!N729+'Прил.№4 ведомств.'!N318</f>
        <v>495.4</v>
      </c>
      <c r="M626" s="7">
        <f t="shared" si="349"/>
        <v>44.31919842547861</v>
      </c>
    </row>
    <row r="627" spans="1:13" ht="94.5">
      <c r="A627" s="33" t="s">
        <v>345</v>
      </c>
      <c r="B627" s="42" t="s">
        <v>316</v>
      </c>
      <c r="C627" s="42" t="s">
        <v>267</v>
      </c>
      <c r="D627" s="21" t="s">
        <v>346</v>
      </c>
      <c r="E627" s="42"/>
      <c r="F627" s="7">
        <f>F628</f>
        <v>1979.5</v>
      </c>
      <c r="G627" s="7">
        <f aca="true" t="shared" si="365" ref="G627:L628">G628</f>
        <v>1979.5</v>
      </c>
      <c r="H627" s="7">
        <f t="shared" si="365"/>
        <v>1979.5</v>
      </c>
      <c r="I627" s="7">
        <f t="shared" si="365"/>
        <v>1979.5</v>
      </c>
      <c r="J627" s="7">
        <f t="shared" si="365"/>
        <v>1979.5</v>
      </c>
      <c r="K627" s="7">
        <f t="shared" si="365"/>
        <v>1945.6</v>
      </c>
      <c r="L627" s="7">
        <f t="shared" si="365"/>
        <v>746</v>
      </c>
      <c r="M627" s="7">
        <f t="shared" si="349"/>
        <v>38.34292763157895</v>
      </c>
    </row>
    <row r="628" spans="1:13" ht="47.25">
      <c r="A628" s="26" t="s">
        <v>324</v>
      </c>
      <c r="B628" s="42" t="s">
        <v>316</v>
      </c>
      <c r="C628" s="42" t="s">
        <v>267</v>
      </c>
      <c r="D628" s="21" t="s">
        <v>346</v>
      </c>
      <c r="E628" s="42" t="s">
        <v>325</v>
      </c>
      <c r="F628" s="7">
        <f>F629</f>
        <v>1979.5</v>
      </c>
      <c r="G628" s="7">
        <f t="shared" si="365"/>
        <v>1979.5</v>
      </c>
      <c r="H628" s="7">
        <f t="shared" si="365"/>
        <v>1979.5</v>
      </c>
      <c r="I628" s="7">
        <f t="shared" si="365"/>
        <v>1979.5</v>
      </c>
      <c r="J628" s="7">
        <f t="shared" si="365"/>
        <v>1979.5</v>
      </c>
      <c r="K628" s="7">
        <f t="shared" si="365"/>
        <v>1945.6</v>
      </c>
      <c r="L628" s="7">
        <f t="shared" si="365"/>
        <v>746</v>
      </c>
      <c r="M628" s="7">
        <f t="shared" si="349"/>
        <v>38.34292763157895</v>
      </c>
    </row>
    <row r="629" spans="1:13" ht="15.75">
      <c r="A629" s="26" t="s">
        <v>326</v>
      </c>
      <c r="B629" s="42" t="s">
        <v>316</v>
      </c>
      <c r="C629" s="42" t="s">
        <v>267</v>
      </c>
      <c r="D629" s="21" t="s">
        <v>346</v>
      </c>
      <c r="E629" s="42" t="s">
        <v>327</v>
      </c>
      <c r="F629" s="7">
        <f>'Прил.№4 ведомств.'!G321+'Прил.№4 ведомств.'!G732+'Прил.№4 ведомств.'!G812</f>
        <v>1979.5</v>
      </c>
      <c r="G629" s="7">
        <f>'Прил.№4 ведомств.'!I321+'Прил.№4 ведомств.'!I732+'Прил.№4 ведомств.'!I812</f>
        <v>1979.5</v>
      </c>
      <c r="H629" s="7">
        <f>'Прил.№4 ведомств.'!J321+'Прил.№4 ведомств.'!J732+'Прил.№4 ведомств.'!J812</f>
        <v>1979.5</v>
      </c>
      <c r="I629" s="7">
        <f>'Прил.№4 ведомств.'!K321+'Прил.№4 ведомств.'!K732+'Прил.№4 ведомств.'!K812</f>
        <v>1979.5</v>
      </c>
      <c r="J629" s="7">
        <f>'Прил.№4 ведомств.'!L321+'Прил.№4 ведомств.'!L732+'Прил.№4 ведомств.'!L812</f>
        <v>1979.5</v>
      </c>
      <c r="K629" s="7">
        <f>'Прил.№4 ведомств.'!M321+'Прил.№4 ведомств.'!M732+'Прил.№4 ведомств.'!M812</f>
        <v>1945.6</v>
      </c>
      <c r="L629" s="7">
        <f>'Прил.№4 ведомств.'!N321+'Прил.№4 ведомств.'!N732+'Прил.№4 ведомств.'!N812</f>
        <v>746</v>
      </c>
      <c r="M629" s="7">
        <f t="shared" si="349"/>
        <v>38.34292763157895</v>
      </c>
    </row>
    <row r="630" spans="1:13" ht="15.75">
      <c r="A630" s="43" t="s">
        <v>519</v>
      </c>
      <c r="B630" s="8" t="s">
        <v>316</v>
      </c>
      <c r="C630" s="8" t="s">
        <v>316</v>
      </c>
      <c r="D630" s="8"/>
      <c r="E630" s="8"/>
      <c r="F630" s="4">
        <f>F631+F636</f>
        <v>4788.6</v>
      </c>
      <c r="G630" s="4">
        <f aca="true" t="shared" si="366" ref="G630:K630">G631+G636</f>
        <v>4788.6</v>
      </c>
      <c r="H630" s="4">
        <f t="shared" si="366"/>
        <v>5474.8</v>
      </c>
      <c r="I630" s="4">
        <f t="shared" si="366"/>
        <v>5474.8</v>
      </c>
      <c r="J630" s="4">
        <f t="shared" si="366"/>
        <v>5474.8</v>
      </c>
      <c r="K630" s="4">
        <f t="shared" si="366"/>
        <v>4887.8</v>
      </c>
      <c r="L630" s="4">
        <f aca="true" t="shared" si="367" ref="L630">L631+L636</f>
        <v>4026</v>
      </c>
      <c r="M630" s="4">
        <f t="shared" si="349"/>
        <v>82.3683456769917</v>
      </c>
    </row>
    <row r="631" spans="1:13" ht="47.25">
      <c r="A631" s="31" t="s">
        <v>479</v>
      </c>
      <c r="B631" s="42" t="s">
        <v>316</v>
      </c>
      <c r="C631" s="42" t="s">
        <v>316</v>
      </c>
      <c r="D631" s="42" t="s">
        <v>459</v>
      </c>
      <c r="E631" s="42"/>
      <c r="F631" s="7">
        <f>F632</f>
        <v>3484.8</v>
      </c>
      <c r="G631" s="7">
        <f aca="true" t="shared" si="368" ref="G631:L631">G632</f>
        <v>3484.8</v>
      </c>
      <c r="H631" s="7">
        <f t="shared" si="368"/>
        <v>4171</v>
      </c>
      <c r="I631" s="7">
        <f t="shared" si="368"/>
        <v>4171</v>
      </c>
      <c r="J631" s="7">
        <f t="shared" si="368"/>
        <v>4171</v>
      </c>
      <c r="K631" s="7">
        <f t="shared" si="368"/>
        <v>3584</v>
      </c>
      <c r="L631" s="7">
        <f t="shared" si="368"/>
        <v>3278</v>
      </c>
      <c r="M631" s="7">
        <f t="shared" si="349"/>
        <v>91.46205357142857</v>
      </c>
    </row>
    <row r="632" spans="1:13" ht="31.5">
      <c r="A632" s="31" t="s">
        <v>520</v>
      </c>
      <c r="B632" s="42" t="s">
        <v>316</v>
      </c>
      <c r="C632" s="42" t="s">
        <v>521</v>
      </c>
      <c r="D632" s="42" t="s">
        <v>522</v>
      </c>
      <c r="E632" s="42"/>
      <c r="F632" s="7">
        <f>F634</f>
        <v>3484.8</v>
      </c>
      <c r="G632" s="7">
        <f aca="true" t="shared" si="369" ref="G632:K632">G634</f>
        <v>3484.8</v>
      </c>
      <c r="H632" s="7">
        <f t="shared" si="369"/>
        <v>4171</v>
      </c>
      <c r="I632" s="7">
        <f t="shared" si="369"/>
        <v>4171</v>
      </c>
      <c r="J632" s="7">
        <f t="shared" si="369"/>
        <v>4171</v>
      </c>
      <c r="K632" s="7">
        <f t="shared" si="369"/>
        <v>3584</v>
      </c>
      <c r="L632" s="7">
        <f aca="true" t="shared" si="370" ref="L632">L634</f>
        <v>3278</v>
      </c>
      <c r="M632" s="7">
        <f t="shared" si="349"/>
        <v>91.46205357142857</v>
      </c>
    </row>
    <row r="633" spans="1:13" ht="31.5">
      <c r="A633" s="26" t="s">
        <v>674</v>
      </c>
      <c r="B633" s="42" t="s">
        <v>316</v>
      </c>
      <c r="C633" s="42" t="s">
        <v>316</v>
      </c>
      <c r="D633" s="42" t="s">
        <v>524</v>
      </c>
      <c r="E633" s="42"/>
      <c r="F633" s="7">
        <f>F634</f>
        <v>3484.8</v>
      </c>
      <c r="G633" s="7">
        <f aca="true" t="shared" si="371" ref="G633:L634">G634</f>
        <v>3484.8</v>
      </c>
      <c r="H633" s="7">
        <f t="shared" si="371"/>
        <v>4171</v>
      </c>
      <c r="I633" s="7">
        <f t="shared" si="371"/>
        <v>4171</v>
      </c>
      <c r="J633" s="7">
        <f t="shared" si="371"/>
        <v>4171</v>
      </c>
      <c r="K633" s="7">
        <f t="shared" si="371"/>
        <v>3584</v>
      </c>
      <c r="L633" s="7">
        <f t="shared" si="371"/>
        <v>3278</v>
      </c>
      <c r="M633" s="7">
        <f t="shared" si="349"/>
        <v>91.46205357142857</v>
      </c>
    </row>
    <row r="634" spans="1:13" ht="47.25">
      <c r="A634" s="31" t="s">
        <v>324</v>
      </c>
      <c r="B634" s="42" t="s">
        <v>316</v>
      </c>
      <c r="C634" s="42" t="s">
        <v>316</v>
      </c>
      <c r="D634" s="42" t="s">
        <v>524</v>
      </c>
      <c r="E634" s="42" t="s">
        <v>325</v>
      </c>
      <c r="F634" s="63">
        <f>F635</f>
        <v>3484.8</v>
      </c>
      <c r="G634" s="63">
        <f t="shared" si="371"/>
        <v>3484.8</v>
      </c>
      <c r="H634" s="63">
        <f t="shared" si="371"/>
        <v>4171</v>
      </c>
      <c r="I634" s="63">
        <f t="shared" si="371"/>
        <v>4171</v>
      </c>
      <c r="J634" s="63">
        <f t="shared" si="371"/>
        <v>4171</v>
      </c>
      <c r="K634" s="63">
        <f t="shared" si="371"/>
        <v>3584</v>
      </c>
      <c r="L634" s="63">
        <f t="shared" si="371"/>
        <v>3278</v>
      </c>
      <c r="M634" s="7">
        <f t="shared" si="349"/>
        <v>91.46205357142857</v>
      </c>
    </row>
    <row r="635" spans="1:13" ht="15.75">
      <c r="A635" s="31" t="s">
        <v>326</v>
      </c>
      <c r="B635" s="42" t="s">
        <v>316</v>
      </c>
      <c r="C635" s="42" t="s">
        <v>316</v>
      </c>
      <c r="D635" s="42" t="s">
        <v>524</v>
      </c>
      <c r="E635" s="42" t="s">
        <v>327</v>
      </c>
      <c r="F635" s="63">
        <f>'Прил.№4 ведомств.'!G738</f>
        <v>3484.8</v>
      </c>
      <c r="G635" s="63">
        <f>'Прил.№4 ведомств.'!I738</f>
        <v>3484.8</v>
      </c>
      <c r="H635" s="63">
        <f>'Прил.№4 ведомств.'!J738</f>
        <v>4171</v>
      </c>
      <c r="I635" s="63">
        <f>'Прил.№4 ведомств.'!K738</f>
        <v>4171</v>
      </c>
      <c r="J635" s="63">
        <f>'Прил.№4 ведомств.'!L738</f>
        <v>4171</v>
      </c>
      <c r="K635" s="63">
        <f>'Прил.№4 ведомств.'!M738</f>
        <v>3584</v>
      </c>
      <c r="L635" s="63">
        <f>'Прил.№4 ведомств.'!N738</f>
        <v>3278</v>
      </c>
      <c r="M635" s="7">
        <f t="shared" si="349"/>
        <v>91.46205357142857</v>
      </c>
    </row>
    <row r="636" spans="1:13" ht="15.75">
      <c r="A636" s="31" t="s">
        <v>173</v>
      </c>
      <c r="B636" s="42" t="s">
        <v>316</v>
      </c>
      <c r="C636" s="42" t="s">
        <v>316</v>
      </c>
      <c r="D636" s="42" t="s">
        <v>174</v>
      </c>
      <c r="E636" s="42"/>
      <c r="F636" s="7">
        <f>F637</f>
        <v>1303.8000000000002</v>
      </c>
      <c r="G636" s="7">
        <f aca="true" t="shared" si="372" ref="G636:L639">G637</f>
        <v>1303.8000000000002</v>
      </c>
      <c r="H636" s="7">
        <f t="shared" si="372"/>
        <v>1303.8000000000002</v>
      </c>
      <c r="I636" s="7">
        <f t="shared" si="372"/>
        <v>1303.8000000000002</v>
      </c>
      <c r="J636" s="7">
        <f t="shared" si="372"/>
        <v>1303.8000000000002</v>
      </c>
      <c r="K636" s="7">
        <f t="shared" si="372"/>
        <v>1303.8</v>
      </c>
      <c r="L636" s="7">
        <f t="shared" si="372"/>
        <v>748</v>
      </c>
      <c r="M636" s="7">
        <f t="shared" si="349"/>
        <v>57.37076238686916</v>
      </c>
    </row>
    <row r="637" spans="1:13" ht="31.5">
      <c r="A637" s="31" t="s">
        <v>237</v>
      </c>
      <c r="B637" s="42" t="s">
        <v>316</v>
      </c>
      <c r="C637" s="42" t="s">
        <v>316</v>
      </c>
      <c r="D637" s="42" t="s">
        <v>238</v>
      </c>
      <c r="E637" s="42"/>
      <c r="F637" s="7">
        <f>F638</f>
        <v>1303.8000000000002</v>
      </c>
      <c r="G637" s="7">
        <f t="shared" si="372"/>
        <v>1303.8000000000002</v>
      </c>
      <c r="H637" s="7">
        <f t="shared" si="372"/>
        <v>1303.8000000000002</v>
      </c>
      <c r="I637" s="7">
        <f t="shared" si="372"/>
        <v>1303.8000000000002</v>
      </c>
      <c r="J637" s="7">
        <f t="shared" si="372"/>
        <v>1303.8000000000002</v>
      </c>
      <c r="K637" s="7">
        <f t="shared" si="372"/>
        <v>1303.8</v>
      </c>
      <c r="L637" s="7">
        <f t="shared" si="372"/>
        <v>748</v>
      </c>
      <c r="M637" s="7">
        <f t="shared" si="349"/>
        <v>57.37076238686916</v>
      </c>
    </row>
    <row r="638" spans="1:13" ht="31.5">
      <c r="A638" s="47" t="s">
        <v>527</v>
      </c>
      <c r="B638" s="42" t="s">
        <v>316</v>
      </c>
      <c r="C638" s="42" t="s">
        <v>316</v>
      </c>
      <c r="D638" s="42" t="s">
        <v>528</v>
      </c>
      <c r="E638" s="42"/>
      <c r="F638" s="7">
        <f>F639</f>
        <v>1303.8000000000002</v>
      </c>
      <c r="G638" s="7">
        <f t="shared" si="372"/>
        <v>1303.8000000000002</v>
      </c>
      <c r="H638" s="7">
        <f t="shared" si="372"/>
        <v>1303.8000000000002</v>
      </c>
      <c r="I638" s="7">
        <f t="shared" si="372"/>
        <v>1303.8000000000002</v>
      </c>
      <c r="J638" s="7">
        <f t="shared" si="372"/>
        <v>1303.8000000000002</v>
      </c>
      <c r="K638" s="7">
        <f t="shared" si="372"/>
        <v>1303.8</v>
      </c>
      <c r="L638" s="7">
        <f t="shared" si="372"/>
        <v>748</v>
      </c>
      <c r="M638" s="7">
        <f t="shared" si="349"/>
        <v>57.37076238686916</v>
      </c>
    </row>
    <row r="639" spans="1:13" ht="47.25">
      <c r="A639" s="31" t="s">
        <v>324</v>
      </c>
      <c r="B639" s="42" t="s">
        <v>316</v>
      </c>
      <c r="C639" s="42" t="s">
        <v>316</v>
      </c>
      <c r="D639" s="42" t="s">
        <v>528</v>
      </c>
      <c r="E639" s="42" t="s">
        <v>325</v>
      </c>
      <c r="F639" s="7">
        <f>F640</f>
        <v>1303.8000000000002</v>
      </c>
      <c r="G639" s="7">
        <f t="shared" si="372"/>
        <v>1303.8000000000002</v>
      </c>
      <c r="H639" s="7">
        <f t="shared" si="372"/>
        <v>1303.8000000000002</v>
      </c>
      <c r="I639" s="7">
        <f t="shared" si="372"/>
        <v>1303.8000000000002</v>
      </c>
      <c r="J639" s="7">
        <f t="shared" si="372"/>
        <v>1303.8000000000002</v>
      </c>
      <c r="K639" s="7">
        <f t="shared" si="372"/>
        <v>1303.8</v>
      </c>
      <c r="L639" s="7">
        <f t="shared" si="372"/>
        <v>748</v>
      </c>
      <c r="M639" s="7">
        <f t="shared" si="349"/>
        <v>57.37076238686916</v>
      </c>
    </row>
    <row r="640" spans="1:13" ht="15.75">
      <c r="A640" s="31" t="s">
        <v>326</v>
      </c>
      <c r="B640" s="42" t="s">
        <v>316</v>
      </c>
      <c r="C640" s="42" t="s">
        <v>316</v>
      </c>
      <c r="D640" s="42" t="s">
        <v>528</v>
      </c>
      <c r="E640" s="42" t="s">
        <v>327</v>
      </c>
      <c r="F640" s="7">
        <f>'Прил.№4 ведомств.'!G744</f>
        <v>1303.8000000000002</v>
      </c>
      <c r="G640" s="7">
        <f>'Прил.№4 ведомств.'!I744</f>
        <v>1303.8000000000002</v>
      </c>
      <c r="H640" s="7">
        <f>'Прил.№4 ведомств.'!J744</f>
        <v>1303.8000000000002</v>
      </c>
      <c r="I640" s="7">
        <f>'Прил.№4 ведомств.'!K744</f>
        <v>1303.8000000000002</v>
      </c>
      <c r="J640" s="7">
        <f>'Прил.№4 ведомств.'!L744</f>
        <v>1303.8000000000002</v>
      </c>
      <c r="K640" s="7">
        <f>'Прил.№4 ведомств.'!M744</f>
        <v>1303.8</v>
      </c>
      <c r="L640" s="7">
        <f>'Прил.№4 ведомств.'!N744</f>
        <v>748</v>
      </c>
      <c r="M640" s="7">
        <f t="shared" si="349"/>
        <v>57.37076238686916</v>
      </c>
    </row>
    <row r="641" spans="1:13" ht="15.75">
      <c r="A641" s="43" t="s">
        <v>347</v>
      </c>
      <c r="B641" s="8" t="s">
        <v>316</v>
      </c>
      <c r="C641" s="8" t="s">
        <v>271</v>
      </c>
      <c r="D641" s="8"/>
      <c r="E641" s="8"/>
      <c r="F641" s="4">
        <f>F651+F642</f>
        <v>18322.300000000003</v>
      </c>
      <c r="G641" s="4">
        <f aca="true" t="shared" si="373" ref="G641:K641">G651+G642</f>
        <v>18662.7</v>
      </c>
      <c r="H641" s="4">
        <f t="shared" si="373"/>
        <v>19851.600000000002</v>
      </c>
      <c r="I641" s="4">
        <f t="shared" si="373"/>
        <v>19974.9</v>
      </c>
      <c r="J641" s="4">
        <f t="shared" si="373"/>
        <v>20099.5</v>
      </c>
      <c r="K641" s="4">
        <f t="shared" si="373"/>
        <v>18675.5</v>
      </c>
      <c r="L641" s="4">
        <f aca="true" t="shared" si="374" ref="L641">L651+L642</f>
        <v>9994.9</v>
      </c>
      <c r="M641" s="4">
        <f t="shared" si="349"/>
        <v>53.51878129099622</v>
      </c>
    </row>
    <row r="642" spans="1:13" ht="47.25" hidden="1">
      <c r="A642" s="26" t="s">
        <v>386</v>
      </c>
      <c r="B642" s="42" t="s">
        <v>316</v>
      </c>
      <c r="C642" s="42" t="s">
        <v>271</v>
      </c>
      <c r="D642" s="21" t="s">
        <v>387</v>
      </c>
      <c r="E642" s="8"/>
      <c r="F642" s="7">
        <f>F643+F646</f>
        <v>20</v>
      </c>
      <c r="G642" s="7">
        <f aca="true" t="shared" si="375" ref="G642:K642">G643+G646</f>
        <v>20</v>
      </c>
      <c r="H642" s="7">
        <f t="shared" si="375"/>
        <v>0</v>
      </c>
      <c r="I642" s="7">
        <f t="shared" si="375"/>
        <v>0</v>
      </c>
      <c r="J642" s="7">
        <f t="shared" si="375"/>
        <v>0</v>
      </c>
      <c r="K642" s="7">
        <f t="shared" si="375"/>
        <v>0</v>
      </c>
      <c r="L642" s="7">
        <f aca="true" t="shared" si="376" ref="L642">L643+L646</f>
        <v>0</v>
      </c>
      <c r="M642" s="4" t="e">
        <f t="shared" si="349"/>
        <v>#DIV/0!</v>
      </c>
    </row>
    <row r="643" spans="1:13" ht="31.5" hidden="1">
      <c r="A643" s="26" t="s">
        <v>388</v>
      </c>
      <c r="B643" s="42" t="s">
        <v>316</v>
      </c>
      <c r="C643" s="42" t="s">
        <v>271</v>
      </c>
      <c r="D643" s="21" t="s">
        <v>389</v>
      </c>
      <c r="E643" s="8"/>
      <c r="F643" s="7">
        <f>F644</f>
        <v>0</v>
      </c>
      <c r="G643" s="7">
        <f aca="true" t="shared" si="377" ref="G643:L644">G644</f>
        <v>0</v>
      </c>
      <c r="H643" s="7">
        <f t="shared" si="377"/>
        <v>0</v>
      </c>
      <c r="I643" s="7">
        <f t="shared" si="377"/>
        <v>0</v>
      </c>
      <c r="J643" s="7">
        <f t="shared" si="377"/>
        <v>0</v>
      </c>
      <c r="K643" s="7">
        <f t="shared" si="377"/>
        <v>0</v>
      </c>
      <c r="L643" s="7">
        <f t="shared" si="377"/>
        <v>0</v>
      </c>
      <c r="M643" s="4" t="e">
        <f t="shared" si="349"/>
        <v>#DIV/0!</v>
      </c>
    </row>
    <row r="644" spans="1:13" ht="31.5" hidden="1">
      <c r="A644" s="26" t="s">
        <v>183</v>
      </c>
      <c r="B644" s="42" t="s">
        <v>316</v>
      </c>
      <c r="C644" s="42" t="s">
        <v>271</v>
      </c>
      <c r="D644" s="21" t="s">
        <v>389</v>
      </c>
      <c r="E644" s="42" t="s">
        <v>184</v>
      </c>
      <c r="F644" s="7">
        <f>F645</f>
        <v>0</v>
      </c>
      <c r="G644" s="7">
        <f t="shared" si="377"/>
        <v>0</v>
      </c>
      <c r="H644" s="7">
        <f t="shared" si="377"/>
        <v>0</v>
      </c>
      <c r="I644" s="7">
        <f t="shared" si="377"/>
        <v>0</v>
      </c>
      <c r="J644" s="7">
        <f t="shared" si="377"/>
        <v>0</v>
      </c>
      <c r="K644" s="7">
        <f t="shared" si="377"/>
        <v>0</v>
      </c>
      <c r="L644" s="7">
        <f t="shared" si="377"/>
        <v>0</v>
      </c>
      <c r="M644" s="4" t="e">
        <f t="shared" si="349"/>
        <v>#DIV/0!</v>
      </c>
    </row>
    <row r="645" spans="1:13" ht="47.25" hidden="1">
      <c r="A645" s="26" t="s">
        <v>185</v>
      </c>
      <c r="B645" s="42" t="s">
        <v>316</v>
      </c>
      <c r="C645" s="42" t="s">
        <v>271</v>
      </c>
      <c r="D645" s="21" t="s">
        <v>389</v>
      </c>
      <c r="E645" s="42" t="s">
        <v>186</v>
      </c>
      <c r="F645" s="7">
        <f>'Прил.№4 ведомств.'!G749</f>
        <v>0</v>
      </c>
      <c r="G645" s="7">
        <f>'Прил.№4 ведомств.'!I749</f>
        <v>0</v>
      </c>
      <c r="H645" s="7">
        <f>'Прил.№4 ведомств.'!J749</f>
        <v>0</v>
      </c>
      <c r="I645" s="7">
        <f>'Прил.№4 ведомств.'!K749</f>
        <v>0</v>
      </c>
      <c r="J645" s="7">
        <f>'Прил.№4 ведомств.'!L749</f>
        <v>0</v>
      </c>
      <c r="K645" s="7">
        <f>'Прил.№4 ведомств.'!M749</f>
        <v>0</v>
      </c>
      <c r="L645" s="7">
        <f>'Прил.№4 ведомств.'!N749</f>
        <v>0</v>
      </c>
      <c r="M645" s="4" t="e">
        <f t="shared" si="349"/>
        <v>#DIV/0!</v>
      </c>
    </row>
    <row r="646" spans="1:13" ht="47.25" hidden="1">
      <c r="A646" s="26" t="s">
        <v>675</v>
      </c>
      <c r="B646" s="42" t="s">
        <v>316</v>
      </c>
      <c r="C646" s="42" t="s">
        <v>271</v>
      </c>
      <c r="D646" s="21" t="s">
        <v>530</v>
      </c>
      <c r="E646" s="42"/>
      <c r="F646" s="7">
        <f>F647+F649</f>
        <v>20</v>
      </c>
      <c r="G646" s="7">
        <f aca="true" t="shared" si="378" ref="G646:K646">G647+G649</f>
        <v>20</v>
      </c>
      <c r="H646" s="7">
        <f t="shared" si="378"/>
        <v>0</v>
      </c>
      <c r="I646" s="7">
        <f t="shared" si="378"/>
        <v>0</v>
      </c>
      <c r="J646" s="7">
        <f t="shared" si="378"/>
        <v>0</v>
      </c>
      <c r="K646" s="7">
        <f t="shared" si="378"/>
        <v>0</v>
      </c>
      <c r="L646" s="7">
        <f aca="true" t="shared" si="379" ref="L646">L647+L649</f>
        <v>0</v>
      </c>
      <c r="M646" s="4" t="e">
        <f t="shared" si="349"/>
        <v>#DIV/0!</v>
      </c>
    </row>
    <row r="647" spans="1:13" ht="78.75" hidden="1">
      <c r="A647" s="26" t="s">
        <v>179</v>
      </c>
      <c r="B647" s="42" t="s">
        <v>316</v>
      </c>
      <c r="C647" s="42" t="s">
        <v>271</v>
      </c>
      <c r="D647" s="21" t="s">
        <v>530</v>
      </c>
      <c r="E647" s="42" t="s">
        <v>180</v>
      </c>
      <c r="F647" s="7">
        <f>F648</f>
        <v>5</v>
      </c>
      <c r="G647" s="7">
        <f aca="true" t="shared" si="380" ref="G647:L647">G648</f>
        <v>5</v>
      </c>
      <c r="H647" s="7">
        <f t="shared" si="380"/>
        <v>0</v>
      </c>
      <c r="I647" s="7">
        <f t="shared" si="380"/>
        <v>0</v>
      </c>
      <c r="J647" s="7">
        <f t="shared" si="380"/>
        <v>0</v>
      </c>
      <c r="K647" s="7">
        <f t="shared" si="380"/>
        <v>0</v>
      </c>
      <c r="L647" s="7">
        <f t="shared" si="380"/>
        <v>0</v>
      </c>
      <c r="M647" s="4" t="e">
        <f t="shared" si="349"/>
        <v>#DIV/0!</v>
      </c>
    </row>
    <row r="648" spans="1:13" ht="31.5" hidden="1">
      <c r="A648" s="26" t="s">
        <v>394</v>
      </c>
      <c r="B648" s="42" t="s">
        <v>316</v>
      </c>
      <c r="C648" s="42" t="s">
        <v>271</v>
      </c>
      <c r="D648" s="21" t="s">
        <v>530</v>
      </c>
      <c r="E648" s="42" t="s">
        <v>261</v>
      </c>
      <c r="F648" s="7">
        <f>'Прил.№4 ведомств.'!G752</f>
        <v>5</v>
      </c>
      <c r="G648" s="7">
        <f>'Прил.№4 ведомств.'!I752</f>
        <v>5</v>
      </c>
      <c r="H648" s="7">
        <f>'Прил.№4 ведомств.'!J752</f>
        <v>0</v>
      </c>
      <c r="I648" s="7">
        <f>'Прил.№4 ведомств.'!K752</f>
        <v>0</v>
      </c>
      <c r="J648" s="7">
        <f>'Прил.№4 ведомств.'!L752</f>
        <v>0</v>
      </c>
      <c r="K648" s="7">
        <f>'Прил.№4 ведомств.'!M752</f>
        <v>0</v>
      </c>
      <c r="L648" s="7">
        <f>'Прил.№4 ведомств.'!N752</f>
        <v>0</v>
      </c>
      <c r="M648" s="4" t="e">
        <f t="shared" si="349"/>
        <v>#DIV/0!</v>
      </c>
    </row>
    <row r="649" spans="1:13" ht="31.5" hidden="1">
      <c r="A649" s="26" t="s">
        <v>183</v>
      </c>
      <c r="B649" s="42" t="s">
        <v>316</v>
      </c>
      <c r="C649" s="42" t="s">
        <v>271</v>
      </c>
      <c r="D649" s="21" t="s">
        <v>530</v>
      </c>
      <c r="E649" s="42" t="s">
        <v>184</v>
      </c>
      <c r="F649" s="7">
        <f>F650</f>
        <v>15</v>
      </c>
      <c r="G649" s="7">
        <f aca="true" t="shared" si="381" ref="G649:L649">G650</f>
        <v>15</v>
      </c>
      <c r="H649" s="7">
        <f t="shared" si="381"/>
        <v>0</v>
      </c>
      <c r="I649" s="7">
        <f t="shared" si="381"/>
        <v>0</v>
      </c>
      <c r="J649" s="7">
        <f t="shared" si="381"/>
        <v>0</v>
      </c>
      <c r="K649" s="7">
        <f t="shared" si="381"/>
        <v>0</v>
      </c>
      <c r="L649" s="7">
        <f t="shared" si="381"/>
        <v>0</v>
      </c>
      <c r="M649" s="4" t="e">
        <f t="shared" si="349"/>
        <v>#DIV/0!</v>
      </c>
    </row>
    <row r="650" spans="1:13" ht="47.25" hidden="1">
      <c r="A650" s="26" t="s">
        <v>185</v>
      </c>
      <c r="B650" s="42" t="s">
        <v>316</v>
      </c>
      <c r="C650" s="42" t="s">
        <v>271</v>
      </c>
      <c r="D650" s="21" t="s">
        <v>530</v>
      </c>
      <c r="E650" s="42" t="s">
        <v>186</v>
      </c>
      <c r="F650" s="7">
        <f>'Прил.№4 ведомств.'!G754</f>
        <v>15</v>
      </c>
      <c r="G650" s="7">
        <f>'Прил.№4 ведомств.'!I754</f>
        <v>15</v>
      </c>
      <c r="H650" s="7">
        <f>'Прил.№4 ведомств.'!J754</f>
        <v>0</v>
      </c>
      <c r="I650" s="7">
        <f>'Прил.№4 ведомств.'!K754</f>
        <v>0</v>
      </c>
      <c r="J650" s="7">
        <f>'Прил.№4 ведомств.'!L754</f>
        <v>0</v>
      </c>
      <c r="K650" s="7">
        <f>'Прил.№4 ведомств.'!M754</f>
        <v>0</v>
      </c>
      <c r="L650" s="7">
        <f>'Прил.№4 ведомств.'!N754</f>
        <v>0</v>
      </c>
      <c r="M650" s="4" t="e">
        <f t="shared" si="349"/>
        <v>#DIV/0!</v>
      </c>
    </row>
    <row r="651" spans="1:13" ht="15.75">
      <c r="A651" s="31" t="s">
        <v>173</v>
      </c>
      <c r="B651" s="42" t="s">
        <v>316</v>
      </c>
      <c r="C651" s="42" t="s">
        <v>271</v>
      </c>
      <c r="D651" s="42" t="s">
        <v>174</v>
      </c>
      <c r="E651" s="42"/>
      <c r="F651" s="7">
        <f>F652+F662+F658</f>
        <v>18302.300000000003</v>
      </c>
      <c r="G651" s="7">
        <f aca="true" t="shared" si="382" ref="G651:K651">G652+G662+G658</f>
        <v>18642.7</v>
      </c>
      <c r="H651" s="7">
        <f t="shared" si="382"/>
        <v>19851.600000000002</v>
      </c>
      <c r="I651" s="7">
        <f t="shared" si="382"/>
        <v>19974.9</v>
      </c>
      <c r="J651" s="7">
        <f t="shared" si="382"/>
        <v>20099.5</v>
      </c>
      <c r="K651" s="7">
        <f t="shared" si="382"/>
        <v>18675.5</v>
      </c>
      <c r="L651" s="7">
        <f aca="true" t="shared" si="383" ref="L651">L652+L662+L658</f>
        <v>9994.9</v>
      </c>
      <c r="M651" s="7">
        <f t="shared" si="349"/>
        <v>53.51878129099622</v>
      </c>
    </row>
    <row r="652" spans="1:13" ht="31.5">
      <c r="A652" s="31" t="s">
        <v>175</v>
      </c>
      <c r="B652" s="42" t="s">
        <v>316</v>
      </c>
      <c r="C652" s="42" t="s">
        <v>271</v>
      </c>
      <c r="D652" s="42" t="s">
        <v>176</v>
      </c>
      <c r="E652" s="42"/>
      <c r="F652" s="7">
        <f>F653</f>
        <v>5138.7</v>
      </c>
      <c r="G652" s="7">
        <f aca="true" t="shared" si="384" ref="G652:L652">G653</f>
        <v>5221.400000000001</v>
      </c>
      <c r="H652" s="7">
        <f t="shared" si="384"/>
        <v>5488.3</v>
      </c>
      <c r="I652" s="7">
        <f t="shared" si="384"/>
        <v>5488.3</v>
      </c>
      <c r="J652" s="7">
        <f t="shared" si="384"/>
        <v>5488.3</v>
      </c>
      <c r="K652" s="7">
        <f t="shared" si="384"/>
        <v>5276.7</v>
      </c>
      <c r="L652" s="7">
        <f t="shared" si="384"/>
        <v>2803.2</v>
      </c>
      <c r="M652" s="7">
        <f t="shared" si="349"/>
        <v>53.124111660697025</v>
      </c>
    </row>
    <row r="653" spans="1:13" ht="36.75" customHeight="1">
      <c r="A653" s="31" t="s">
        <v>177</v>
      </c>
      <c r="B653" s="42" t="s">
        <v>316</v>
      </c>
      <c r="C653" s="42" t="s">
        <v>271</v>
      </c>
      <c r="D653" s="42" t="s">
        <v>178</v>
      </c>
      <c r="E653" s="42"/>
      <c r="F653" s="7">
        <f>F654+F656</f>
        <v>5138.7</v>
      </c>
      <c r="G653" s="7">
        <f aca="true" t="shared" si="385" ref="G653:K653">G654+G656</f>
        <v>5221.400000000001</v>
      </c>
      <c r="H653" s="7">
        <f t="shared" si="385"/>
        <v>5488.3</v>
      </c>
      <c r="I653" s="7">
        <f t="shared" si="385"/>
        <v>5488.3</v>
      </c>
      <c r="J653" s="7">
        <f t="shared" si="385"/>
        <v>5488.3</v>
      </c>
      <c r="K653" s="7">
        <f t="shared" si="385"/>
        <v>5276.7</v>
      </c>
      <c r="L653" s="7">
        <f aca="true" t="shared" si="386" ref="L653">L654+L656</f>
        <v>2803.2</v>
      </c>
      <c r="M653" s="7">
        <f aca="true" t="shared" si="387" ref="M653:M716">L653/K653*100</f>
        <v>53.124111660697025</v>
      </c>
    </row>
    <row r="654" spans="1:13" ht="78.75">
      <c r="A654" s="31" t="s">
        <v>179</v>
      </c>
      <c r="B654" s="42" t="s">
        <v>316</v>
      </c>
      <c r="C654" s="42" t="s">
        <v>271</v>
      </c>
      <c r="D654" s="42" t="s">
        <v>178</v>
      </c>
      <c r="E654" s="42" t="s">
        <v>180</v>
      </c>
      <c r="F654" s="63">
        <f>F655</f>
        <v>4981.5</v>
      </c>
      <c r="G654" s="63">
        <f aca="true" t="shared" si="388" ref="G654:L654">G655</f>
        <v>5072.6</v>
      </c>
      <c r="H654" s="63">
        <f t="shared" si="388"/>
        <v>4925.5</v>
      </c>
      <c r="I654" s="63">
        <f t="shared" si="388"/>
        <v>4925.5</v>
      </c>
      <c r="J654" s="63">
        <f t="shared" si="388"/>
        <v>4925.5</v>
      </c>
      <c r="K654" s="63">
        <f t="shared" si="388"/>
        <v>5119.5</v>
      </c>
      <c r="L654" s="63">
        <f t="shared" si="388"/>
        <v>2718.5</v>
      </c>
      <c r="M654" s="7">
        <f t="shared" si="387"/>
        <v>53.10088875866784</v>
      </c>
    </row>
    <row r="655" spans="1:13" ht="31.5">
      <c r="A655" s="31" t="s">
        <v>181</v>
      </c>
      <c r="B655" s="42" t="s">
        <v>316</v>
      </c>
      <c r="C655" s="42" t="s">
        <v>271</v>
      </c>
      <c r="D655" s="42" t="s">
        <v>178</v>
      </c>
      <c r="E655" s="42" t="s">
        <v>182</v>
      </c>
      <c r="F655" s="63">
        <f>'Прил.№4 ведомств.'!G759</f>
        <v>4981.5</v>
      </c>
      <c r="G655" s="63">
        <f>'Прил.№4 ведомств.'!I759</f>
        <v>5072.6</v>
      </c>
      <c r="H655" s="63">
        <f>'Прил.№4 ведомств.'!J759</f>
        <v>4925.5</v>
      </c>
      <c r="I655" s="63">
        <f>'Прил.№4 ведомств.'!K759</f>
        <v>4925.5</v>
      </c>
      <c r="J655" s="63">
        <f>'Прил.№4 ведомств.'!L759</f>
        <v>4925.5</v>
      </c>
      <c r="K655" s="63">
        <f>'Прил.№4 ведомств.'!M759</f>
        <v>5119.5</v>
      </c>
      <c r="L655" s="63">
        <f>'Прил.№4 ведомств.'!N759</f>
        <v>2718.5</v>
      </c>
      <c r="M655" s="7">
        <f t="shared" si="387"/>
        <v>53.10088875866784</v>
      </c>
    </row>
    <row r="656" spans="1:13" ht="31.5">
      <c r="A656" s="31" t="s">
        <v>183</v>
      </c>
      <c r="B656" s="42" t="s">
        <v>316</v>
      </c>
      <c r="C656" s="42" t="s">
        <v>271</v>
      </c>
      <c r="D656" s="42" t="s">
        <v>178</v>
      </c>
      <c r="E656" s="42" t="s">
        <v>184</v>
      </c>
      <c r="F656" s="7">
        <f>F657</f>
        <v>157.2</v>
      </c>
      <c r="G656" s="7">
        <f aca="true" t="shared" si="389" ref="G656:L656">G657</f>
        <v>148.8</v>
      </c>
      <c r="H656" s="7">
        <f t="shared" si="389"/>
        <v>562.8</v>
      </c>
      <c r="I656" s="7">
        <f t="shared" si="389"/>
        <v>562.8</v>
      </c>
      <c r="J656" s="7">
        <f t="shared" si="389"/>
        <v>562.8</v>
      </c>
      <c r="K656" s="7">
        <f t="shared" si="389"/>
        <v>157.2</v>
      </c>
      <c r="L656" s="7">
        <f t="shared" si="389"/>
        <v>84.7</v>
      </c>
      <c r="M656" s="7">
        <f t="shared" si="387"/>
        <v>53.88040712468194</v>
      </c>
    </row>
    <row r="657" spans="1:13" ht="47.25">
      <c r="A657" s="31" t="s">
        <v>185</v>
      </c>
      <c r="B657" s="42" t="s">
        <v>316</v>
      </c>
      <c r="C657" s="42" t="s">
        <v>271</v>
      </c>
      <c r="D657" s="42" t="s">
        <v>178</v>
      </c>
      <c r="E657" s="42" t="s">
        <v>186</v>
      </c>
      <c r="F657" s="7">
        <f>'Прил.№4 ведомств.'!G761</f>
        <v>157.2</v>
      </c>
      <c r="G657" s="7">
        <f>'Прил.№4 ведомств.'!I761</f>
        <v>148.8</v>
      </c>
      <c r="H657" s="7">
        <f>'Прил.№4 ведомств.'!J761</f>
        <v>562.8</v>
      </c>
      <c r="I657" s="7">
        <f>'Прил.№4 ведомств.'!K761</f>
        <v>562.8</v>
      </c>
      <c r="J657" s="7">
        <f>'Прил.№4 ведомств.'!L761</f>
        <v>562.8</v>
      </c>
      <c r="K657" s="7">
        <f>'Прил.№4 ведомств.'!M761</f>
        <v>157.2</v>
      </c>
      <c r="L657" s="7">
        <f>'Прил.№4 ведомств.'!N761</f>
        <v>84.7</v>
      </c>
      <c r="M657" s="7">
        <f t="shared" si="387"/>
        <v>53.88040712468194</v>
      </c>
    </row>
    <row r="658" spans="1:13" ht="31.5" customHeight="1" hidden="1">
      <c r="A658" s="31" t="s">
        <v>237</v>
      </c>
      <c r="B658" s="42" t="s">
        <v>316</v>
      </c>
      <c r="C658" s="42" t="s">
        <v>271</v>
      </c>
      <c r="D658" s="42" t="s">
        <v>238</v>
      </c>
      <c r="E658" s="42"/>
      <c r="F658" s="7">
        <f>F659</f>
        <v>0</v>
      </c>
      <c r="G658" s="7">
        <f aca="true" t="shared" si="390" ref="G658:L660">G659</f>
        <v>0</v>
      </c>
      <c r="H658" s="7">
        <f t="shared" si="390"/>
        <v>0</v>
      </c>
      <c r="I658" s="7">
        <f t="shared" si="390"/>
        <v>0</v>
      </c>
      <c r="J658" s="7">
        <f t="shared" si="390"/>
        <v>0</v>
      </c>
      <c r="K658" s="7">
        <f t="shared" si="390"/>
        <v>0</v>
      </c>
      <c r="L658" s="7">
        <f t="shared" si="390"/>
        <v>0</v>
      </c>
      <c r="M658" s="7" t="e">
        <f t="shared" si="387"/>
        <v>#DIV/0!</v>
      </c>
    </row>
    <row r="659" spans="1:13" ht="31.5" customHeight="1" hidden="1">
      <c r="A659" s="69" t="s">
        <v>348</v>
      </c>
      <c r="B659" s="42" t="s">
        <v>316</v>
      </c>
      <c r="C659" s="42" t="s">
        <v>271</v>
      </c>
      <c r="D659" s="21" t="s">
        <v>349</v>
      </c>
      <c r="E659" s="42"/>
      <c r="F659" s="7">
        <f>F660</f>
        <v>0</v>
      </c>
      <c r="G659" s="7">
        <f t="shared" si="390"/>
        <v>0</v>
      </c>
      <c r="H659" s="7">
        <f t="shared" si="390"/>
        <v>0</v>
      </c>
      <c r="I659" s="7">
        <f t="shared" si="390"/>
        <v>0</v>
      </c>
      <c r="J659" s="7">
        <f t="shared" si="390"/>
        <v>0</v>
      </c>
      <c r="K659" s="7">
        <f t="shared" si="390"/>
        <v>0</v>
      </c>
      <c r="L659" s="7">
        <f t="shared" si="390"/>
        <v>0</v>
      </c>
      <c r="M659" s="7" t="e">
        <f t="shared" si="387"/>
        <v>#DIV/0!</v>
      </c>
    </row>
    <row r="660" spans="1:13" ht="15.75" customHeight="1" hidden="1">
      <c r="A660" s="31" t="s">
        <v>187</v>
      </c>
      <c r="B660" s="42" t="s">
        <v>316</v>
      </c>
      <c r="C660" s="42" t="s">
        <v>271</v>
      </c>
      <c r="D660" s="21" t="s">
        <v>349</v>
      </c>
      <c r="E660" s="42" t="s">
        <v>197</v>
      </c>
      <c r="F660" s="7">
        <f>F661</f>
        <v>0</v>
      </c>
      <c r="G660" s="7">
        <f t="shared" si="390"/>
        <v>0</v>
      </c>
      <c r="H660" s="7">
        <f t="shared" si="390"/>
        <v>0</v>
      </c>
      <c r="I660" s="7">
        <f t="shared" si="390"/>
        <v>0</v>
      </c>
      <c r="J660" s="7">
        <f t="shared" si="390"/>
        <v>0</v>
      </c>
      <c r="K660" s="7">
        <f t="shared" si="390"/>
        <v>0</v>
      </c>
      <c r="L660" s="7">
        <f t="shared" si="390"/>
        <v>0</v>
      </c>
      <c r="M660" s="7" t="e">
        <f t="shared" si="387"/>
        <v>#DIV/0!</v>
      </c>
    </row>
    <row r="661" spans="1:13" ht="47.25" customHeight="1" hidden="1">
      <c r="A661" s="31" t="s">
        <v>236</v>
      </c>
      <c r="B661" s="42" t="s">
        <v>316</v>
      </c>
      <c r="C661" s="42" t="s">
        <v>271</v>
      </c>
      <c r="D661" s="21" t="s">
        <v>349</v>
      </c>
      <c r="E661" s="42" t="s">
        <v>212</v>
      </c>
      <c r="F661" s="7">
        <f>90-90</f>
        <v>0</v>
      </c>
      <c r="G661" s="7">
        <f aca="true" t="shared" si="391" ref="G661:L661">90-90</f>
        <v>0</v>
      </c>
      <c r="H661" s="7">
        <f t="shared" si="391"/>
        <v>0</v>
      </c>
      <c r="I661" s="7">
        <f t="shared" si="391"/>
        <v>0</v>
      </c>
      <c r="J661" s="7">
        <f t="shared" si="391"/>
        <v>0</v>
      </c>
      <c r="K661" s="7">
        <f t="shared" si="391"/>
        <v>0</v>
      </c>
      <c r="L661" s="7">
        <f t="shared" si="391"/>
        <v>0</v>
      </c>
      <c r="M661" s="7" t="e">
        <f t="shared" si="387"/>
        <v>#DIV/0!</v>
      </c>
    </row>
    <row r="662" spans="1:13" ht="15.75">
      <c r="A662" s="31" t="s">
        <v>193</v>
      </c>
      <c r="B662" s="42" t="s">
        <v>316</v>
      </c>
      <c r="C662" s="42" t="s">
        <v>271</v>
      </c>
      <c r="D662" s="42" t="s">
        <v>194</v>
      </c>
      <c r="E662" s="42"/>
      <c r="F662" s="7">
        <f>F663+F666</f>
        <v>13163.600000000002</v>
      </c>
      <c r="G662" s="7">
        <f aca="true" t="shared" si="392" ref="G662:K662">G663+G666</f>
        <v>13421.300000000001</v>
      </c>
      <c r="H662" s="7">
        <f t="shared" si="392"/>
        <v>14363.300000000001</v>
      </c>
      <c r="I662" s="7">
        <f t="shared" si="392"/>
        <v>14486.6</v>
      </c>
      <c r="J662" s="7">
        <f t="shared" si="392"/>
        <v>14611.2</v>
      </c>
      <c r="K662" s="7">
        <f t="shared" si="392"/>
        <v>13398.800000000001</v>
      </c>
      <c r="L662" s="7">
        <f aca="true" t="shared" si="393" ref="L662">L663+L666</f>
        <v>7191.7</v>
      </c>
      <c r="M662" s="7">
        <f t="shared" si="387"/>
        <v>53.674209630713186</v>
      </c>
    </row>
    <row r="663" spans="1:13" ht="15.75">
      <c r="A663" s="31" t="s">
        <v>531</v>
      </c>
      <c r="B663" s="42" t="s">
        <v>316</v>
      </c>
      <c r="C663" s="42" t="s">
        <v>271</v>
      </c>
      <c r="D663" s="42" t="s">
        <v>532</v>
      </c>
      <c r="E663" s="42"/>
      <c r="F663" s="7">
        <f>F664</f>
        <v>375</v>
      </c>
      <c r="G663" s="7">
        <f aca="true" t="shared" si="394" ref="G663:L664">G664</f>
        <v>375</v>
      </c>
      <c r="H663" s="7">
        <f t="shared" si="394"/>
        <v>0</v>
      </c>
      <c r="I663" s="7">
        <f t="shared" si="394"/>
        <v>0</v>
      </c>
      <c r="J663" s="7">
        <f t="shared" si="394"/>
        <v>0</v>
      </c>
      <c r="K663" s="7">
        <f t="shared" si="394"/>
        <v>600</v>
      </c>
      <c r="L663" s="7">
        <f t="shared" si="394"/>
        <v>195.7</v>
      </c>
      <c r="M663" s="7">
        <f t="shared" si="387"/>
        <v>32.61666666666667</v>
      </c>
    </row>
    <row r="664" spans="1:13" ht="31.5">
      <c r="A664" s="31" t="s">
        <v>183</v>
      </c>
      <c r="B664" s="42" t="s">
        <v>316</v>
      </c>
      <c r="C664" s="42" t="s">
        <v>271</v>
      </c>
      <c r="D664" s="42" t="s">
        <v>532</v>
      </c>
      <c r="E664" s="42" t="s">
        <v>184</v>
      </c>
      <c r="F664" s="7">
        <f>F665</f>
        <v>375</v>
      </c>
      <c r="G664" s="7">
        <f t="shared" si="394"/>
        <v>375</v>
      </c>
      <c r="H664" s="7">
        <f t="shared" si="394"/>
        <v>0</v>
      </c>
      <c r="I664" s="7">
        <f t="shared" si="394"/>
        <v>0</v>
      </c>
      <c r="J664" s="7">
        <f t="shared" si="394"/>
        <v>0</v>
      </c>
      <c r="K664" s="7">
        <f t="shared" si="394"/>
        <v>600</v>
      </c>
      <c r="L664" s="7">
        <f t="shared" si="394"/>
        <v>195.7</v>
      </c>
      <c r="M664" s="7">
        <f t="shared" si="387"/>
        <v>32.61666666666667</v>
      </c>
    </row>
    <row r="665" spans="1:13" ht="47.25">
      <c r="A665" s="31" t="s">
        <v>185</v>
      </c>
      <c r="B665" s="42" t="s">
        <v>316</v>
      </c>
      <c r="C665" s="42" t="s">
        <v>271</v>
      </c>
      <c r="D665" s="42" t="s">
        <v>532</v>
      </c>
      <c r="E665" s="42" t="s">
        <v>186</v>
      </c>
      <c r="F665" s="7">
        <f>'Прил.№4 ведомств.'!G765</f>
        <v>375</v>
      </c>
      <c r="G665" s="7">
        <f>'Прил.№4 ведомств.'!I765</f>
        <v>375</v>
      </c>
      <c r="H665" s="7">
        <f>'Прил.№4 ведомств.'!J765</f>
        <v>0</v>
      </c>
      <c r="I665" s="7">
        <f>'Прил.№4 ведомств.'!K765</f>
        <v>0</v>
      </c>
      <c r="J665" s="7">
        <f>'Прил.№4 ведомств.'!L765</f>
        <v>0</v>
      </c>
      <c r="K665" s="7">
        <f>'Прил.№4 ведомств.'!M765</f>
        <v>600</v>
      </c>
      <c r="L665" s="7">
        <f>'Прил.№4 ведомств.'!N765</f>
        <v>195.7</v>
      </c>
      <c r="M665" s="7">
        <f t="shared" si="387"/>
        <v>32.61666666666667</v>
      </c>
    </row>
    <row r="666" spans="1:13" ht="31.5">
      <c r="A666" s="26" t="s">
        <v>392</v>
      </c>
      <c r="B666" s="42" t="s">
        <v>316</v>
      </c>
      <c r="C666" s="42" t="s">
        <v>271</v>
      </c>
      <c r="D666" s="42" t="s">
        <v>393</v>
      </c>
      <c r="E666" s="42"/>
      <c r="F666" s="7">
        <f>F667+F669+F671</f>
        <v>12788.600000000002</v>
      </c>
      <c r="G666" s="7">
        <f aca="true" t="shared" si="395" ref="G666:K666">G667+G669+G671</f>
        <v>13046.300000000001</v>
      </c>
      <c r="H666" s="7">
        <f t="shared" si="395"/>
        <v>14363.300000000001</v>
      </c>
      <c r="I666" s="7">
        <f t="shared" si="395"/>
        <v>14486.6</v>
      </c>
      <c r="J666" s="7">
        <f t="shared" si="395"/>
        <v>14611.2</v>
      </c>
      <c r="K666" s="7">
        <f t="shared" si="395"/>
        <v>12798.800000000001</v>
      </c>
      <c r="L666" s="7">
        <f aca="true" t="shared" si="396" ref="L666">L667+L669+L671</f>
        <v>6996</v>
      </c>
      <c r="M666" s="7">
        <f t="shared" si="387"/>
        <v>54.661374503859726</v>
      </c>
    </row>
    <row r="667" spans="1:13" ht="78.75">
      <c r="A667" s="31" t="s">
        <v>179</v>
      </c>
      <c r="B667" s="42" t="s">
        <v>316</v>
      </c>
      <c r="C667" s="42" t="s">
        <v>271</v>
      </c>
      <c r="D667" s="42" t="s">
        <v>393</v>
      </c>
      <c r="E667" s="42" t="s">
        <v>180</v>
      </c>
      <c r="F667" s="7">
        <f>F668</f>
        <v>11519.300000000001</v>
      </c>
      <c r="G667" s="7">
        <f aca="true" t="shared" si="397" ref="G667:L667">G668</f>
        <v>11777</v>
      </c>
      <c r="H667" s="7">
        <f t="shared" si="397"/>
        <v>12334.2</v>
      </c>
      <c r="I667" s="7">
        <f t="shared" si="397"/>
        <v>12457.5</v>
      </c>
      <c r="J667" s="7">
        <f t="shared" si="397"/>
        <v>12582.1</v>
      </c>
      <c r="K667" s="7">
        <f t="shared" si="397"/>
        <v>11519.300000000001</v>
      </c>
      <c r="L667" s="7">
        <f t="shared" si="397"/>
        <v>6283.1</v>
      </c>
      <c r="M667" s="7">
        <f t="shared" si="387"/>
        <v>54.544112923528346</v>
      </c>
    </row>
    <row r="668" spans="1:13" ht="31.5">
      <c r="A668" s="48" t="s">
        <v>394</v>
      </c>
      <c r="B668" s="42" t="s">
        <v>316</v>
      </c>
      <c r="C668" s="42" t="s">
        <v>271</v>
      </c>
      <c r="D668" s="42" t="s">
        <v>393</v>
      </c>
      <c r="E668" s="42" t="s">
        <v>261</v>
      </c>
      <c r="F668" s="63">
        <f>'Прил.№4 ведомств.'!G768</f>
        <v>11519.300000000001</v>
      </c>
      <c r="G668" s="63">
        <f>'Прил.№4 ведомств.'!I768</f>
        <v>11777</v>
      </c>
      <c r="H668" s="63">
        <f>'Прил.№4 ведомств.'!J768</f>
        <v>12334.2</v>
      </c>
      <c r="I668" s="63">
        <f>'Прил.№4 ведомств.'!K768</f>
        <v>12457.5</v>
      </c>
      <c r="J668" s="63">
        <f>'Прил.№4 ведомств.'!L768</f>
        <v>12582.1</v>
      </c>
      <c r="K668" s="63">
        <f>'Прил.№4 ведомств.'!M768</f>
        <v>11519.300000000001</v>
      </c>
      <c r="L668" s="63">
        <f>'Прил.№4 ведомств.'!N768</f>
        <v>6283.1</v>
      </c>
      <c r="M668" s="7">
        <f t="shared" si="387"/>
        <v>54.544112923528346</v>
      </c>
    </row>
    <row r="669" spans="1:13" ht="31.5">
      <c r="A669" s="31" t="s">
        <v>183</v>
      </c>
      <c r="B669" s="42" t="s">
        <v>316</v>
      </c>
      <c r="C669" s="42" t="s">
        <v>271</v>
      </c>
      <c r="D669" s="42" t="s">
        <v>393</v>
      </c>
      <c r="E669" s="42" t="s">
        <v>184</v>
      </c>
      <c r="F669" s="7">
        <f>F670</f>
        <v>1264.1</v>
      </c>
      <c r="G669" s="7">
        <f aca="true" t="shared" si="398" ref="G669:L669">G670</f>
        <v>1264.1</v>
      </c>
      <c r="H669" s="7">
        <f t="shared" si="398"/>
        <v>2023.8999999999999</v>
      </c>
      <c r="I669" s="7">
        <f t="shared" si="398"/>
        <v>2023.8999999999999</v>
      </c>
      <c r="J669" s="7">
        <f t="shared" si="398"/>
        <v>2023.8999999999999</v>
      </c>
      <c r="K669" s="7">
        <f t="shared" si="398"/>
        <v>1264.1</v>
      </c>
      <c r="L669" s="7">
        <f t="shared" si="398"/>
        <v>710.7</v>
      </c>
      <c r="M669" s="7">
        <f t="shared" si="387"/>
        <v>56.22181789415394</v>
      </c>
    </row>
    <row r="670" spans="1:13" ht="47.25">
      <c r="A670" s="31" t="s">
        <v>185</v>
      </c>
      <c r="B670" s="42" t="s">
        <v>316</v>
      </c>
      <c r="C670" s="42" t="s">
        <v>271</v>
      </c>
      <c r="D670" s="42" t="s">
        <v>393</v>
      </c>
      <c r="E670" s="42" t="s">
        <v>186</v>
      </c>
      <c r="F670" s="7">
        <f>'Прил.№4 ведомств.'!G770</f>
        <v>1264.1</v>
      </c>
      <c r="G670" s="7">
        <f>'Прил.№4 ведомств.'!I770</f>
        <v>1264.1</v>
      </c>
      <c r="H670" s="7">
        <f>'Прил.№4 ведомств.'!J770</f>
        <v>2023.8999999999999</v>
      </c>
      <c r="I670" s="7">
        <f>'Прил.№4 ведомств.'!K770</f>
        <v>2023.8999999999999</v>
      </c>
      <c r="J670" s="7">
        <f>'Прил.№4 ведомств.'!L770</f>
        <v>2023.8999999999999</v>
      </c>
      <c r="K670" s="7">
        <f>'Прил.№4 ведомств.'!M770</f>
        <v>1264.1</v>
      </c>
      <c r="L670" s="7">
        <f>'Прил.№4 ведомств.'!N770</f>
        <v>710.7</v>
      </c>
      <c r="M670" s="7">
        <f t="shared" si="387"/>
        <v>56.22181789415394</v>
      </c>
    </row>
    <row r="671" spans="1:13" ht="15.75">
      <c r="A671" s="31" t="s">
        <v>187</v>
      </c>
      <c r="B671" s="42" t="s">
        <v>316</v>
      </c>
      <c r="C671" s="42" t="s">
        <v>271</v>
      </c>
      <c r="D671" s="42" t="s">
        <v>393</v>
      </c>
      <c r="E671" s="42" t="s">
        <v>197</v>
      </c>
      <c r="F671" s="7">
        <f>F672</f>
        <v>5.2</v>
      </c>
      <c r="G671" s="7">
        <f aca="true" t="shared" si="399" ref="G671:L671">G672</f>
        <v>5.2</v>
      </c>
      <c r="H671" s="7">
        <f t="shared" si="399"/>
        <v>5.2</v>
      </c>
      <c r="I671" s="7">
        <f t="shared" si="399"/>
        <v>5.2</v>
      </c>
      <c r="J671" s="7">
        <f t="shared" si="399"/>
        <v>5.2</v>
      </c>
      <c r="K671" s="7">
        <f t="shared" si="399"/>
        <v>15.399999999999999</v>
      </c>
      <c r="L671" s="7">
        <f t="shared" si="399"/>
        <v>2.2</v>
      </c>
      <c r="M671" s="7">
        <f t="shared" si="387"/>
        <v>14.285714285714288</v>
      </c>
    </row>
    <row r="672" spans="1:13" ht="15.75">
      <c r="A672" s="31" t="s">
        <v>621</v>
      </c>
      <c r="B672" s="42" t="s">
        <v>316</v>
      </c>
      <c r="C672" s="42" t="s">
        <v>271</v>
      </c>
      <c r="D672" s="42" t="s">
        <v>393</v>
      </c>
      <c r="E672" s="42" t="s">
        <v>190</v>
      </c>
      <c r="F672" s="7">
        <f>'Прил.№4 ведомств.'!G772</f>
        <v>5.2</v>
      </c>
      <c r="G672" s="7">
        <f>'Прил.№4 ведомств.'!I772</f>
        <v>5.2</v>
      </c>
      <c r="H672" s="7">
        <f>'Прил.№4 ведомств.'!J772</f>
        <v>5.2</v>
      </c>
      <c r="I672" s="7">
        <f>'Прил.№4 ведомств.'!K772</f>
        <v>5.2</v>
      </c>
      <c r="J672" s="7">
        <f>'Прил.№4 ведомств.'!L772</f>
        <v>5.2</v>
      </c>
      <c r="K672" s="7">
        <f>'Прил.№4 ведомств.'!M772</f>
        <v>15.399999999999999</v>
      </c>
      <c r="L672" s="7">
        <f>'Прил.№4 ведомств.'!N772</f>
        <v>2.2</v>
      </c>
      <c r="M672" s="7">
        <f t="shared" si="387"/>
        <v>14.285714285714288</v>
      </c>
    </row>
    <row r="673" spans="1:13" ht="15.75">
      <c r="A673" s="43" t="s">
        <v>350</v>
      </c>
      <c r="B673" s="8" t="s">
        <v>351</v>
      </c>
      <c r="C673" s="8"/>
      <c r="D673" s="8"/>
      <c r="E673" s="8"/>
      <c r="F673" s="4">
        <f>F674+F765</f>
        <v>61699.8</v>
      </c>
      <c r="G673" s="4">
        <f aca="true" t="shared" si="400" ref="G673:K673">G674+G765</f>
        <v>62134.1843137255</v>
      </c>
      <c r="H673" s="4">
        <f t="shared" si="400"/>
        <v>72053.1</v>
      </c>
      <c r="I673" s="4">
        <f t="shared" si="400"/>
        <v>73293.1</v>
      </c>
      <c r="J673" s="4">
        <f t="shared" si="400"/>
        <v>74048.9</v>
      </c>
      <c r="K673" s="4">
        <f t="shared" si="400"/>
        <v>59918.1</v>
      </c>
      <c r="L673" s="4">
        <f aca="true" t="shared" si="401" ref="L673">L674+L765</f>
        <v>30066.300000000003</v>
      </c>
      <c r="M673" s="4">
        <f t="shared" si="387"/>
        <v>50.17899432725671</v>
      </c>
    </row>
    <row r="674" spans="1:15" ht="15.75">
      <c r="A674" s="43" t="s">
        <v>352</v>
      </c>
      <c r="B674" s="8" t="s">
        <v>351</v>
      </c>
      <c r="C674" s="8" t="s">
        <v>170</v>
      </c>
      <c r="D674" s="8"/>
      <c r="E674" s="8"/>
      <c r="F674" s="4">
        <f>F675+F744+F740</f>
        <v>44421.00000000001</v>
      </c>
      <c r="G674" s="4">
        <f aca="true" t="shared" si="402" ref="G674:K674">G675+G744+G740</f>
        <v>44421.00000000001</v>
      </c>
      <c r="H674" s="4">
        <f t="shared" si="402"/>
        <v>52460.700000000004</v>
      </c>
      <c r="I674" s="4">
        <f t="shared" si="402"/>
        <v>53585</v>
      </c>
      <c r="J674" s="4">
        <f t="shared" si="402"/>
        <v>54232.700000000004</v>
      </c>
      <c r="K674" s="4">
        <f t="shared" si="402"/>
        <v>43285.7</v>
      </c>
      <c r="L674" s="4">
        <f aca="true" t="shared" si="403" ref="L674">L675+L744+L740</f>
        <v>21639.2</v>
      </c>
      <c r="M674" s="4">
        <f t="shared" si="387"/>
        <v>49.99156765398273</v>
      </c>
      <c r="N674" s="23"/>
      <c r="O674" s="23"/>
    </row>
    <row r="675" spans="1:13" ht="31.5">
      <c r="A675" s="31" t="s">
        <v>318</v>
      </c>
      <c r="B675" s="42" t="s">
        <v>351</v>
      </c>
      <c r="C675" s="42" t="s">
        <v>170</v>
      </c>
      <c r="D675" s="42" t="s">
        <v>319</v>
      </c>
      <c r="E675" s="42"/>
      <c r="F675" s="7">
        <f>F676+F707</f>
        <v>42083.100000000006</v>
      </c>
      <c r="G675" s="7">
        <f aca="true" t="shared" si="404" ref="G675:K675">G676+G707</f>
        <v>42083.100000000006</v>
      </c>
      <c r="H675" s="7">
        <f t="shared" si="404"/>
        <v>50326.8</v>
      </c>
      <c r="I675" s="7">
        <f t="shared" si="404"/>
        <v>51451.1</v>
      </c>
      <c r="J675" s="7">
        <f t="shared" si="404"/>
        <v>52098.8</v>
      </c>
      <c r="K675" s="7">
        <f t="shared" si="404"/>
        <v>41201.399999999994</v>
      </c>
      <c r="L675" s="7">
        <f aca="true" t="shared" si="405" ref="L675">L676+L707</f>
        <v>20707.5</v>
      </c>
      <c r="M675" s="7">
        <f t="shared" si="387"/>
        <v>50.25921449271142</v>
      </c>
    </row>
    <row r="676" spans="1:13" ht="47.25">
      <c r="A676" s="31" t="s">
        <v>353</v>
      </c>
      <c r="B676" s="42" t="s">
        <v>351</v>
      </c>
      <c r="C676" s="42" t="s">
        <v>170</v>
      </c>
      <c r="D676" s="42" t="s">
        <v>354</v>
      </c>
      <c r="E676" s="42"/>
      <c r="F676" s="7">
        <f>F677+F680+F683+F686+F689+F692+F695+F698+F701+F704</f>
        <v>25422.5</v>
      </c>
      <c r="G676" s="7">
        <f aca="true" t="shared" si="406" ref="G676:K676">G677+G680+G683+G686+G689+G692+G695+G698+G701+G704</f>
        <v>25422.5</v>
      </c>
      <c r="H676" s="7">
        <f t="shared" si="406"/>
        <v>30257.6</v>
      </c>
      <c r="I676" s="7">
        <f t="shared" si="406"/>
        <v>31110.899999999998</v>
      </c>
      <c r="J676" s="7">
        <f t="shared" si="406"/>
        <v>31536.199999999997</v>
      </c>
      <c r="K676" s="7">
        <f t="shared" si="406"/>
        <v>24175.1</v>
      </c>
      <c r="L676" s="7">
        <f aca="true" t="shared" si="407" ref="L676">L677+L680+L683+L686+L689+L692+L695+L698+L701+L704</f>
        <v>12193.1</v>
      </c>
      <c r="M676" s="7">
        <f t="shared" si="387"/>
        <v>50.436606260160254</v>
      </c>
    </row>
    <row r="677" spans="1:13" ht="31.5">
      <c r="A677" s="31" t="s">
        <v>355</v>
      </c>
      <c r="B677" s="42" t="s">
        <v>351</v>
      </c>
      <c r="C677" s="42" t="s">
        <v>170</v>
      </c>
      <c r="D677" s="42" t="s">
        <v>356</v>
      </c>
      <c r="E677" s="42"/>
      <c r="F677" s="7">
        <f>F678</f>
        <v>23654.800000000003</v>
      </c>
      <c r="G677" s="7">
        <f aca="true" t="shared" si="408" ref="G677:L678">G678</f>
        <v>23654.800000000003</v>
      </c>
      <c r="H677" s="7">
        <f t="shared" si="408"/>
        <v>26579.5</v>
      </c>
      <c r="I677" s="7">
        <f t="shared" si="408"/>
        <v>27182.8</v>
      </c>
      <c r="J677" s="7">
        <f t="shared" si="408"/>
        <v>27608.1</v>
      </c>
      <c r="K677" s="7">
        <f t="shared" si="408"/>
        <v>23276.9</v>
      </c>
      <c r="L677" s="7">
        <f t="shared" si="408"/>
        <v>11440</v>
      </c>
      <c r="M677" s="7">
        <f t="shared" si="387"/>
        <v>49.14743801794913</v>
      </c>
    </row>
    <row r="678" spans="1:13" ht="47.25">
      <c r="A678" s="31" t="s">
        <v>324</v>
      </c>
      <c r="B678" s="42" t="s">
        <v>351</v>
      </c>
      <c r="C678" s="42" t="s">
        <v>170</v>
      </c>
      <c r="D678" s="42" t="s">
        <v>356</v>
      </c>
      <c r="E678" s="42" t="s">
        <v>325</v>
      </c>
      <c r="F678" s="7">
        <f>F679</f>
        <v>23654.800000000003</v>
      </c>
      <c r="G678" s="7">
        <f t="shared" si="408"/>
        <v>23654.800000000003</v>
      </c>
      <c r="H678" s="7">
        <f t="shared" si="408"/>
        <v>26579.5</v>
      </c>
      <c r="I678" s="7">
        <f t="shared" si="408"/>
        <v>27182.8</v>
      </c>
      <c r="J678" s="7">
        <f t="shared" si="408"/>
        <v>27608.1</v>
      </c>
      <c r="K678" s="7">
        <f t="shared" si="408"/>
        <v>23276.9</v>
      </c>
      <c r="L678" s="7">
        <f t="shared" si="408"/>
        <v>11440</v>
      </c>
      <c r="M678" s="7">
        <f t="shared" si="387"/>
        <v>49.14743801794913</v>
      </c>
    </row>
    <row r="679" spans="1:17" ht="15.75">
      <c r="A679" s="31" t="s">
        <v>326</v>
      </c>
      <c r="B679" s="42" t="s">
        <v>351</v>
      </c>
      <c r="C679" s="42" t="s">
        <v>170</v>
      </c>
      <c r="D679" s="42" t="s">
        <v>356</v>
      </c>
      <c r="E679" s="42" t="s">
        <v>327</v>
      </c>
      <c r="F679" s="7">
        <f>'Прил.№4 ведомств.'!G334</f>
        <v>23654.800000000003</v>
      </c>
      <c r="G679" s="7">
        <f>'Прил.№4 ведомств.'!I334</f>
        <v>23654.800000000003</v>
      </c>
      <c r="H679" s="7">
        <f>'Прил.№4 ведомств.'!J334</f>
        <v>26579.5</v>
      </c>
      <c r="I679" s="7">
        <f>'Прил.№4 ведомств.'!K334</f>
        <v>27182.8</v>
      </c>
      <c r="J679" s="7">
        <f>'Прил.№4 ведомств.'!L334</f>
        <v>27608.1</v>
      </c>
      <c r="K679" s="7">
        <f>'Прил.№4 ведомств.'!M334</f>
        <v>23276.9</v>
      </c>
      <c r="L679" s="7">
        <f>'Прил.№4 ведомств.'!N334</f>
        <v>11440</v>
      </c>
      <c r="M679" s="7">
        <f t="shared" si="387"/>
        <v>49.14743801794913</v>
      </c>
      <c r="Q679" s="23"/>
    </row>
    <row r="680" spans="1:17" ht="47.25">
      <c r="A680" s="31" t="s">
        <v>797</v>
      </c>
      <c r="B680" s="42" t="s">
        <v>351</v>
      </c>
      <c r="C680" s="42" t="s">
        <v>170</v>
      </c>
      <c r="D680" s="42" t="s">
        <v>357</v>
      </c>
      <c r="E680" s="42"/>
      <c r="F680" s="7">
        <f>F681</f>
        <v>96.1</v>
      </c>
      <c r="G680" s="7">
        <f aca="true" t="shared" si="409" ref="G680:L681">G681</f>
        <v>96.1</v>
      </c>
      <c r="H680" s="7">
        <f t="shared" si="409"/>
        <v>650</v>
      </c>
      <c r="I680" s="7">
        <f t="shared" si="409"/>
        <v>800</v>
      </c>
      <c r="J680" s="7">
        <f t="shared" si="409"/>
        <v>900</v>
      </c>
      <c r="K680" s="7">
        <f t="shared" si="409"/>
        <v>145.1</v>
      </c>
      <c r="L680" s="7">
        <f t="shared" si="409"/>
        <v>0</v>
      </c>
      <c r="M680" s="7">
        <f t="shared" si="387"/>
        <v>0</v>
      </c>
      <c r="Q680" s="23"/>
    </row>
    <row r="681" spans="1:13" ht="47.25">
      <c r="A681" s="31" t="s">
        <v>324</v>
      </c>
      <c r="B681" s="42" t="s">
        <v>351</v>
      </c>
      <c r="C681" s="42" t="s">
        <v>170</v>
      </c>
      <c r="D681" s="42" t="s">
        <v>357</v>
      </c>
      <c r="E681" s="42" t="s">
        <v>325</v>
      </c>
      <c r="F681" s="7">
        <f>F682</f>
        <v>96.1</v>
      </c>
      <c r="G681" s="7">
        <f t="shared" si="409"/>
        <v>96.1</v>
      </c>
      <c r="H681" s="7">
        <f t="shared" si="409"/>
        <v>650</v>
      </c>
      <c r="I681" s="7">
        <f t="shared" si="409"/>
        <v>800</v>
      </c>
      <c r="J681" s="7">
        <f t="shared" si="409"/>
        <v>900</v>
      </c>
      <c r="K681" s="7">
        <f t="shared" si="409"/>
        <v>145.1</v>
      </c>
      <c r="L681" s="7">
        <f t="shared" si="409"/>
        <v>0</v>
      </c>
      <c r="M681" s="7">
        <f t="shared" si="387"/>
        <v>0</v>
      </c>
    </row>
    <row r="682" spans="1:13" ht="15.75">
      <c r="A682" s="31" t="s">
        <v>326</v>
      </c>
      <c r="B682" s="42" t="s">
        <v>351</v>
      </c>
      <c r="C682" s="42" t="s">
        <v>170</v>
      </c>
      <c r="D682" s="42" t="s">
        <v>357</v>
      </c>
      <c r="E682" s="42" t="s">
        <v>327</v>
      </c>
      <c r="F682" s="7">
        <f>'Прил.№4 ведомств.'!G337</f>
        <v>96.1</v>
      </c>
      <c r="G682" s="7">
        <f>'Прил.№4 ведомств.'!I337</f>
        <v>96.1</v>
      </c>
      <c r="H682" s="7">
        <f>'Прил.№4 ведомств.'!J337</f>
        <v>650</v>
      </c>
      <c r="I682" s="7">
        <f>'Прил.№4 ведомств.'!K337</f>
        <v>800</v>
      </c>
      <c r="J682" s="7">
        <f>'Прил.№4 ведомств.'!L337</f>
        <v>900</v>
      </c>
      <c r="K682" s="7">
        <f>'Прил.№4 ведомств.'!M337</f>
        <v>145.1</v>
      </c>
      <c r="L682" s="7">
        <f>'Прил.№4 ведомств.'!N337</f>
        <v>0</v>
      </c>
      <c r="M682" s="7">
        <f t="shared" si="387"/>
        <v>0</v>
      </c>
    </row>
    <row r="683" spans="1:13" ht="31.5" customHeight="1" hidden="1">
      <c r="A683" s="31" t="s">
        <v>330</v>
      </c>
      <c r="B683" s="42" t="s">
        <v>351</v>
      </c>
      <c r="C683" s="42" t="s">
        <v>170</v>
      </c>
      <c r="D683" s="42" t="s">
        <v>677</v>
      </c>
      <c r="E683" s="42"/>
      <c r="F683" s="7">
        <f>F684</f>
        <v>0</v>
      </c>
      <c r="G683" s="7">
        <f aca="true" t="shared" si="410" ref="G683:L684">G684</f>
        <v>0</v>
      </c>
      <c r="H683" s="7">
        <f t="shared" si="410"/>
        <v>0</v>
      </c>
      <c r="I683" s="7">
        <f t="shared" si="410"/>
        <v>0</v>
      </c>
      <c r="J683" s="7">
        <f t="shared" si="410"/>
        <v>0</v>
      </c>
      <c r="K683" s="7">
        <f t="shared" si="410"/>
        <v>0</v>
      </c>
      <c r="L683" s="7">
        <f t="shared" si="410"/>
        <v>0</v>
      </c>
      <c r="M683" s="7" t="e">
        <f t="shared" si="387"/>
        <v>#DIV/0!</v>
      </c>
    </row>
    <row r="684" spans="1:13" ht="47.25" customHeight="1" hidden="1">
      <c r="A684" s="31" t="s">
        <v>324</v>
      </c>
      <c r="B684" s="42" t="s">
        <v>351</v>
      </c>
      <c r="C684" s="42" t="s">
        <v>170</v>
      </c>
      <c r="D684" s="42" t="s">
        <v>677</v>
      </c>
      <c r="E684" s="42" t="s">
        <v>325</v>
      </c>
      <c r="F684" s="7">
        <f>F685</f>
        <v>0</v>
      </c>
      <c r="G684" s="7">
        <f t="shared" si="410"/>
        <v>0</v>
      </c>
      <c r="H684" s="7">
        <f t="shared" si="410"/>
        <v>0</v>
      </c>
      <c r="I684" s="7">
        <f t="shared" si="410"/>
        <v>0</v>
      </c>
      <c r="J684" s="7">
        <f t="shared" si="410"/>
        <v>0</v>
      </c>
      <c r="K684" s="7">
        <f t="shared" si="410"/>
        <v>0</v>
      </c>
      <c r="L684" s="7">
        <f t="shared" si="410"/>
        <v>0</v>
      </c>
      <c r="M684" s="7" t="e">
        <f t="shared" si="387"/>
        <v>#DIV/0!</v>
      </c>
    </row>
    <row r="685" spans="1:13" ht="15.75" customHeight="1" hidden="1">
      <c r="A685" s="31" t="s">
        <v>326</v>
      </c>
      <c r="B685" s="42" t="s">
        <v>351</v>
      </c>
      <c r="C685" s="42" t="s">
        <v>170</v>
      </c>
      <c r="D685" s="42" t="s">
        <v>677</v>
      </c>
      <c r="E685" s="42" t="s">
        <v>327</v>
      </c>
      <c r="F685" s="7"/>
      <c r="G685" s="7"/>
      <c r="H685" s="7"/>
      <c r="I685" s="7"/>
      <c r="J685" s="7"/>
      <c r="K685" s="7"/>
      <c r="L685" s="7"/>
      <c r="M685" s="7" t="e">
        <f t="shared" si="387"/>
        <v>#DIV/0!</v>
      </c>
    </row>
    <row r="686" spans="1:13" ht="31.5" customHeight="1" hidden="1">
      <c r="A686" s="31" t="s">
        <v>332</v>
      </c>
      <c r="B686" s="42" t="s">
        <v>351</v>
      </c>
      <c r="C686" s="42" t="s">
        <v>170</v>
      </c>
      <c r="D686" s="42" t="s">
        <v>678</v>
      </c>
      <c r="E686" s="42"/>
      <c r="F686" s="7">
        <f>F687</f>
        <v>0</v>
      </c>
      <c r="G686" s="7">
        <f aca="true" t="shared" si="411" ref="G686:L687">G687</f>
        <v>0</v>
      </c>
      <c r="H686" s="7">
        <f t="shared" si="411"/>
        <v>0</v>
      </c>
      <c r="I686" s="7">
        <f t="shared" si="411"/>
        <v>0</v>
      </c>
      <c r="J686" s="7">
        <f t="shared" si="411"/>
        <v>0</v>
      </c>
      <c r="K686" s="7">
        <f t="shared" si="411"/>
        <v>0</v>
      </c>
      <c r="L686" s="7">
        <f t="shared" si="411"/>
        <v>0</v>
      </c>
      <c r="M686" s="7" t="e">
        <f t="shared" si="387"/>
        <v>#DIV/0!</v>
      </c>
    </row>
    <row r="687" spans="1:13" ht="47.25" customHeight="1" hidden="1">
      <c r="A687" s="31" t="s">
        <v>324</v>
      </c>
      <c r="B687" s="42" t="s">
        <v>351</v>
      </c>
      <c r="C687" s="42" t="s">
        <v>170</v>
      </c>
      <c r="D687" s="42" t="s">
        <v>678</v>
      </c>
      <c r="E687" s="42" t="s">
        <v>325</v>
      </c>
      <c r="F687" s="7">
        <f>F688</f>
        <v>0</v>
      </c>
      <c r="G687" s="7">
        <f t="shared" si="411"/>
        <v>0</v>
      </c>
      <c r="H687" s="7">
        <f t="shared" si="411"/>
        <v>0</v>
      </c>
      <c r="I687" s="7">
        <f t="shared" si="411"/>
        <v>0</v>
      </c>
      <c r="J687" s="7">
        <f t="shared" si="411"/>
        <v>0</v>
      </c>
      <c r="K687" s="7">
        <f t="shared" si="411"/>
        <v>0</v>
      </c>
      <c r="L687" s="7">
        <f t="shared" si="411"/>
        <v>0</v>
      </c>
      <c r="M687" s="7" t="e">
        <f t="shared" si="387"/>
        <v>#DIV/0!</v>
      </c>
    </row>
    <row r="688" spans="1:13" ht="15.75" customHeight="1" hidden="1">
      <c r="A688" s="31" t="s">
        <v>326</v>
      </c>
      <c r="B688" s="42" t="s">
        <v>351</v>
      </c>
      <c r="C688" s="42" t="s">
        <v>170</v>
      </c>
      <c r="D688" s="42" t="s">
        <v>678</v>
      </c>
      <c r="E688" s="42" t="s">
        <v>327</v>
      </c>
      <c r="F688" s="7"/>
      <c r="G688" s="7"/>
      <c r="H688" s="7"/>
      <c r="I688" s="7"/>
      <c r="J688" s="7"/>
      <c r="K688" s="7"/>
      <c r="L688" s="7"/>
      <c r="M688" s="7" t="e">
        <f t="shared" si="387"/>
        <v>#DIV/0!</v>
      </c>
    </row>
    <row r="689" spans="1:13" ht="31.5" customHeight="1" hidden="1">
      <c r="A689" s="31" t="s">
        <v>336</v>
      </c>
      <c r="B689" s="42" t="s">
        <v>351</v>
      </c>
      <c r="C689" s="42" t="s">
        <v>170</v>
      </c>
      <c r="D689" s="42" t="s">
        <v>679</v>
      </c>
      <c r="E689" s="42"/>
      <c r="F689" s="7">
        <f>F690</f>
        <v>0</v>
      </c>
      <c r="G689" s="7">
        <f aca="true" t="shared" si="412" ref="G689:L690">G690</f>
        <v>0</v>
      </c>
      <c r="H689" s="7">
        <f t="shared" si="412"/>
        <v>0</v>
      </c>
      <c r="I689" s="7">
        <f t="shared" si="412"/>
        <v>0</v>
      </c>
      <c r="J689" s="7">
        <f t="shared" si="412"/>
        <v>0</v>
      </c>
      <c r="K689" s="7">
        <f t="shared" si="412"/>
        <v>0</v>
      </c>
      <c r="L689" s="7">
        <f t="shared" si="412"/>
        <v>0</v>
      </c>
      <c r="M689" s="7" t="e">
        <f t="shared" si="387"/>
        <v>#DIV/0!</v>
      </c>
    </row>
    <row r="690" spans="1:13" ht="47.25" customHeight="1" hidden="1">
      <c r="A690" s="31" t="s">
        <v>324</v>
      </c>
      <c r="B690" s="42" t="s">
        <v>351</v>
      </c>
      <c r="C690" s="42" t="s">
        <v>170</v>
      </c>
      <c r="D690" s="42" t="s">
        <v>679</v>
      </c>
      <c r="E690" s="42" t="s">
        <v>325</v>
      </c>
      <c r="F690" s="7">
        <f>F691</f>
        <v>0</v>
      </c>
      <c r="G690" s="7">
        <f t="shared" si="412"/>
        <v>0</v>
      </c>
      <c r="H690" s="7">
        <f t="shared" si="412"/>
        <v>0</v>
      </c>
      <c r="I690" s="7">
        <f t="shared" si="412"/>
        <v>0</v>
      </c>
      <c r="J690" s="7">
        <f t="shared" si="412"/>
        <v>0</v>
      </c>
      <c r="K690" s="7">
        <f t="shared" si="412"/>
        <v>0</v>
      </c>
      <c r="L690" s="7">
        <f t="shared" si="412"/>
        <v>0</v>
      </c>
      <c r="M690" s="7" t="e">
        <f t="shared" si="387"/>
        <v>#DIV/0!</v>
      </c>
    </row>
    <row r="691" spans="1:13" ht="15.75" customHeight="1" hidden="1">
      <c r="A691" s="31" t="s">
        <v>326</v>
      </c>
      <c r="B691" s="42" t="s">
        <v>351</v>
      </c>
      <c r="C691" s="42" t="s">
        <v>170</v>
      </c>
      <c r="D691" s="42" t="s">
        <v>679</v>
      </c>
      <c r="E691" s="42" t="s">
        <v>327</v>
      </c>
      <c r="F691" s="7"/>
      <c r="G691" s="7"/>
      <c r="H691" s="7"/>
      <c r="I691" s="7"/>
      <c r="J691" s="7"/>
      <c r="K691" s="7"/>
      <c r="L691" s="7"/>
      <c r="M691" s="7" t="e">
        <f t="shared" si="387"/>
        <v>#DIV/0!</v>
      </c>
    </row>
    <row r="692" spans="1:13" ht="31.5" hidden="1">
      <c r="A692" s="31" t="s">
        <v>680</v>
      </c>
      <c r="B692" s="42" t="s">
        <v>351</v>
      </c>
      <c r="C692" s="42" t="s">
        <v>170</v>
      </c>
      <c r="D692" s="42" t="s">
        <v>358</v>
      </c>
      <c r="E692" s="42"/>
      <c r="F692" s="7">
        <f>F693</f>
        <v>142.1</v>
      </c>
      <c r="G692" s="7">
        <f aca="true" t="shared" si="413" ref="G692:L693">G693</f>
        <v>142.1</v>
      </c>
      <c r="H692" s="7">
        <f t="shared" si="413"/>
        <v>2000</v>
      </c>
      <c r="I692" s="7">
        <f t="shared" si="413"/>
        <v>1500</v>
      </c>
      <c r="J692" s="7">
        <f t="shared" si="413"/>
        <v>2000</v>
      </c>
      <c r="K692" s="7">
        <f t="shared" si="413"/>
        <v>0</v>
      </c>
      <c r="L692" s="7">
        <f t="shared" si="413"/>
        <v>0</v>
      </c>
      <c r="M692" s="7" t="e">
        <f t="shared" si="387"/>
        <v>#DIV/0!</v>
      </c>
    </row>
    <row r="693" spans="1:13" ht="47.25" hidden="1">
      <c r="A693" s="31" t="s">
        <v>324</v>
      </c>
      <c r="B693" s="42" t="s">
        <v>351</v>
      </c>
      <c r="C693" s="42" t="s">
        <v>170</v>
      </c>
      <c r="D693" s="42" t="s">
        <v>358</v>
      </c>
      <c r="E693" s="42" t="s">
        <v>325</v>
      </c>
      <c r="F693" s="7">
        <f>F694</f>
        <v>142.1</v>
      </c>
      <c r="G693" s="7">
        <f t="shared" si="413"/>
        <v>142.1</v>
      </c>
      <c r="H693" s="7">
        <f t="shared" si="413"/>
        <v>2000</v>
      </c>
      <c r="I693" s="7">
        <f t="shared" si="413"/>
        <v>1500</v>
      </c>
      <c r="J693" s="7">
        <f t="shared" si="413"/>
        <v>2000</v>
      </c>
      <c r="K693" s="7">
        <f t="shared" si="413"/>
        <v>0</v>
      </c>
      <c r="L693" s="7">
        <f t="shared" si="413"/>
        <v>0</v>
      </c>
      <c r="M693" s="7" t="e">
        <f t="shared" si="387"/>
        <v>#DIV/0!</v>
      </c>
    </row>
    <row r="694" spans="1:13" ht="15.75" hidden="1">
      <c r="A694" s="31" t="s">
        <v>326</v>
      </c>
      <c r="B694" s="42" t="s">
        <v>351</v>
      </c>
      <c r="C694" s="42" t="s">
        <v>170</v>
      </c>
      <c r="D694" s="42" t="s">
        <v>358</v>
      </c>
      <c r="E694" s="42" t="s">
        <v>327</v>
      </c>
      <c r="F694" s="7">
        <f>'Прил.№4 ведомств.'!G340</f>
        <v>142.1</v>
      </c>
      <c r="G694" s="7">
        <f>'Прил.№4 ведомств.'!I340</f>
        <v>142.1</v>
      </c>
      <c r="H694" s="7">
        <f>'Прил.№4 ведомств.'!J340</f>
        <v>2000</v>
      </c>
      <c r="I694" s="7">
        <f>'Прил.№4 ведомств.'!K340</f>
        <v>1500</v>
      </c>
      <c r="J694" s="7">
        <f>'Прил.№4 ведомств.'!L340</f>
        <v>2000</v>
      </c>
      <c r="K694" s="7">
        <f>'Прил.№4 ведомств.'!M340</f>
        <v>0</v>
      </c>
      <c r="L694" s="7">
        <f>'Прил.№4 ведомств.'!N340</f>
        <v>0</v>
      </c>
      <c r="M694" s="7" t="e">
        <f t="shared" si="387"/>
        <v>#DIV/0!</v>
      </c>
    </row>
    <row r="695" spans="1:13" ht="15.75" hidden="1">
      <c r="A695" s="31" t="s">
        <v>359</v>
      </c>
      <c r="B695" s="42" t="s">
        <v>351</v>
      </c>
      <c r="C695" s="42" t="s">
        <v>170</v>
      </c>
      <c r="D695" s="42" t="s">
        <v>360</v>
      </c>
      <c r="E695" s="42"/>
      <c r="F695" s="7">
        <f>F696</f>
        <v>1529.5</v>
      </c>
      <c r="G695" s="7">
        <f aca="true" t="shared" si="414" ref="G695:L696">G696</f>
        <v>1529.5</v>
      </c>
      <c r="H695" s="7">
        <f t="shared" si="414"/>
        <v>0</v>
      </c>
      <c r="I695" s="7">
        <f t="shared" si="414"/>
        <v>0</v>
      </c>
      <c r="J695" s="7">
        <f t="shared" si="414"/>
        <v>0</v>
      </c>
      <c r="K695" s="7">
        <f t="shared" si="414"/>
        <v>0</v>
      </c>
      <c r="L695" s="7">
        <f t="shared" si="414"/>
        <v>0</v>
      </c>
      <c r="M695" s="7" t="e">
        <f t="shared" si="387"/>
        <v>#DIV/0!</v>
      </c>
    </row>
    <row r="696" spans="1:13" ht="47.25" hidden="1">
      <c r="A696" s="31" t="s">
        <v>324</v>
      </c>
      <c r="B696" s="42" t="s">
        <v>351</v>
      </c>
      <c r="C696" s="42" t="s">
        <v>170</v>
      </c>
      <c r="D696" s="42" t="s">
        <v>360</v>
      </c>
      <c r="E696" s="42" t="s">
        <v>325</v>
      </c>
      <c r="F696" s="7">
        <f>F697</f>
        <v>1529.5</v>
      </c>
      <c r="G696" s="7">
        <f t="shared" si="414"/>
        <v>1529.5</v>
      </c>
      <c r="H696" s="7">
        <f t="shared" si="414"/>
        <v>0</v>
      </c>
      <c r="I696" s="7">
        <f t="shared" si="414"/>
        <v>0</v>
      </c>
      <c r="J696" s="7">
        <f t="shared" si="414"/>
        <v>0</v>
      </c>
      <c r="K696" s="7">
        <f t="shared" si="414"/>
        <v>0</v>
      </c>
      <c r="L696" s="7">
        <f t="shared" si="414"/>
        <v>0</v>
      </c>
      <c r="M696" s="7" t="e">
        <f t="shared" si="387"/>
        <v>#DIV/0!</v>
      </c>
    </row>
    <row r="697" spans="1:13" ht="15.75" hidden="1">
      <c r="A697" s="31" t="s">
        <v>326</v>
      </c>
      <c r="B697" s="42" t="s">
        <v>351</v>
      </c>
      <c r="C697" s="42" t="s">
        <v>170</v>
      </c>
      <c r="D697" s="42" t="s">
        <v>360</v>
      </c>
      <c r="E697" s="42" t="s">
        <v>327</v>
      </c>
      <c r="F697" s="7">
        <f>'Прил.№4 ведомств.'!G343</f>
        <v>1529.5</v>
      </c>
      <c r="G697" s="7">
        <f>'Прил.№4 ведомств.'!I343</f>
        <v>1529.5</v>
      </c>
      <c r="H697" s="7">
        <f>'Прил.№4 ведомств.'!J343</f>
        <v>0</v>
      </c>
      <c r="I697" s="7">
        <f>'Прил.№4 ведомств.'!K343</f>
        <v>0</v>
      </c>
      <c r="J697" s="7">
        <f>'Прил.№4 ведомств.'!L343</f>
        <v>0</v>
      </c>
      <c r="K697" s="7">
        <f>'Прил.№4 ведомств.'!M343</f>
        <v>0</v>
      </c>
      <c r="L697" s="7">
        <f>'Прил.№4 ведомств.'!N343</f>
        <v>0</v>
      </c>
      <c r="M697" s="7" t="e">
        <f t="shared" si="387"/>
        <v>#DIV/0!</v>
      </c>
    </row>
    <row r="698" spans="1:13" ht="31.5" hidden="1">
      <c r="A698" s="26" t="s">
        <v>336</v>
      </c>
      <c r="B698" s="21" t="s">
        <v>351</v>
      </c>
      <c r="C698" s="21" t="s">
        <v>170</v>
      </c>
      <c r="D698" s="21" t="s">
        <v>337</v>
      </c>
      <c r="E698" s="21"/>
      <c r="F698" s="7">
        <f>F699</f>
        <v>0</v>
      </c>
      <c r="G698" s="7">
        <f aca="true" t="shared" si="415" ref="G698:L699">G699</f>
        <v>0</v>
      </c>
      <c r="H698" s="7">
        <f t="shared" si="415"/>
        <v>275</v>
      </c>
      <c r="I698" s="7">
        <f t="shared" si="415"/>
        <v>275</v>
      </c>
      <c r="J698" s="7">
        <f t="shared" si="415"/>
        <v>275</v>
      </c>
      <c r="K698" s="7">
        <f t="shared" si="415"/>
        <v>0</v>
      </c>
      <c r="L698" s="7">
        <f t="shared" si="415"/>
        <v>0</v>
      </c>
      <c r="M698" s="7" t="e">
        <f t="shared" si="387"/>
        <v>#DIV/0!</v>
      </c>
    </row>
    <row r="699" spans="1:13" ht="47.25" hidden="1">
      <c r="A699" s="26" t="s">
        <v>324</v>
      </c>
      <c r="B699" s="21" t="s">
        <v>351</v>
      </c>
      <c r="C699" s="21" t="s">
        <v>170</v>
      </c>
      <c r="D699" s="21" t="s">
        <v>337</v>
      </c>
      <c r="E699" s="21" t="s">
        <v>325</v>
      </c>
      <c r="F699" s="7">
        <f>F700</f>
        <v>0</v>
      </c>
      <c r="G699" s="7">
        <f t="shared" si="415"/>
        <v>0</v>
      </c>
      <c r="H699" s="7">
        <f t="shared" si="415"/>
        <v>275</v>
      </c>
      <c r="I699" s="7">
        <f t="shared" si="415"/>
        <v>275</v>
      </c>
      <c r="J699" s="7">
        <f t="shared" si="415"/>
        <v>275</v>
      </c>
      <c r="K699" s="7">
        <f t="shared" si="415"/>
        <v>0</v>
      </c>
      <c r="L699" s="7">
        <f t="shared" si="415"/>
        <v>0</v>
      </c>
      <c r="M699" s="7" t="e">
        <f t="shared" si="387"/>
        <v>#DIV/0!</v>
      </c>
    </row>
    <row r="700" spans="1:13" ht="15.75" hidden="1">
      <c r="A700" s="26" t="s">
        <v>326</v>
      </c>
      <c r="B700" s="21" t="s">
        <v>351</v>
      </c>
      <c r="C700" s="21" t="s">
        <v>170</v>
      </c>
      <c r="D700" s="21" t="s">
        <v>337</v>
      </c>
      <c r="E700" s="21" t="s">
        <v>327</v>
      </c>
      <c r="F700" s="7">
        <f>'Прил.№4 ведомств.'!G346</f>
        <v>0</v>
      </c>
      <c r="G700" s="7">
        <f>'Прил.№4 ведомств.'!I346</f>
        <v>0</v>
      </c>
      <c r="H700" s="7">
        <f>'Прил.№4 ведомств.'!J346</f>
        <v>275</v>
      </c>
      <c r="I700" s="7">
        <f>'Прил.№4 ведомств.'!K346</f>
        <v>275</v>
      </c>
      <c r="J700" s="7">
        <f>'Прил.№4 ведомств.'!L346</f>
        <v>275</v>
      </c>
      <c r="K700" s="7">
        <f>'Прил.№4 ведомств.'!M346</f>
        <v>0</v>
      </c>
      <c r="L700" s="7">
        <f>'Прил.№4 ведомств.'!N346</f>
        <v>0</v>
      </c>
      <c r="M700" s="7" t="e">
        <f t="shared" si="387"/>
        <v>#DIV/0!</v>
      </c>
    </row>
    <row r="701" spans="1:13" ht="31.5" hidden="1">
      <c r="A701" s="37" t="s">
        <v>339</v>
      </c>
      <c r="B701" s="21" t="s">
        <v>351</v>
      </c>
      <c r="C701" s="21" t="s">
        <v>170</v>
      </c>
      <c r="D701" s="21" t="s">
        <v>361</v>
      </c>
      <c r="E701" s="21"/>
      <c r="F701" s="7">
        <f>F702</f>
        <v>0</v>
      </c>
      <c r="G701" s="7">
        <f aca="true" t="shared" si="416" ref="G701:L702">G702</f>
        <v>0</v>
      </c>
      <c r="H701" s="7">
        <f t="shared" si="416"/>
        <v>0</v>
      </c>
      <c r="I701" s="7">
        <f t="shared" si="416"/>
        <v>600</v>
      </c>
      <c r="J701" s="7">
        <f t="shared" si="416"/>
        <v>0</v>
      </c>
      <c r="K701" s="7">
        <f t="shared" si="416"/>
        <v>0</v>
      </c>
      <c r="L701" s="7">
        <f t="shared" si="416"/>
        <v>0</v>
      </c>
      <c r="M701" s="7" t="e">
        <f t="shared" si="387"/>
        <v>#DIV/0!</v>
      </c>
    </row>
    <row r="702" spans="1:13" ht="47.25" hidden="1">
      <c r="A702" s="26" t="s">
        <v>324</v>
      </c>
      <c r="B702" s="21" t="s">
        <v>351</v>
      </c>
      <c r="C702" s="21" t="s">
        <v>170</v>
      </c>
      <c r="D702" s="21" t="s">
        <v>361</v>
      </c>
      <c r="E702" s="21" t="s">
        <v>325</v>
      </c>
      <c r="F702" s="7">
        <f>F703</f>
        <v>0</v>
      </c>
      <c r="G702" s="7">
        <f t="shared" si="416"/>
        <v>0</v>
      </c>
      <c r="H702" s="7">
        <f t="shared" si="416"/>
        <v>0</v>
      </c>
      <c r="I702" s="7">
        <f t="shared" si="416"/>
        <v>600</v>
      </c>
      <c r="J702" s="7">
        <f t="shared" si="416"/>
        <v>0</v>
      </c>
      <c r="K702" s="7">
        <f t="shared" si="416"/>
        <v>0</v>
      </c>
      <c r="L702" s="7">
        <f t="shared" si="416"/>
        <v>0</v>
      </c>
      <c r="M702" s="7" t="e">
        <f t="shared" si="387"/>
        <v>#DIV/0!</v>
      </c>
    </row>
    <row r="703" spans="1:13" ht="15.75" hidden="1">
      <c r="A703" s="26" t="s">
        <v>326</v>
      </c>
      <c r="B703" s="21" t="s">
        <v>351</v>
      </c>
      <c r="C703" s="21" t="s">
        <v>170</v>
      </c>
      <c r="D703" s="21" t="s">
        <v>361</v>
      </c>
      <c r="E703" s="21" t="s">
        <v>327</v>
      </c>
      <c r="F703" s="7">
        <f>'Прил.№4 ведомств.'!G349</f>
        <v>0</v>
      </c>
      <c r="G703" s="7">
        <f>'Прил.№4 ведомств.'!I349</f>
        <v>0</v>
      </c>
      <c r="H703" s="7">
        <f>'Прил.№4 ведомств.'!J349</f>
        <v>0</v>
      </c>
      <c r="I703" s="7">
        <f>'Прил.№4 ведомств.'!K349</f>
        <v>600</v>
      </c>
      <c r="J703" s="7">
        <f>'Прил.№4 ведомств.'!L349</f>
        <v>0</v>
      </c>
      <c r="K703" s="7">
        <f>'Прил.№4 ведомств.'!M349</f>
        <v>0</v>
      </c>
      <c r="L703" s="7">
        <f>'Прил.№4 ведомств.'!N349</f>
        <v>0</v>
      </c>
      <c r="M703" s="7" t="e">
        <f t="shared" si="387"/>
        <v>#DIV/0!</v>
      </c>
    </row>
    <row r="704" spans="1:13" ht="31.5">
      <c r="A704" s="208" t="s">
        <v>865</v>
      </c>
      <c r="B704" s="21" t="s">
        <v>351</v>
      </c>
      <c r="C704" s="21" t="s">
        <v>170</v>
      </c>
      <c r="D704" s="21" t="s">
        <v>870</v>
      </c>
      <c r="E704" s="21"/>
      <c r="F704" s="7">
        <f>F705</f>
        <v>0</v>
      </c>
      <c r="G704" s="7">
        <f aca="true" t="shared" si="417" ref="G704:L705">G705</f>
        <v>0</v>
      </c>
      <c r="H704" s="7">
        <f t="shared" si="417"/>
        <v>753.1</v>
      </c>
      <c r="I704" s="7">
        <f t="shared" si="417"/>
        <v>753.1</v>
      </c>
      <c r="J704" s="7">
        <f t="shared" si="417"/>
        <v>753.1</v>
      </c>
      <c r="K704" s="7">
        <f t="shared" si="417"/>
        <v>753.1</v>
      </c>
      <c r="L704" s="7">
        <f t="shared" si="417"/>
        <v>753.1</v>
      </c>
      <c r="M704" s="7">
        <f t="shared" si="387"/>
        <v>100</v>
      </c>
    </row>
    <row r="705" spans="1:13" ht="47.25">
      <c r="A705" s="109" t="s">
        <v>324</v>
      </c>
      <c r="B705" s="21" t="s">
        <v>351</v>
      </c>
      <c r="C705" s="21" t="s">
        <v>170</v>
      </c>
      <c r="D705" s="21" t="s">
        <v>870</v>
      </c>
      <c r="E705" s="21" t="s">
        <v>325</v>
      </c>
      <c r="F705" s="7">
        <f>F706</f>
        <v>0</v>
      </c>
      <c r="G705" s="7">
        <f t="shared" si="417"/>
        <v>0</v>
      </c>
      <c r="H705" s="7">
        <f t="shared" si="417"/>
        <v>753.1</v>
      </c>
      <c r="I705" s="7">
        <f t="shared" si="417"/>
        <v>753.1</v>
      </c>
      <c r="J705" s="7">
        <f t="shared" si="417"/>
        <v>753.1</v>
      </c>
      <c r="K705" s="7">
        <f t="shared" si="417"/>
        <v>753.1</v>
      </c>
      <c r="L705" s="7">
        <f t="shared" si="417"/>
        <v>753.1</v>
      </c>
      <c r="M705" s="7">
        <f t="shared" si="387"/>
        <v>100</v>
      </c>
    </row>
    <row r="706" spans="1:13" ht="15.75">
      <c r="A706" s="209" t="s">
        <v>326</v>
      </c>
      <c r="B706" s="21" t="s">
        <v>351</v>
      </c>
      <c r="C706" s="21" t="s">
        <v>170</v>
      </c>
      <c r="D706" s="21" t="s">
        <v>870</v>
      </c>
      <c r="E706" s="21" t="s">
        <v>327</v>
      </c>
      <c r="F706" s="7">
        <f>'Прил.№4 ведомств.'!G352</f>
        <v>0</v>
      </c>
      <c r="G706" s="7">
        <f>'Прил.№4 ведомств.'!I352</f>
        <v>0</v>
      </c>
      <c r="H706" s="7">
        <f>'Прил.№4 ведомств.'!J352</f>
        <v>753.1</v>
      </c>
      <c r="I706" s="7">
        <f>'Прил.№4 ведомств.'!K352</f>
        <v>753.1</v>
      </c>
      <c r="J706" s="7">
        <f>'Прил.№4 ведомств.'!L352</f>
        <v>753.1</v>
      </c>
      <c r="K706" s="7">
        <f>'Прил.№4 ведомств.'!M352</f>
        <v>753.1</v>
      </c>
      <c r="L706" s="7">
        <f>'Прил.№4 ведомств.'!N352</f>
        <v>753.1</v>
      </c>
      <c r="M706" s="7">
        <f t="shared" si="387"/>
        <v>100</v>
      </c>
    </row>
    <row r="707" spans="1:13" ht="31.5">
      <c r="A707" s="31" t="s">
        <v>364</v>
      </c>
      <c r="B707" s="42" t="s">
        <v>351</v>
      </c>
      <c r="C707" s="42" t="s">
        <v>170</v>
      </c>
      <c r="D707" s="42" t="s">
        <v>365</v>
      </c>
      <c r="E707" s="42"/>
      <c r="F707" s="7">
        <f>F708+F711+F716+F719+F722+F725+F727+F731+F737</f>
        <v>16660.600000000002</v>
      </c>
      <c r="G707" s="7">
        <f aca="true" t="shared" si="418" ref="G707:K707">G708+G711+G716+G719+G722+G725+G727+G731+G737</f>
        <v>16660.600000000002</v>
      </c>
      <c r="H707" s="7">
        <f t="shared" si="418"/>
        <v>20069.2</v>
      </c>
      <c r="I707" s="7">
        <f t="shared" si="418"/>
        <v>20340.2</v>
      </c>
      <c r="J707" s="7">
        <f t="shared" si="418"/>
        <v>20562.600000000002</v>
      </c>
      <c r="K707" s="7">
        <f t="shared" si="418"/>
        <v>17026.3</v>
      </c>
      <c r="L707" s="7">
        <f aca="true" t="shared" si="419" ref="L707">L708+L711+L716+L719+L722+L725+L727+L731+L737</f>
        <v>8514.4</v>
      </c>
      <c r="M707" s="7">
        <f t="shared" si="387"/>
        <v>50.007341583315224</v>
      </c>
    </row>
    <row r="708" spans="1:13" ht="31.5">
      <c r="A708" s="31" t="s">
        <v>355</v>
      </c>
      <c r="B708" s="42" t="s">
        <v>351</v>
      </c>
      <c r="C708" s="42" t="s">
        <v>170</v>
      </c>
      <c r="D708" s="42" t="s">
        <v>366</v>
      </c>
      <c r="E708" s="42"/>
      <c r="F708" s="7">
        <f>F709</f>
        <v>16655.2</v>
      </c>
      <c r="G708" s="7">
        <f aca="true" t="shared" si="420" ref="G708:L709">G709</f>
        <v>16655.2</v>
      </c>
      <c r="H708" s="7">
        <f t="shared" si="420"/>
        <v>19144</v>
      </c>
      <c r="I708" s="7">
        <f t="shared" si="420"/>
        <v>19415</v>
      </c>
      <c r="J708" s="7">
        <f t="shared" si="420"/>
        <v>19637.4</v>
      </c>
      <c r="K708" s="7">
        <f t="shared" si="420"/>
        <v>16370.599999999999</v>
      </c>
      <c r="L708" s="7">
        <f t="shared" si="420"/>
        <v>7864.2</v>
      </c>
      <c r="M708" s="7">
        <f t="shared" si="387"/>
        <v>48.0385569252196</v>
      </c>
    </row>
    <row r="709" spans="1:13" ht="47.25">
      <c r="A709" s="31" t="s">
        <v>324</v>
      </c>
      <c r="B709" s="42" t="s">
        <v>351</v>
      </c>
      <c r="C709" s="42" t="s">
        <v>170</v>
      </c>
      <c r="D709" s="42" t="s">
        <v>366</v>
      </c>
      <c r="E709" s="42" t="s">
        <v>325</v>
      </c>
      <c r="F709" s="7">
        <f>F710</f>
        <v>16655.2</v>
      </c>
      <c r="G709" s="7">
        <f t="shared" si="420"/>
        <v>16655.2</v>
      </c>
      <c r="H709" s="7">
        <f t="shared" si="420"/>
        <v>19144</v>
      </c>
      <c r="I709" s="7">
        <f t="shared" si="420"/>
        <v>19415</v>
      </c>
      <c r="J709" s="7">
        <f t="shared" si="420"/>
        <v>19637.4</v>
      </c>
      <c r="K709" s="7">
        <f t="shared" si="420"/>
        <v>16370.599999999999</v>
      </c>
      <c r="L709" s="7">
        <f t="shared" si="420"/>
        <v>7864.2</v>
      </c>
      <c r="M709" s="7">
        <f t="shared" si="387"/>
        <v>48.0385569252196</v>
      </c>
    </row>
    <row r="710" spans="1:13" ht="15.75">
      <c r="A710" s="31" t="s">
        <v>326</v>
      </c>
      <c r="B710" s="42" t="s">
        <v>351</v>
      </c>
      <c r="C710" s="42" t="s">
        <v>170</v>
      </c>
      <c r="D710" s="42" t="s">
        <v>366</v>
      </c>
      <c r="E710" s="42" t="s">
        <v>327</v>
      </c>
      <c r="F710" s="7">
        <f>'Прил.№4 ведомств.'!G363</f>
        <v>16655.2</v>
      </c>
      <c r="G710" s="7">
        <f>'Прил.№4 ведомств.'!I363</f>
        <v>16655.2</v>
      </c>
      <c r="H710" s="7">
        <f>'Прил.№4 ведомств.'!J363</f>
        <v>19144</v>
      </c>
      <c r="I710" s="7">
        <f>'Прил.№4 ведомств.'!K363</f>
        <v>19415</v>
      </c>
      <c r="J710" s="7">
        <f>'Прил.№4 ведомств.'!L363</f>
        <v>19637.4</v>
      </c>
      <c r="K710" s="7">
        <f>'Прил.№4 ведомств.'!M363</f>
        <v>16370.599999999999</v>
      </c>
      <c r="L710" s="7">
        <f>'Прил.№4 ведомств.'!N363</f>
        <v>7864.2</v>
      </c>
      <c r="M710" s="7">
        <f t="shared" si="387"/>
        <v>48.0385569252196</v>
      </c>
    </row>
    <row r="711" spans="1:13" ht="26.25" customHeight="1">
      <c r="A711" s="31" t="s">
        <v>367</v>
      </c>
      <c r="B711" s="42" t="s">
        <v>351</v>
      </c>
      <c r="C711" s="42" t="s">
        <v>170</v>
      </c>
      <c r="D711" s="42" t="s">
        <v>681</v>
      </c>
      <c r="E711" s="42"/>
      <c r="F711" s="7">
        <f>F712+F714</f>
        <v>5</v>
      </c>
      <c r="G711" s="7">
        <f aca="true" t="shared" si="421" ref="G711:K711">G712+G714</f>
        <v>5</v>
      </c>
      <c r="H711" s="7">
        <f t="shared" si="421"/>
        <v>0</v>
      </c>
      <c r="I711" s="7">
        <f t="shared" si="421"/>
        <v>0</v>
      </c>
      <c r="J711" s="7">
        <f t="shared" si="421"/>
        <v>0</v>
      </c>
      <c r="K711" s="7">
        <f t="shared" si="421"/>
        <v>5</v>
      </c>
      <c r="L711" s="7">
        <f aca="true" t="shared" si="422" ref="L711">L712+L714</f>
        <v>0</v>
      </c>
      <c r="M711" s="7">
        <f t="shared" si="387"/>
        <v>0</v>
      </c>
    </row>
    <row r="712" spans="1:13" ht="31.5" customHeight="1" hidden="1">
      <c r="A712" s="31" t="s">
        <v>183</v>
      </c>
      <c r="B712" s="42" t="s">
        <v>351</v>
      </c>
      <c r="C712" s="42" t="s">
        <v>170</v>
      </c>
      <c r="D712" s="42" t="s">
        <v>681</v>
      </c>
      <c r="E712" s="42" t="s">
        <v>184</v>
      </c>
      <c r="F712" s="7">
        <f>F713</f>
        <v>0</v>
      </c>
      <c r="G712" s="7">
        <f aca="true" t="shared" si="423" ref="G712:L712">G713</f>
        <v>0</v>
      </c>
      <c r="H712" s="7">
        <f t="shared" si="423"/>
        <v>0</v>
      </c>
      <c r="I712" s="7">
        <f t="shared" si="423"/>
        <v>0</v>
      </c>
      <c r="J712" s="7">
        <f t="shared" si="423"/>
        <v>0</v>
      </c>
      <c r="K712" s="7">
        <f t="shared" si="423"/>
        <v>0</v>
      </c>
      <c r="L712" s="7">
        <f t="shared" si="423"/>
        <v>0</v>
      </c>
      <c r="M712" s="7" t="e">
        <f t="shared" si="387"/>
        <v>#DIV/0!</v>
      </c>
    </row>
    <row r="713" spans="1:13" ht="47.25" customHeight="1" hidden="1">
      <c r="A713" s="31" t="s">
        <v>185</v>
      </c>
      <c r="B713" s="42" t="s">
        <v>351</v>
      </c>
      <c r="C713" s="42" t="s">
        <v>170</v>
      </c>
      <c r="D713" s="42" t="s">
        <v>681</v>
      </c>
      <c r="E713" s="42" t="s">
        <v>186</v>
      </c>
      <c r="F713" s="7"/>
      <c r="G713" s="7"/>
      <c r="H713" s="7"/>
      <c r="I713" s="7"/>
      <c r="J713" s="7"/>
      <c r="K713" s="7"/>
      <c r="L713" s="7"/>
      <c r="M713" s="7" t="e">
        <f t="shared" si="387"/>
        <v>#DIV/0!</v>
      </c>
    </row>
    <row r="714" spans="1:13" ht="47.25">
      <c r="A714" s="31" t="s">
        <v>324</v>
      </c>
      <c r="B714" s="42" t="s">
        <v>351</v>
      </c>
      <c r="C714" s="42" t="s">
        <v>170</v>
      </c>
      <c r="D714" s="42" t="s">
        <v>681</v>
      </c>
      <c r="E714" s="42" t="s">
        <v>325</v>
      </c>
      <c r="F714" s="7">
        <f>F715</f>
        <v>5</v>
      </c>
      <c r="G714" s="7">
        <f aca="true" t="shared" si="424" ref="G714:L714">G715</f>
        <v>5</v>
      </c>
      <c r="H714" s="7">
        <f t="shared" si="424"/>
        <v>0</v>
      </c>
      <c r="I714" s="7">
        <f t="shared" si="424"/>
        <v>0</v>
      </c>
      <c r="J714" s="7">
        <f t="shared" si="424"/>
        <v>0</v>
      </c>
      <c r="K714" s="7">
        <f t="shared" si="424"/>
        <v>5</v>
      </c>
      <c r="L714" s="7">
        <f t="shared" si="424"/>
        <v>0</v>
      </c>
      <c r="M714" s="7">
        <f t="shared" si="387"/>
        <v>0</v>
      </c>
    </row>
    <row r="715" spans="1:13" ht="15.75">
      <c r="A715" s="31" t="s">
        <v>326</v>
      </c>
      <c r="B715" s="42" t="s">
        <v>351</v>
      </c>
      <c r="C715" s="42" t="s">
        <v>170</v>
      </c>
      <c r="D715" s="42" t="s">
        <v>681</v>
      </c>
      <c r="E715" s="42" t="s">
        <v>327</v>
      </c>
      <c r="F715" s="7">
        <f>'Прил.№4 ведомств.'!G368</f>
        <v>5</v>
      </c>
      <c r="G715" s="7">
        <f>'Прил.№4 ведомств.'!I368</f>
        <v>5</v>
      </c>
      <c r="H715" s="7">
        <f>'Прил.№4 ведомств.'!J368</f>
        <v>0</v>
      </c>
      <c r="I715" s="7">
        <f>'Прил.№4 ведомств.'!K368</f>
        <v>0</v>
      </c>
      <c r="J715" s="7">
        <f>'Прил.№4 ведомств.'!L368</f>
        <v>0</v>
      </c>
      <c r="K715" s="7">
        <f>'Прил.№4 ведомств.'!M368</f>
        <v>5</v>
      </c>
      <c r="L715" s="7">
        <f>'Прил.№4 ведомств.'!N368</f>
        <v>0</v>
      </c>
      <c r="M715" s="7">
        <f t="shared" si="387"/>
        <v>0</v>
      </c>
    </row>
    <row r="716" spans="1:13" ht="31.5" customHeight="1" hidden="1">
      <c r="A716" s="31" t="s">
        <v>330</v>
      </c>
      <c r="B716" s="42" t="s">
        <v>351</v>
      </c>
      <c r="C716" s="42" t="s">
        <v>170</v>
      </c>
      <c r="D716" s="42" t="s">
        <v>682</v>
      </c>
      <c r="E716" s="42"/>
      <c r="F716" s="7">
        <f>F717</f>
        <v>0</v>
      </c>
      <c r="G716" s="7">
        <f aca="true" t="shared" si="425" ref="G716:L717">G717</f>
        <v>0</v>
      </c>
      <c r="H716" s="7">
        <f t="shared" si="425"/>
        <v>0</v>
      </c>
      <c r="I716" s="7">
        <f t="shared" si="425"/>
        <v>0</v>
      </c>
      <c r="J716" s="7">
        <f t="shared" si="425"/>
        <v>0</v>
      </c>
      <c r="K716" s="7">
        <f t="shared" si="425"/>
        <v>0</v>
      </c>
      <c r="L716" s="7">
        <f t="shared" si="425"/>
        <v>0</v>
      </c>
      <c r="M716" s="7" t="e">
        <f t="shared" si="387"/>
        <v>#DIV/0!</v>
      </c>
    </row>
    <row r="717" spans="1:13" ht="47.25" customHeight="1" hidden="1">
      <c r="A717" s="31" t="s">
        <v>324</v>
      </c>
      <c r="B717" s="42" t="s">
        <v>351</v>
      </c>
      <c r="C717" s="42" t="s">
        <v>170</v>
      </c>
      <c r="D717" s="42" t="s">
        <v>682</v>
      </c>
      <c r="E717" s="42" t="s">
        <v>325</v>
      </c>
      <c r="F717" s="7">
        <f>F718</f>
        <v>0</v>
      </c>
      <c r="G717" s="7">
        <f t="shared" si="425"/>
        <v>0</v>
      </c>
      <c r="H717" s="7">
        <f t="shared" si="425"/>
        <v>0</v>
      </c>
      <c r="I717" s="7">
        <f t="shared" si="425"/>
        <v>0</v>
      </c>
      <c r="J717" s="7">
        <f t="shared" si="425"/>
        <v>0</v>
      </c>
      <c r="K717" s="7">
        <f t="shared" si="425"/>
        <v>0</v>
      </c>
      <c r="L717" s="7">
        <f t="shared" si="425"/>
        <v>0</v>
      </c>
      <c r="M717" s="7" t="e">
        <f aca="true" t="shared" si="426" ref="M717:M780">L717/K717*100</f>
        <v>#DIV/0!</v>
      </c>
    </row>
    <row r="718" spans="1:13" ht="15.75" customHeight="1" hidden="1">
      <c r="A718" s="31" t="s">
        <v>326</v>
      </c>
      <c r="B718" s="42" t="s">
        <v>351</v>
      </c>
      <c r="C718" s="42" t="s">
        <v>170</v>
      </c>
      <c r="D718" s="42" t="s">
        <v>682</v>
      </c>
      <c r="E718" s="42" t="s">
        <v>327</v>
      </c>
      <c r="F718" s="7"/>
      <c r="G718" s="7"/>
      <c r="H718" s="7"/>
      <c r="I718" s="7"/>
      <c r="J718" s="7"/>
      <c r="K718" s="7"/>
      <c r="L718" s="7"/>
      <c r="M718" s="7" t="e">
        <f t="shared" si="426"/>
        <v>#DIV/0!</v>
      </c>
    </row>
    <row r="719" spans="1:13" ht="31.5" customHeight="1" hidden="1">
      <c r="A719" s="31" t="s">
        <v>332</v>
      </c>
      <c r="B719" s="42" t="s">
        <v>351</v>
      </c>
      <c r="C719" s="42" t="s">
        <v>170</v>
      </c>
      <c r="D719" s="42" t="s">
        <v>683</v>
      </c>
      <c r="E719" s="42"/>
      <c r="F719" s="7">
        <f>F720</f>
        <v>0</v>
      </c>
      <c r="G719" s="7">
        <f aca="true" t="shared" si="427" ref="G719:L720">G720</f>
        <v>0</v>
      </c>
      <c r="H719" s="7">
        <f t="shared" si="427"/>
        <v>0</v>
      </c>
      <c r="I719" s="7">
        <f t="shared" si="427"/>
        <v>0</v>
      </c>
      <c r="J719" s="7">
        <f t="shared" si="427"/>
        <v>0</v>
      </c>
      <c r="K719" s="7">
        <f t="shared" si="427"/>
        <v>0</v>
      </c>
      <c r="L719" s="7">
        <f t="shared" si="427"/>
        <v>0</v>
      </c>
      <c r="M719" s="7" t="e">
        <f t="shared" si="426"/>
        <v>#DIV/0!</v>
      </c>
    </row>
    <row r="720" spans="1:13" ht="47.25" customHeight="1" hidden="1">
      <c r="A720" s="31" t="s">
        <v>324</v>
      </c>
      <c r="B720" s="42" t="s">
        <v>351</v>
      </c>
      <c r="C720" s="42" t="s">
        <v>170</v>
      </c>
      <c r="D720" s="42" t="s">
        <v>683</v>
      </c>
      <c r="E720" s="42" t="s">
        <v>325</v>
      </c>
      <c r="F720" s="7">
        <f>F721</f>
        <v>0</v>
      </c>
      <c r="G720" s="7">
        <f t="shared" si="427"/>
        <v>0</v>
      </c>
      <c r="H720" s="7">
        <f t="shared" si="427"/>
        <v>0</v>
      </c>
      <c r="I720" s="7">
        <f t="shared" si="427"/>
        <v>0</v>
      </c>
      <c r="J720" s="7">
        <f t="shared" si="427"/>
        <v>0</v>
      </c>
      <c r="K720" s="7">
        <f t="shared" si="427"/>
        <v>0</v>
      </c>
      <c r="L720" s="7">
        <f t="shared" si="427"/>
        <v>0</v>
      </c>
      <c r="M720" s="7" t="e">
        <f t="shared" si="426"/>
        <v>#DIV/0!</v>
      </c>
    </row>
    <row r="721" spans="1:13" ht="15.75" customHeight="1" hidden="1">
      <c r="A721" s="31" t="s">
        <v>326</v>
      </c>
      <c r="B721" s="42" t="s">
        <v>351</v>
      </c>
      <c r="C721" s="42" t="s">
        <v>170</v>
      </c>
      <c r="D721" s="42" t="s">
        <v>683</v>
      </c>
      <c r="E721" s="42" t="s">
        <v>327</v>
      </c>
      <c r="F721" s="7"/>
      <c r="G721" s="7"/>
      <c r="H721" s="7"/>
      <c r="I721" s="7"/>
      <c r="J721" s="7"/>
      <c r="K721" s="7"/>
      <c r="L721" s="7"/>
      <c r="M721" s="7" t="e">
        <f t="shared" si="426"/>
        <v>#DIV/0!</v>
      </c>
    </row>
    <row r="722" spans="1:13" ht="31.5" customHeight="1" hidden="1">
      <c r="A722" s="31" t="s">
        <v>336</v>
      </c>
      <c r="B722" s="42" t="s">
        <v>351</v>
      </c>
      <c r="C722" s="42" t="s">
        <v>170</v>
      </c>
      <c r="D722" s="42" t="s">
        <v>684</v>
      </c>
      <c r="E722" s="42"/>
      <c r="F722" s="7">
        <f>F723</f>
        <v>0</v>
      </c>
      <c r="G722" s="7">
        <f aca="true" t="shared" si="428" ref="G722:L723">G723</f>
        <v>0</v>
      </c>
      <c r="H722" s="7">
        <f t="shared" si="428"/>
        <v>0</v>
      </c>
      <c r="I722" s="7">
        <f t="shared" si="428"/>
        <v>0</v>
      </c>
      <c r="J722" s="7">
        <f t="shared" si="428"/>
        <v>0</v>
      </c>
      <c r="K722" s="7">
        <f t="shared" si="428"/>
        <v>0</v>
      </c>
      <c r="L722" s="7">
        <f t="shared" si="428"/>
        <v>0</v>
      </c>
      <c r="M722" s="7" t="e">
        <f t="shared" si="426"/>
        <v>#DIV/0!</v>
      </c>
    </row>
    <row r="723" spans="1:13" ht="47.25" customHeight="1" hidden="1">
      <c r="A723" s="31" t="s">
        <v>324</v>
      </c>
      <c r="B723" s="42" t="s">
        <v>351</v>
      </c>
      <c r="C723" s="42" t="s">
        <v>170</v>
      </c>
      <c r="D723" s="42" t="s">
        <v>684</v>
      </c>
      <c r="E723" s="42" t="s">
        <v>325</v>
      </c>
      <c r="F723" s="7">
        <f>F724</f>
        <v>0</v>
      </c>
      <c r="G723" s="7">
        <f t="shared" si="428"/>
        <v>0</v>
      </c>
      <c r="H723" s="7">
        <f t="shared" si="428"/>
        <v>0</v>
      </c>
      <c r="I723" s="7">
        <f t="shared" si="428"/>
        <v>0</v>
      </c>
      <c r="J723" s="7">
        <f t="shared" si="428"/>
        <v>0</v>
      </c>
      <c r="K723" s="7">
        <f t="shared" si="428"/>
        <v>0</v>
      </c>
      <c r="L723" s="7">
        <f t="shared" si="428"/>
        <v>0</v>
      </c>
      <c r="M723" s="7" t="e">
        <f t="shared" si="426"/>
        <v>#DIV/0!</v>
      </c>
    </row>
    <row r="724" spans="1:13" ht="15.75" customHeight="1" hidden="1">
      <c r="A724" s="31" t="s">
        <v>326</v>
      </c>
      <c r="B724" s="42" t="s">
        <v>351</v>
      </c>
      <c r="C724" s="42" t="s">
        <v>170</v>
      </c>
      <c r="D724" s="42" t="s">
        <v>684</v>
      </c>
      <c r="E724" s="42" t="s">
        <v>327</v>
      </c>
      <c r="F724" s="7"/>
      <c r="G724" s="7"/>
      <c r="H724" s="7"/>
      <c r="I724" s="7"/>
      <c r="J724" s="7"/>
      <c r="K724" s="7"/>
      <c r="L724" s="7"/>
      <c r="M724" s="7" t="e">
        <f t="shared" si="426"/>
        <v>#DIV/0!</v>
      </c>
    </row>
    <row r="725" spans="1:13" ht="31.5" customHeight="1" hidden="1">
      <c r="A725" s="70" t="s">
        <v>373</v>
      </c>
      <c r="B725" s="42" t="s">
        <v>351</v>
      </c>
      <c r="C725" s="42" t="s">
        <v>170</v>
      </c>
      <c r="D725" s="42" t="s">
        <v>374</v>
      </c>
      <c r="E725" s="42"/>
      <c r="F725" s="7">
        <f>F726</f>
        <v>0</v>
      </c>
      <c r="G725" s="7">
        <f aca="true" t="shared" si="429" ref="G725:L725">G726</f>
        <v>0</v>
      </c>
      <c r="H725" s="7">
        <f t="shared" si="429"/>
        <v>0</v>
      </c>
      <c r="I725" s="7">
        <f t="shared" si="429"/>
        <v>0</v>
      </c>
      <c r="J725" s="7">
        <f t="shared" si="429"/>
        <v>0</v>
      </c>
      <c r="K725" s="7">
        <f t="shared" si="429"/>
        <v>0</v>
      </c>
      <c r="L725" s="7">
        <f t="shared" si="429"/>
        <v>0</v>
      </c>
      <c r="M725" s="7" t="e">
        <f t="shared" si="426"/>
        <v>#DIV/0!</v>
      </c>
    </row>
    <row r="726" spans="1:13" ht="47.25" customHeight="1" hidden="1">
      <c r="A726" s="31" t="s">
        <v>324</v>
      </c>
      <c r="B726" s="42" t="s">
        <v>351</v>
      </c>
      <c r="C726" s="42" t="s">
        <v>170</v>
      </c>
      <c r="D726" s="42" t="s">
        <v>374</v>
      </c>
      <c r="E726" s="42" t="s">
        <v>325</v>
      </c>
      <c r="F726" s="7">
        <f>F730</f>
        <v>0</v>
      </c>
      <c r="G726" s="7">
        <f aca="true" t="shared" si="430" ref="G726:K726">G730</f>
        <v>0</v>
      </c>
      <c r="H726" s="7">
        <f t="shared" si="430"/>
        <v>0</v>
      </c>
      <c r="I726" s="7">
        <f t="shared" si="430"/>
        <v>0</v>
      </c>
      <c r="J726" s="7">
        <f t="shared" si="430"/>
        <v>0</v>
      </c>
      <c r="K726" s="7">
        <f t="shared" si="430"/>
        <v>0</v>
      </c>
      <c r="L726" s="7">
        <f aca="true" t="shared" si="431" ref="L726">L730</f>
        <v>0</v>
      </c>
      <c r="M726" s="7" t="e">
        <f t="shared" si="426"/>
        <v>#DIV/0!</v>
      </c>
    </row>
    <row r="727" spans="1:13" ht="15.75">
      <c r="A727" s="26" t="s">
        <v>766</v>
      </c>
      <c r="B727" s="42" t="s">
        <v>351</v>
      </c>
      <c r="C727" s="42" t="s">
        <v>170</v>
      </c>
      <c r="D727" s="21" t="s">
        <v>767</v>
      </c>
      <c r="E727" s="42"/>
      <c r="F727" s="7">
        <f>F728</f>
        <v>0.4</v>
      </c>
      <c r="G727" s="7">
        <f aca="true" t="shared" si="432" ref="G727:L728">G728</f>
        <v>0.4</v>
      </c>
      <c r="H727" s="7">
        <f t="shared" si="432"/>
        <v>0</v>
      </c>
      <c r="I727" s="7">
        <f t="shared" si="432"/>
        <v>0</v>
      </c>
      <c r="J727" s="7">
        <f t="shared" si="432"/>
        <v>0</v>
      </c>
      <c r="K727" s="7">
        <f t="shared" si="432"/>
        <v>0.5</v>
      </c>
      <c r="L727" s="7">
        <f t="shared" si="432"/>
        <v>0</v>
      </c>
      <c r="M727" s="7">
        <f t="shared" si="426"/>
        <v>0</v>
      </c>
    </row>
    <row r="728" spans="1:13" ht="47.25">
      <c r="A728" s="26" t="s">
        <v>324</v>
      </c>
      <c r="B728" s="42" t="s">
        <v>351</v>
      </c>
      <c r="C728" s="42" t="s">
        <v>170</v>
      </c>
      <c r="D728" s="21" t="s">
        <v>767</v>
      </c>
      <c r="E728" s="42" t="s">
        <v>325</v>
      </c>
      <c r="F728" s="7">
        <f>F729</f>
        <v>0.4</v>
      </c>
      <c r="G728" s="7">
        <f t="shared" si="432"/>
        <v>0.4</v>
      </c>
      <c r="H728" s="7">
        <f t="shared" si="432"/>
        <v>0</v>
      </c>
      <c r="I728" s="7">
        <f t="shared" si="432"/>
        <v>0</v>
      </c>
      <c r="J728" s="7">
        <f t="shared" si="432"/>
        <v>0</v>
      </c>
      <c r="K728" s="7">
        <f t="shared" si="432"/>
        <v>0.5</v>
      </c>
      <c r="L728" s="7">
        <f t="shared" si="432"/>
        <v>0</v>
      </c>
      <c r="M728" s="7">
        <f t="shared" si="426"/>
        <v>0</v>
      </c>
    </row>
    <row r="729" spans="1:13" ht="15.75">
      <c r="A729" s="26" t="s">
        <v>326</v>
      </c>
      <c r="B729" s="42" t="s">
        <v>351</v>
      </c>
      <c r="C729" s="42" t="s">
        <v>170</v>
      </c>
      <c r="D729" s="21" t="s">
        <v>767</v>
      </c>
      <c r="E729" s="42" t="s">
        <v>327</v>
      </c>
      <c r="F729" s="7">
        <f>'Прил.№4 ведомств.'!G371</f>
        <v>0.4</v>
      </c>
      <c r="G729" s="7">
        <f>'Прил.№4 ведомств.'!I371</f>
        <v>0.4</v>
      </c>
      <c r="H729" s="7">
        <f>'Прил.№4 ведомств.'!J371</f>
        <v>0</v>
      </c>
      <c r="I729" s="7">
        <f>'Прил.№4 ведомств.'!K371</f>
        <v>0</v>
      </c>
      <c r="J729" s="7">
        <f>'Прил.№4 ведомств.'!L371</f>
        <v>0</v>
      </c>
      <c r="K729" s="7">
        <f>'Прил.№4 ведомств.'!M371</f>
        <v>0.5</v>
      </c>
      <c r="L729" s="7">
        <f>'Прил.№4 ведомств.'!N371</f>
        <v>0</v>
      </c>
      <c r="M729" s="7">
        <f t="shared" si="426"/>
        <v>0</v>
      </c>
    </row>
    <row r="730" spans="1:13" ht="15.75" hidden="1">
      <c r="A730" s="31" t="s">
        <v>326</v>
      </c>
      <c r="B730" s="42" t="s">
        <v>351</v>
      </c>
      <c r="C730" s="42" t="s">
        <v>170</v>
      </c>
      <c r="D730" s="42" t="s">
        <v>374</v>
      </c>
      <c r="E730" s="42" t="s">
        <v>327</v>
      </c>
      <c r="F730" s="7">
        <v>0</v>
      </c>
      <c r="G730" s="7">
        <v>0</v>
      </c>
      <c r="H730" s="7">
        <v>0</v>
      </c>
      <c r="I730" s="7">
        <v>0</v>
      </c>
      <c r="J730" s="7">
        <v>0</v>
      </c>
      <c r="K730" s="7">
        <v>0</v>
      </c>
      <c r="L730" s="7">
        <v>0</v>
      </c>
      <c r="M730" s="7" t="e">
        <f t="shared" si="426"/>
        <v>#DIV/0!</v>
      </c>
    </row>
    <row r="731" spans="1:13" ht="31.5" hidden="1">
      <c r="A731" s="26" t="s">
        <v>336</v>
      </c>
      <c r="B731" s="21" t="s">
        <v>351</v>
      </c>
      <c r="C731" s="21" t="s">
        <v>170</v>
      </c>
      <c r="D731" s="21" t="s">
        <v>372</v>
      </c>
      <c r="E731" s="21"/>
      <c r="F731" s="7">
        <f>F732</f>
        <v>0</v>
      </c>
      <c r="G731" s="7">
        <f aca="true" t="shared" si="433" ref="G731:L732">G732</f>
        <v>0</v>
      </c>
      <c r="H731" s="7">
        <f t="shared" si="433"/>
        <v>275</v>
      </c>
      <c r="I731" s="7">
        <f t="shared" si="433"/>
        <v>275</v>
      </c>
      <c r="J731" s="7">
        <f t="shared" si="433"/>
        <v>275</v>
      </c>
      <c r="K731" s="7">
        <f t="shared" si="433"/>
        <v>0</v>
      </c>
      <c r="L731" s="7">
        <f t="shared" si="433"/>
        <v>0</v>
      </c>
      <c r="M731" s="7" t="e">
        <f t="shared" si="426"/>
        <v>#DIV/0!</v>
      </c>
    </row>
    <row r="732" spans="1:13" ht="47.25" hidden="1">
      <c r="A732" s="26" t="s">
        <v>324</v>
      </c>
      <c r="B732" s="21" t="s">
        <v>351</v>
      </c>
      <c r="C732" s="21" t="s">
        <v>170</v>
      </c>
      <c r="D732" s="21" t="s">
        <v>372</v>
      </c>
      <c r="E732" s="21" t="s">
        <v>325</v>
      </c>
      <c r="F732" s="7">
        <f>F733</f>
        <v>0</v>
      </c>
      <c r="G732" s="7">
        <f t="shared" si="433"/>
        <v>0</v>
      </c>
      <c r="H732" s="7">
        <f t="shared" si="433"/>
        <v>275</v>
      </c>
      <c r="I732" s="7">
        <f t="shared" si="433"/>
        <v>275</v>
      </c>
      <c r="J732" s="7">
        <f t="shared" si="433"/>
        <v>275</v>
      </c>
      <c r="K732" s="7">
        <f t="shared" si="433"/>
        <v>0</v>
      </c>
      <c r="L732" s="7">
        <f t="shared" si="433"/>
        <v>0</v>
      </c>
      <c r="M732" s="7" t="e">
        <f t="shared" si="426"/>
        <v>#DIV/0!</v>
      </c>
    </row>
    <row r="733" spans="1:13" ht="15.75" hidden="1">
      <c r="A733" s="26" t="s">
        <v>326</v>
      </c>
      <c r="B733" s="21" t="s">
        <v>351</v>
      </c>
      <c r="C733" s="21" t="s">
        <v>170</v>
      </c>
      <c r="D733" s="21" t="s">
        <v>372</v>
      </c>
      <c r="E733" s="21" t="s">
        <v>327</v>
      </c>
      <c r="F733" s="7">
        <f>'Прил.№4 ведомств.'!G383</f>
        <v>0</v>
      </c>
      <c r="G733" s="7">
        <f>'Прил.№4 ведомств.'!I383</f>
        <v>0</v>
      </c>
      <c r="H733" s="7">
        <f>'Прил.№4 ведомств.'!J383</f>
        <v>275</v>
      </c>
      <c r="I733" s="7">
        <f>'Прил.№4 ведомств.'!K383</f>
        <v>275</v>
      </c>
      <c r="J733" s="7">
        <f>'Прил.№4 ведомств.'!L383</f>
        <v>275</v>
      </c>
      <c r="K733" s="7">
        <f>'Прил.№4 ведомств.'!M383</f>
        <v>0</v>
      </c>
      <c r="L733" s="7">
        <f>'Прил.№4 ведомств.'!N383</f>
        <v>0</v>
      </c>
      <c r="M733" s="7" t="e">
        <f t="shared" si="426"/>
        <v>#DIV/0!</v>
      </c>
    </row>
    <row r="734" spans="1:13" ht="31.5" hidden="1">
      <c r="A734" s="37" t="s">
        <v>373</v>
      </c>
      <c r="B734" s="21" t="s">
        <v>351</v>
      </c>
      <c r="C734" s="21" t="s">
        <v>170</v>
      </c>
      <c r="D734" s="21" t="s">
        <v>374</v>
      </c>
      <c r="E734" s="21"/>
      <c r="F734" s="7"/>
      <c r="G734" s="7"/>
      <c r="H734" s="7"/>
      <c r="I734" s="7"/>
      <c r="J734" s="7"/>
      <c r="K734" s="7"/>
      <c r="L734" s="7"/>
      <c r="M734" s="7" t="e">
        <f t="shared" si="426"/>
        <v>#DIV/0!</v>
      </c>
    </row>
    <row r="735" spans="1:13" ht="47.25" hidden="1">
      <c r="A735" s="26" t="s">
        <v>324</v>
      </c>
      <c r="B735" s="21" t="s">
        <v>351</v>
      </c>
      <c r="C735" s="21" t="s">
        <v>170</v>
      </c>
      <c r="D735" s="21" t="s">
        <v>374</v>
      </c>
      <c r="E735" s="21" t="s">
        <v>325</v>
      </c>
      <c r="F735" s="7"/>
      <c r="G735" s="7"/>
      <c r="H735" s="7"/>
      <c r="I735" s="7"/>
      <c r="J735" s="7"/>
      <c r="K735" s="7"/>
      <c r="L735" s="7"/>
      <c r="M735" s="7" t="e">
        <f t="shared" si="426"/>
        <v>#DIV/0!</v>
      </c>
    </row>
    <row r="736" spans="1:13" ht="15.75" hidden="1">
      <c r="A736" s="26" t="s">
        <v>326</v>
      </c>
      <c r="B736" s="21" t="s">
        <v>351</v>
      </c>
      <c r="C736" s="21" t="s">
        <v>170</v>
      </c>
      <c r="D736" s="21" t="s">
        <v>374</v>
      </c>
      <c r="E736" s="21" t="s">
        <v>327</v>
      </c>
      <c r="F736" s="7"/>
      <c r="G736" s="7"/>
      <c r="H736" s="7"/>
      <c r="I736" s="7"/>
      <c r="J736" s="7"/>
      <c r="K736" s="7"/>
      <c r="L736" s="7"/>
      <c r="M736" s="7" t="e">
        <f t="shared" si="426"/>
        <v>#DIV/0!</v>
      </c>
    </row>
    <row r="737" spans="1:13" ht="31.5">
      <c r="A737" s="208" t="s">
        <v>865</v>
      </c>
      <c r="B737" s="21" t="s">
        <v>351</v>
      </c>
      <c r="C737" s="21" t="s">
        <v>170</v>
      </c>
      <c r="D737" s="21" t="s">
        <v>878</v>
      </c>
      <c r="E737" s="21"/>
      <c r="F737" s="7">
        <f>F738</f>
        <v>0</v>
      </c>
      <c r="G737" s="7">
        <f aca="true" t="shared" si="434" ref="G737:L738">G738</f>
        <v>0</v>
      </c>
      <c r="H737" s="7">
        <f t="shared" si="434"/>
        <v>650.2</v>
      </c>
      <c r="I737" s="7">
        <f t="shared" si="434"/>
        <v>650.2</v>
      </c>
      <c r="J737" s="7">
        <f t="shared" si="434"/>
        <v>650.2</v>
      </c>
      <c r="K737" s="7">
        <f t="shared" si="434"/>
        <v>650.2</v>
      </c>
      <c r="L737" s="7">
        <f t="shared" si="434"/>
        <v>650.2</v>
      </c>
      <c r="M737" s="7">
        <f t="shared" si="426"/>
        <v>100</v>
      </c>
    </row>
    <row r="738" spans="1:13" ht="47.25">
      <c r="A738" s="109" t="s">
        <v>324</v>
      </c>
      <c r="B738" s="21" t="s">
        <v>351</v>
      </c>
      <c r="C738" s="21" t="s">
        <v>170</v>
      </c>
      <c r="D738" s="21" t="s">
        <v>878</v>
      </c>
      <c r="E738" s="21" t="s">
        <v>325</v>
      </c>
      <c r="F738" s="7">
        <f>F739</f>
        <v>0</v>
      </c>
      <c r="G738" s="7">
        <f t="shared" si="434"/>
        <v>0</v>
      </c>
      <c r="H738" s="7">
        <f t="shared" si="434"/>
        <v>650.2</v>
      </c>
      <c r="I738" s="7">
        <f t="shared" si="434"/>
        <v>650.2</v>
      </c>
      <c r="J738" s="7">
        <f t="shared" si="434"/>
        <v>650.2</v>
      </c>
      <c r="K738" s="7">
        <f t="shared" si="434"/>
        <v>650.2</v>
      </c>
      <c r="L738" s="7">
        <f t="shared" si="434"/>
        <v>650.2</v>
      </c>
      <c r="M738" s="7">
        <f t="shared" si="426"/>
        <v>100</v>
      </c>
    </row>
    <row r="739" spans="1:13" ht="15.75">
      <c r="A739" s="209" t="s">
        <v>326</v>
      </c>
      <c r="B739" s="21" t="s">
        <v>351</v>
      </c>
      <c r="C739" s="21" t="s">
        <v>170</v>
      </c>
      <c r="D739" s="21" t="s">
        <v>878</v>
      </c>
      <c r="E739" s="21" t="s">
        <v>327</v>
      </c>
      <c r="F739" s="7">
        <f>'Прил.№4 ведомств.'!G389</f>
        <v>0</v>
      </c>
      <c r="G739" s="7">
        <f>'Прил.№4 ведомств.'!I389</f>
        <v>0</v>
      </c>
      <c r="H739" s="7">
        <f>'Прил.№4 ведомств.'!J389</f>
        <v>650.2</v>
      </c>
      <c r="I739" s="7">
        <f>'Прил.№4 ведомств.'!K389</f>
        <v>650.2</v>
      </c>
      <c r="J739" s="7">
        <f>'Прил.№4 ведомств.'!L389</f>
        <v>650.2</v>
      </c>
      <c r="K739" s="7">
        <f>'Прил.№4 ведомств.'!M389</f>
        <v>650.2</v>
      </c>
      <c r="L739" s="7">
        <f>'Прил.№4 ведомств.'!N389</f>
        <v>650.2</v>
      </c>
      <c r="M739" s="7">
        <f t="shared" si="426"/>
        <v>100</v>
      </c>
    </row>
    <row r="740" spans="1:13" ht="63" hidden="1">
      <c r="A740" s="31" t="s">
        <v>375</v>
      </c>
      <c r="B740" s="42" t="s">
        <v>351</v>
      </c>
      <c r="C740" s="42" t="s">
        <v>170</v>
      </c>
      <c r="D740" s="42" t="s">
        <v>376</v>
      </c>
      <c r="E740" s="21"/>
      <c r="F740" s="7">
        <f>F741</f>
        <v>200</v>
      </c>
      <c r="G740" s="7">
        <f aca="true" t="shared" si="435" ref="G740:L742">G741</f>
        <v>200</v>
      </c>
      <c r="H740" s="7">
        <f t="shared" si="435"/>
        <v>0</v>
      </c>
      <c r="I740" s="7">
        <f t="shared" si="435"/>
        <v>0</v>
      </c>
      <c r="J740" s="7">
        <f t="shared" si="435"/>
        <v>0</v>
      </c>
      <c r="K740" s="7">
        <f t="shared" si="435"/>
        <v>0</v>
      </c>
      <c r="L740" s="7">
        <f t="shared" si="435"/>
        <v>0</v>
      </c>
      <c r="M740" s="7" t="e">
        <f t="shared" si="426"/>
        <v>#DIV/0!</v>
      </c>
    </row>
    <row r="741" spans="1:13" ht="47.25" hidden="1">
      <c r="A741" s="26" t="s">
        <v>685</v>
      </c>
      <c r="B741" s="42" t="s">
        <v>351</v>
      </c>
      <c r="C741" s="42" t="s">
        <v>170</v>
      </c>
      <c r="D741" s="42" t="s">
        <v>378</v>
      </c>
      <c r="E741" s="21"/>
      <c r="F741" s="7">
        <f>F742</f>
        <v>200</v>
      </c>
      <c r="G741" s="7">
        <f t="shared" si="435"/>
        <v>200</v>
      </c>
      <c r="H741" s="7">
        <f t="shared" si="435"/>
        <v>0</v>
      </c>
      <c r="I741" s="7">
        <f t="shared" si="435"/>
        <v>0</v>
      </c>
      <c r="J741" s="7">
        <f t="shared" si="435"/>
        <v>0</v>
      </c>
      <c r="K741" s="7">
        <f t="shared" si="435"/>
        <v>0</v>
      </c>
      <c r="L741" s="7">
        <f t="shared" si="435"/>
        <v>0</v>
      </c>
      <c r="M741" s="7" t="e">
        <f t="shared" si="426"/>
        <v>#DIV/0!</v>
      </c>
    </row>
    <row r="742" spans="1:13" ht="47.25" hidden="1">
      <c r="A742" s="31" t="s">
        <v>324</v>
      </c>
      <c r="B742" s="42" t="s">
        <v>351</v>
      </c>
      <c r="C742" s="42" t="s">
        <v>170</v>
      </c>
      <c r="D742" s="42" t="s">
        <v>378</v>
      </c>
      <c r="E742" s="21" t="s">
        <v>325</v>
      </c>
      <c r="F742" s="7">
        <f>F743</f>
        <v>200</v>
      </c>
      <c r="G742" s="7">
        <f t="shared" si="435"/>
        <v>200</v>
      </c>
      <c r="H742" s="7">
        <f t="shared" si="435"/>
        <v>0</v>
      </c>
      <c r="I742" s="7">
        <f t="shared" si="435"/>
        <v>0</v>
      </c>
      <c r="J742" s="7">
        <f t="shared" si="435"/>
        <v>0</v>
      </c>
      <c r="K742" s="7">
        <f t="shared" si="435"/>
        <v>0</v>
      </c>
      <c r="L742" s="7">
        <f t="shared" si="435"/>
        <v>0</v>
      </c>
      <c r="M742" s="7" t="e">
        <f t="shared" si="426"/>
        <v>#DIV/0!</v>
      </c>
    </row>
    <row r="743" spans="1:13" ht="15.75" hidden="1">
      <c r="A743" s="31" t="s">
        <v>326</v>
      </c>
      <c r="B743" s="42" t="s">
        <v>351</v>
      </c>
      <c r="C743" s="42" t="s">
        <v>170</v>
      </c>
      <c r="D743" s="42" t="s">
        <v>378</v>
      </c>
      <c r="E743" s="21" t="s">
        <v>327</v>
      </c>
      <c r="F743" s="7">
        <f>'Прил.№4 ведомств.'!G393</f>
        <v>200</v>
      </c>
      <c r="G743" s="7">
        <f>'Прил.№4 ведомств.'!I393</f>
        <v>200</v>
      </c>
      <c r="H743" s="7">
        <f>'Прил.№4 ведомств.'!J393</f>
        <v>0</v>
      </c>
      <c r="I743" s="7">
        <f>'Прил.№4 ведомств.'!K393</f>
        <v>0</v>
      </c>
      <c r="J743" s="7">
        <f>'Прил.№4 ведомств.'!L393</f>
        <v>0</v>
      </c>
      <c r="K743" s="7">
        <f>'Прил.№4 ведомств.'!M393</f>
        <v>0</v>
      </c>
      <c r="L743" s="7">
        <f>'Прил.№4 ведомств.'!N393</f>
        <v>0</v>
      </c>
      <c r="M743" s="7" t="e">
        <f t="shared" si="426"/>
        <v>#DIV/0!</v>
      </c>
    </row>
    <row r="744" spans="1:13" ht="15.75">
      <c r="A744" s="31" t="s">
        <v>173</v>
      </c>
      <c r="B744" s="42" t="s">
        <v>351</v>
      </c>
      <c r="C744" s="42" t="s">
        <v>170</v>
      </c>
      <c r="D744" s="42" t="s">
        <v>174</v>
      </c>
      <c r="E744" s="42"/>
      <c r="F744" s="7">
        <f>F745</f>
        <v>2137.9</v>
      </c>
      <c r="G744" s="7">
        <f aca="true" t="shared" si="436" ref="G744:L744">G745</f>
        <v>2137.9</v>
      </c>
      <c r="H744" s="7">
        <f t="shared" si="436"/>
        <v>2133.9</v>
      </c>
      <c r="I744" s="7">
        <f t="shared" si="436"/>
        <v>2133.9</v>
      </c>
      <c r="J744" s="7">
        <f t="shared" si="436"/>
        <v>2133.9</v>
      </c>
      <c r="K744" s="7">
        <f t="shared" si="436"/>
        <v>2084.3</v>
      </c>
      <c r="L744" s="7">
        <f t="shared" si="436"/>
        <v>931.7</v>
      </c>
      <c r="M744" s="7">
        <f t="shared" si="426"/>
        <v>44.7008588015161</v>
      </c>
    </row>
    <row r="745" spans="1:13" ht="31.5">
      <c r="A745" s="31" t="s">
        <v>237</v>
      </c>
      <c r="B745" s="42" t="s">
        <v>351</v>
      </c>
      <c r="C745" s="42" t="s">
        <v>170</v>
      </c>
      <c r="D745" s="42" t="s">
        <v>238</v>
      </c>
      <c r="E745" s="42"/>
      <c r="F745" s="7">
        <f>F748+F750+F753+F755+F758+F759+F762</f>
        <v>2137.9</v>
      </c>
      <c r="G745" s="7">
        <f aca="true" t="shared" si="437" ref="G745:K745">G748+G750+G753+G755+G758+G759+G762</f>
        <v>2137.9</v>
      </c>
      <c r="H745" s="7">
        <f t="shared" si="437"/>
        <v>2133.9</v>
      </c>
      <c r="I745" s="7">
        <f t="shared" si="437"/>
        <v>2133.9</v>
      </c>
      <c r="J745" s="7">
        <f t="shared" si="437"/>
        <v>2133.9</v>
      </c>
      <c r="K745" s="7">
        <f t="shared" si="437"/>
        <v>2084.3</v>
      </c>
      <c r="L745" s="7">
        <f aca="true" t="shared" si="438" ref="L745">L748+L750+L753+L755+L758+L759+L762</f>
        <v>931.7</v>
      </c>
      <c r="M745" s="7">
        <f t="shared" si="426"/>
        <v>44.7008588015161</v>
      </c>
    </row>
    <row r="746" spans="1:13" ht="31.5" customHeight="1" hidden="1">
      <c r="A746" s="69" t="s">
        <v>379</v>
      </c>
      <c r="B746" s="42" t="s">
        <v>351</v>
      </c>
      <c r="C746" s="42" t="s">
        <v>170</v>
      </c>
      <c r="D746" s="42" t="s">
        <v>380</v>
      </c>
      <c r="E746" s="42"/>
      <c r="F746" s="7">
        <f>F747+F749</f>
        <v>0</v>
      </c>
      <c r="G746" s="7">
        <f aca="true" t="shared" si="439" ref="G746:K746">G747+G749</f>
        <v>0</v>
      </c>
      <c r="H746" s="7">
        <f t="shared" si="439"/>
        <v>0</v>
      </c>
      <c r="I746" s="7">
        <f t="shared" si="439"/>
        <v>0</v>
      </c>
      <c r="J746" s="7">
        <f t="shared" si="439"/>
        <v>0</v>
      </c>
      <c r="K746" s="7">
        <f t="shared" si="439"/>
        <v>0</v>
      </c>
      <c r="L746" s="7">
        <f aca="true" t="shared" si="440" ref="L746">L747+L749</f>
        <v>0</v>
      </c>
      <c r="M746" s="7" t="e">
        <f t="shared" si="426"/>
        <v>#DIV/0!</v>
      </c>
    </row>
    <row r="747" spans="1:13" ht="31.5" customHeight="1" hidden="1">
      <c r="A747" s="31" t="s">
        <v>183</v>
      </c>
      <c r="B747" s="42" t="s">
        <v>351</v>
      </c>
      <c r="C747" s="42" t="s">
        <v>170</v>
      </c>
      <c r="D747" s="42" t="s">
        <v>380</v>
      </c>
      <c r="E747" s="42" t="s">
        <v>184</v>
      </c>
      <c r="F747" s="7">
        <f>F748</f>
        <v>0</v>
      </c>
      <c r="G747" s="7">
        <f aca="true" t="shared" si="441" ref="G747:L747">G748</f>
        <v>0</v>
      </c>
      <c r="H747" s="7">
        <f t="shared" si="441"/>
        <v>0</v>
      </c>
      <c r="I747" s="7">
        <f t="shared" si="441"/>
        <v>0</v>
      </c>
      <c r="J747" s="7">
        <f t="shared" si="441"/>
        <v>0</v>
      </c>
      <c r="K747" s="7">
        <f t="shared" si="441"/>
        <v>0</v>
      </c>
      <c r="L747" s="7">
        <f t="shared" si="441"/>
        <v>0</v>
      </c>
      <c r="M747" s="7" t="e">
        <f t="shared" si="426"/>
        <v>#DIV/0!</v>
      </c>
    </row>
    <row r="748" spans="1:13" ht="47.25" customHeight="1" hidden="1">
      <c r="A748" s="31" t="s">
        <v>185</v>
      </c>
      <c r="B748" s="42" t="s">
        <v>351</v>
      </c>
      <c r="C748" s="42" t="s">
        <v>170</v>
      </c>
      <c r="D748" s="42" t="s">
        <v>380</v>
      </c>
      <c r="E748" s="42" t="s">
        <v>186</v>
      </c>
      <c r="F748" s="7">
        <v>0</v>
      </c>
      <c r="G748" s="7">
        <v>0</v>
      </c>
      <c r="H748" s="7">
        <v>0</v>
      </c>
      <c r="I748" s="7">
        <v>0</v>
      </c>
      <c r="J748" s="7">
        <v>0</v>
      </c>
      <c r="K748" s="7">
        <v>0</v>
      </c>
      <c r="L748" s="7">
        <v>0</v>
      </c>
      <c r="M748" s="7" t="e">
        <f t="shared" si="426"/>
        <v>#DIV/0!</v>
      </c>
    </row>
    <row r="749" spans="1:13" ht="47.25" customHeight="1" hidden="1">
      <c r="A749" s="31" t="s">
        <v>324</v>
      </c>
      <c r="B749" s="42" t="s">
        <v>351</v>
      </c>
      <c r="C749" s="42" t="s">
        <v>170</v>
      </c>
      <c r="D749" s="42" t="s">
        <v>380</v>
      </c>
      <c r="E749" s="42" t="s">
        <v>325</v>
      </c>
      <c r="F749" s="7">
        <f>F750</f>
        <v>0</v>
      </c>
      <c r="G749" s="7">
        <f aca="true" t="shared" si="442" ref="G749:L749">G750</f>
        <v>0</v>
      </c>
      <c r="H749" s="7">
        <f t="shared" si="442"/>
        <v>0</v>
      </c>
      <c r="I749" s="7">
        <f t="shared" si="442"/>
        <v>0</v>
      </c>
      <c r="J749" s="7">
        <f t="shared" si="442"/>
        <v>0</v>
      </c>
      <c r="K749" s="7">
        <f t="shared" si="442"/>
        <v>0</v>
      </c>
      <c r="L749" s="7">
        <f t="shared" si="442"/>
        <v>0</v>
      </c>
      <c r="M749" s="7" t="e">
        <f t="shared" si="426"/>
        <v>#DIV/0!</v>
      </c>
    </row>
    <row r="750" spans="1:13" ht="15.75" customHeight="1" hidden="1">
      <c r="A750" s="31" t="s">
        <v>326</v>
      </c>
      <c r="B750" s="42" t="s">
        <v>351</v>
      </c>
      <c r="C750" s="42" t="s">
        <v>170</v>
      </c>
      <c r="D750" s="42" t="s">
        <v>380</v>
      </c>
      <c r="E750" s="42" t="s">
        <v>327</v>
      </c>
      <c r="F750" s="7">
        <v>0</v>
      </c>
      <c r="G750" s="7">
        <v>0</v>
      </c>
      <c r="H750" s="7">
        <v>0</v>
      </c>
      <c r="I750" s="7">
        <v>0</v>
      </c>
      <c r="J750" s="7">
        <v>0</v>
      </c>
      <c r="K750" s="7">
        <v>0</v>
      </c>
      <c r="L750" s="7">
        <v>0</v>
      </c>
      <c r="M750" s="7" t="e">
        <f t="shared" si="426"/>
        <v>#DIV/0!</v>
      </c>
    </row>
    <row r="751" spans="1:13" ht="31.5">
      <c r="A751" s="31" t="s">
        <v>367</v>
      </c>
      <c r="B751" s="42" t="s">
        <v>351</v>
      </c>
      <c r="C751" s="42" t="s">
        <v>170</v>
      </c>
      <c r="D751" s="42" t="s">
        <v>382</v>
      </c>
      <c r="E751" s="42"/>
      <c r="F751" s="7">
        <f>F754+F752</f>
        <v>177.3</v>
      </c>
      <c r="G751" s="7">
        <f aca="true" t="shared" si="443" ref="G751:K751">G754+G752</f>
        <v>177.3</v>
      </c>
      <c r="H751" s="7">
        <f t="shared" si="443"/>
        <v>177.3</v>
      </c>
      <c r="I751" s="7">
        <f t="shared" si="443"/>
        <v>177.3</v>
      </c>
      <c r="J751" s="7">
        <f t="shared" si="443"/>
        <v>177.3</v>
      </c>
      <c r="K751" s="7">
        <f t="shared" si="443"/>
        <v>158.5</v>
      </c>
      <c r="L751" s="7">
        <f aca="true" t="shared" si="444" ref="L751">L754+L752</f>
        <v>158.5</v>
      </c>
      <c r="M751" s="7">
        <f t="shared" si="426"/>
        <v>100</v>
      </c>
    </row>
    <row r="752" spans="1:13" ht="31.5" customHeight="1" hidden="1">
      <c r="A752" s="31" t="s">
        <v>183</v>
      </c>
      <c r="B752" s="42" t="s">
        <v>351</v>
      </c>
      <c r="C752" s="42" t="s">
        <v>170</v>
      </c>
      <c r="D752" s="42" t="s">
        <v>382</v>
      </c>
      <c r="E752" s="42" t="s">
        <v>184</v>
      </c>
      <c r="F752" s="7">
        <f>F753</f>
        <v>0</v>
      </c>
      <c r="G752" s="7">
        <f aca="true" t="shared" si="445" ref="G752:L752">G753</f>
        <v>0</v>
      </c>
      <c r="H752" s="7">
        <f t="shared" si="445"/>
        <v>0</v>
      </c>
      <c r="I752" s="7">
        <f t="shared" si="445"/>
        <v>0</v>
      </c>
      <c r="J752" s="7">
        <f t="shared" si="445"/>
        <v>0</v>
      </c>
      <c r="K752" s="7">
        <f t="shared" si="445"/>
        <v>0</v>
      </c>
      <c r="L752" s="7">
        <f t="shared" si="445"/>
        <v>0</v>
      </c>
      <c r="M752" s="7" t="e">
        <f t="shared" si="426"/>
        <v>#DIV/0!</v>
      </c>
    </row>
    <row r="753" spans="1:13" ht="47.25" customHeight="1" hidden="1">
      <c r="A753" s="31" t="s">
        <v>185</v>
      </c>
      <c r="B753" s="42" t="s">
        <v>351</v>
      </c>
      <c r="C753" s="42" t="s">
        <v>170</v>
      </c>
      <c r="D753" s="42" t="s">
        <v>382</v>
      </c>
      <c r="E753" s="42" t="s">
        <v>186</v>
      </c>
      <c r="F753" s="7"/>
      <c r="G753" s="7"/>
      <c r="H753" s="7"/>
      <c r="I753" s="7"/>
      <c r="J753" s="7"/>
      <c r="K753" s="7"/>
      <c r="L753" s="7"/>
      <c r="M753" s="7" t="e">
        <f t="shared" si="426"/>
        <v>#DIV/0!</v>
      </c>
    </row>
    <row r="754" spans="1:13" ht="47.25">
      <c r="A754" s="31" t="s">
        <v>324</v>
      </c>
      <c r="B754" s="42" t="s">
        <v>351</v>
      </c>
      <c r="C754" s="42" t="s">
        <v>170</v>
      </c>
      <c r="D754" s="42" t="s">
        <v>382</v>
      </c>
      <c r="E754" s="42" t="s">
        <v>325</v>
      </c>
      <c r="F754" s="7">
        <f>F755</f>
        <v>177.3</v>
      </c>
      <c r="G754" s="7">
        <f aca="true" t="shared" si="446" ref="G754:L754">G755</f>
        <v>177.3</v>
      </c>
      <c r="H754" s="7">
        <f t="shared" si="446"/>
        <v>177.3</v>
      </c>
      <c r="I754" s="7">
        <f t="shared" si="446"/>
        <v>177.3</v>
      </c>
      <c r="J754" s="7">
        <f t="shared" si="446"/>
        <v>177.3</v>
      </c>
      <c r="K754" s="7">
        <f t="shared" si="446"/>
        <v>158.5</v>
      </c>
      <c r="L754" s="7">
        <f t="shared" si="446"/>
        <v>158.5</v>
      </c>
      <c r="M754" s="7">
        <f t="shared" si="426"/>
        <v>100</v>
      </c>
    </row>
    <row r="755" spans="1:13" ht="15.75">
      <c r="A755" s="31" t="s">
        <v>326</v>
      </c>
      <c r="B755" s="42" t="s">
        <v>351</v>
      </c>
      <c r="C755" s="42" t="s">
        <v>170</v>
      </c>
      <c r="D755" s="42" t="s">
        <v>382</v>
      </c>
      <c r="E755" s="42" t="s">
        <v>327</v>
      </c>
      <c r="F755" s="7">
        <f>'Прил.№4 ведомств.'!G405</f>
        <v>177.3</v>
      </c>
      <c r="G755" s="7">
        <f>'Прил.№4 ведомств.'!I405</f>
        <v>177.3</v>
      </c>
      <c r="H755" s="7">
        <f>'Прил.№4 ведомств.'!J405</f>
        <v>177.3</v>
      </c>
      <c r="I755" s="7">
        <f>'Прил.№4 ведомств.'!K405</f>
        <v>177.3</v>
      </c>
      <c r="J755" s="7">
        <f>'Прил.№4 ведомств.'!L405</f>
        <v>177.3</v>
      </c>
      <c r="K755" s="7">
        <f>'Прил.№4 ведомств.'!M405</f>
        <v>158.5</v>
      </c>
      <c r="L755" s="7">
        <f>'Прил.№4 ведомств.'!N405</f>
        <v>158.5</v>
      </c>
      <c r="M755" s="7">
        <f t="shared" si="426"/>
        <v>100</v>
      </c>
    </row>
    <row r="756" spans="1:13" ht="94.5">
      <c r="A756" s="31" t="s">
        <v>686</v>
      </c>
      <c r="B756" s="42" t="s">
        <v>351</v>
      </c>
      <c r="C756" s="42" t="s">
        <v>170</v>
      </c>
      <c r="D756" s="42" t="s">
        <v>384</v>
      </c>
      <c r="E756" s="42"/>
      <c r="F756" s="7">
        <f>F757</f>
        <v>263.3</v>
      </c>
      <c r="G756" s="7">
        <f aca="true" t="shared" si="447" ref="G756:L757">G757</f>
        <v>263.3</v>
      </c>
      <c r="H756" s="7">
        <f t="shared" si="447"/>
        <v>263.3</v>
      </c>
      <c r="I756" s="7">
        <f t="shared" si="447"/>
        <v>263.3</v>
      </c>
      <c r="J756" s="7">
        <f t="shared" si="447"/>
        <v>263.3</v>
      </c>
      <c r="K756" s="7">
        <f t="shared" si="447"/>
        <v>273.7</v>
      </c>
      <c r="L756" s="7">
        <f t="shared" si="447"/>
        <v>119.2</v>
      </c>
      <c r="M756" s="7">
        <f t="shared" si="426"/>
        <v>43.55133357690903</v>
      </c>
    </row>
    <row r="757" spans="1:13" ht="47.25">
      <c r="A757" s="31" t="s">
        <v>324</v>
      </c>
      <c r="B757" s="42" t="s">
        <v>351</v>
      </c>
      <c r="C757" s="42" t="s">
        <v>170</v>
      </c>
      <c r="D757" s="42" t="s">
        <v>384</v>
      </c>
      <c r="E757" s="42" t="s">
        <v>325</v>
      </c>
      <c r="F757" s="7">
        <f>F758</f>
        <v>263.3</v>
      </c>
      <c r="G757" s="7">
        <f t="shared" si="447"/>
        <v>263.3</v>
      </c>
      <c r="H757" s="7">
        <f t="shared" si="447"/>
        <v>263.3</v>
      </c>
      <c r="I757" s="7">
        <f t="shared" si="447"/>
        <v>263.3</v>
      </c>
      <c r="J757" s="7">
        <f t="shared" si="447"/>
        <v>263.3</v>
      </c>
      <c r="K757" s="7">
        <f t="shared" si="447"/>
        <v>273.7</v>
      </c>
      <c r="L757" s="7">
        <f t="shared" si="447"/>
        <v>119.2</v>
      </c>
      <c r="M757" s="7">
        <f t="shared" si="426"/>
        <v>43.55133357690903</v>
      </c>
    </row>
    <row r="758" spans="1:13" ht="15.75">
      <c r="A758" s="31" t="s">
        <v>326</v>
      </c>
      <c r="B758" s="42" t="s">
        <v>351</v>
      </c>
      <c r="C758" s="42" t="s">
        <v>170</v>
      </c>
      <c r="D758" s="42" t="s">
        <v>384</v>
      </c>
      <c r="E758" s="42" t="s">
        <v>327</v>
      </c>
      <c r="F758" s="7">
        <f>'Прил.№4 ведомств.'!G408</f>
        <v>263.3</v>
      </c>
      <c r="G758" s="7">
        <f>'Прил.№4 ведомств.'!I408</f>
        <v>263.3</v>
      </c>
      <c r="H758" s="7">
        <f>'Прил.№4 ведомств.'!J408</f>
        <v>263.3</v>
      </c>
      <c r="I758" s="7">
        <f>'Прил.№4 ведомств.'!K408</f>
        <v>263.3</v>
      </c>
      <c r="J758" s="7">
        <f>'Прил.№4 ведомств.'!L408</f>
        <v>263.3</v>
      </c>
      <c r="K758" s="7">
        <f>'Прил.№4 ведомств.'!M408</f>
        <v>273.7</v>
      </c>
      <c r="L758" s="7">
        <f>'Прил.№4 ведомств.'!N408</f>
        <v>119.2</v>
      </c>
      <c r="M758" s="7">
        <f t="shared" si="426"/>
        <v>43.55133357690903</v>
      </c>
    </row>
    <row r="759" spans="1:13" ht="94.5">
      <c r="A759" s="33" t="s">
        <v>345</v>
      </c>
      <c r="B759" s="42" t="s">
        <v>351</v>
      </c>
      <c r="C759" s="42" t="s">
        <v>170</v>
      </c>
      <c r="D759" s="21" t="s">
        <v>346</v>
      </c>
      <c r="E759" s="42"/>
      <c r="F759" s="7">
        <f>F760</f>
        <v>1693.3000000000002</v>
      </c>
      <c r="G759" s="7">
        <f aca="true" t="shared" si="448" ref="G759:L760">G760</f>
        <v>1693.3000000000002</v>
      </c>
      <c r="H759" s="7">
        <f t="shared" si="448"/>
        <v>1693.3000000000002</v>
      </c>
      <c r="I759" s="7">
        <f t="shared" si="448"/>
        <v>1693.3000000000002</v>
      </c>
      <c r="J759" s="7">
        <f t="shared" si="448"/>
        <v>1693.3000000000002</v>
      </c>
      <c r="K759" s="7">
        <f t="shared" si="448"/>
        <v>1648.8000000000002</v>
      </c>
      <c r="L759" s="7">
        <f t="shared" si="448"/>
        <v>654</v>
      </c>
      <c r="M759" s="7">
        <f t="shared" si="426"/>
        <v>39.66521106259097</v>
      </c>
    </row>
    <row r="760" spans="1:13" ht="47.25">
      <c r="A760" s="31" t="s">
        <v>324</v>
      </c>
      <c r="B760" s="42" t="s">
        <v>351</v>
      </c>
      <c r="C760" s="42" t="s">
        <v>170</v>
      </c>
      <c r="D760" s="21" t="s">
        <v>346</v>
      </c>
      <c r="E760" s="42" t="s">
        <v>325</v>
      </c>
      <c r="F760" s="7">
        <f>F761</f>
        <v>1693.3000000000002</v>
      </c>
      <c r="G760" s="7">
        <f t="shared" si="448"/>
        <v>1693.3000000000002</v>
      </c>
      <c r="H760" s="7">
        <f t="shared" si="448"/>
        <v>1693.3000000000002</v>
      </c>
      <c r="I760" s="7">
        <f t="shared" si="448"/>
        <v>1693.3000000000002</v>
      </c>
      <c r="J760" s="7">
        <f t="shared" si="448"/>
        <v>1693.3000000000002</v>
      </c>
      <c r="K760" s="7">
        <f t="shared" si="448"/>
        <v>1648.8000000000002</v>
      </c>
      <c r="L760" s="7">
        <f t="shared" si="448"/>
        <v>654</v>
      </c>
      <c r="M760" s="7">
        <f t="shared" si="426"/>
        <v>39.66521106259097</v>
      </c>
    </row>
    <row r="761" spans="1:13" ht="15.75">
      <c r="A761" s="31" t="s">
        <v>326</v>
      </c>
      <c r="B761" s="42" t="s">
        <v>351</v>
      </c>
      <c r="C761" s="42" t="s">
        <v>170</v>
      </c>
      <c r="D761" s="21" t="s">
        <v>346</v>
      </c>
      <c r="E761" s="42" t="s">
        <v>327</v>
      </c>
      <c r="F761" s="7">
        <f>'Прил.№4 ведомств.'!G409</f>
        <v>1693.3000000000002</v>
      </c>
      <c r="G761" s="7">
        <f>'Прил.№4 ведомств.'!I409</f>
        <v>1693.3000000000002</v>
      </c>
      <c r="H761" s="7">
        <f>'Прил.№4 ведомств.'!J409</f>
        <v>1693.3000000000002</v>
      </c>
      <c r="I761" s="7">
        <f>'Прил.№4 ведомств.'!K409</f>
        <v>1693.3000000000002</v>
      </c>
      <c r="J761" s="7">
        <f>'Прил.№4 ведомств.'!L409</f>
        <v>1693.3000000000002</v>
      </c>
      <c r="K761" s="7">
        <f>'Прил.№4 ведомств.'!M409</f>
        <v>1648.8000000000002</v>
      </c>
      <c r="L761" s="7">
        <f>'Прил.№4 ведомств.'!N409</f>
        <v>654</v>
      </c>
      <c r="M761" s="7">
        <f t="shared" si="426"/>
        <v>39.66521106259097</v>
      </c>
    </row>
    <row r="762" spans="1:13" ht="15.75">
      <c r="A762" s="33" t="s">
        <v>768</v>
      </c>
      <c r="B762" s="42" t="s">
        <v>351</v>
      </c>
      <c r="C762" s="42" t="s">
        <v>170</v>
      </c>
      <c r="D762" s="21" t="s">
        <v>769</v>
      </c>
      <c r="E762" s="42"/>
      <c r="F762" s="7">
        <f>F763</f>
        <v>4</v>
      </c>
      <c r="G762" s="7">
        <f aca="true" t="shared" si="449" ref="G762:L763">G763</f>
        <v>4</v>
      </c>
      <c r="H762" s="7">
        <f t="shared" si="449"/>
        <v>0</v>
      </c>
      <c r="I762" s="7">
        <f t="shared" si="449"/>
        <v>0</v>
      </c>
      <c r="J762" s="7">
        <f t="shared" si="449"/>
        <v>0</v>
      </c>
      <c r="K762" s="7">
        <f t="shared" si="449"/>
        <v>3.3</v>
      </c>
      <c r="L762" s="7">
        <f t="shared" si="449"/>
        <v>0</v>
      </c>
      <c r="M762" s="7">
        <f t="shared" si="426"/>
        <v>0</v>
      </c>
    </row>
    <row r="763" spans="1:13" ht="47.25">
      <c r="A763" s="26" t="s">
        <v>324</v>
      </c>
      <c r="B763" s="42" t="s">
        <v>351</v>
      </c>
      <c r="C763" s="42" t="s">
        <v>170</v>
      </c>
      <c r="D763" s="21" t="s">
        <v>769</v>
      </c>
      <c r="E763" s="42" t="s">
        <v>325</v>
      </c>
      <c r="F763" s="7">
        <f>F764</f>
        <v>4</v>
      </c>
      <c r="G763" s="7">
        <f t="shared" si="449"/>
        <v>4</v>
      </c>
      <c r="H763" s="7">
        <f t="shared" si="449"/>
        <v>0</v>
      </c>
      <c r="I763" s="7">
        <f t="shared" si="449"/>
        <v>0</v>
      </c>
      <c r="J763" s="7">
        <f t="shared" si="449"/>
        <v>0</v>
      </c>
      <c r="K763" s="7">
        <f t="shared" si="449"/>
        <v>3.3</v>
      </c>
      <c r="L763" s="7">
        <f t="shared" si="449"/>
        <v>0</v>
      </c>
      <c r="M763" s="7">
        <f t="shared" si="426"/>
        <v>0</v>
      </c>
    </row>
    <row r="764" spans="1:13" ht="15.75">
      <c r="A764" s="26" t="s">
        <v>326</v>
      </c>
      <c r="B764" s="42" t="s">
        <v>351</v>
      </c>
      <c r="C764" s="42" t="s">
        <v>170</v>
      </c>
      <c r="D764" s="21" t="s">
        <v>769</v>
      </c>
      <c r="E764" s="42" t="s">
        <v>327</v>
      </c>
      <c r="F764" s="7">
        <f>'Прил.№4 ведомств.'!G414</f>
        <v>4</v>
      </c>
      <c r="G764" s="7">
        <f>'Прил.№4 ведомств.'!I414</f>
        <v>4</v>
      </c>
      <c r="H764" s="7">
        <f>'Прил.№4 ведомств.'!J414</f>
        <v>0</v>
      </c>
      <c r="I764" s="7">
        <f>'Прил.№4 ведомств.'!K414</f>
        <v>0</v>
      </c>
      <c r="J764" s="7">
        <f>'Прил.№4 ведомств.'!L414</f>
        <v>0</v>
      </c>
      <c r="K764" s="7">
        <f>'Прил.№4 ведомств.'!M414</f>
        <v>3.3</v>
      </c>
      <c r="L764" s="7">
        <f>'Прил.№4 ведомств.'!N414</f>
        <v>0</v>
      </c>
      <c r="M764" s="7">
        <f t="shared" si="426"/>
        <v>0</v>
      </c>
    </row>
    <row r="765" spans="1:13" ht="31.5">
      <c r="A765" s="43" t="s">
        <v>385</v>
      </c>
      <c r="B765" s="8" t="s">
        <v>351</v>
      </c>
      <c r="C765" s="8" t="s">
        <v>202</v>
      </c>
      <c r="D765" s="8"/>
      <c r="E765" s="8"/>
      <c r="F765" s="4">
        <f>F780+F766+F776</f>
        <v>17278.8</v>
      </c>
      <c r="G765" s="4">
        <f aca="true" t="shared" si="450" ref="G765:K765">G780+G766+G776</f>
        <v>17713.18431372549</v>
      </c>
      <c r="H765" s="4">
        <f t="shared" si="450"/>
        <v>19592.4</v>
      </c>
      <c r="I765" s="4">
        <f t="shared" si="450"/>
        <v>19708.1</v>
      </c>
      <c r="J765" s="4">
        <f t="shared" si="450"/>
        <v>19816.199999999997</v>
      </c>
      <c r="K765" s="4">
        <f t="shared" si="450"/>
        <v>16632.4</v>
      </c>
      <c r="L765" s="4">
        <f aca="true" t="shared" si="451" ref="L765">L780+L766+L776</f>
        <v>8427.1</v>
      </c>
      <c r="M765" s="4">
        <f t="shared" si="426"/>
        <v>50.66677088093119</v>
      </c>
    </row>
    <row r="766" spans="1:13" ht="47.25" hidden="1">
      <c r="A766" s="26" t="s">
        <v>386</v>
      </c>
      <c r="B766" s="42" t="s">
        <v>351</v>
      </c>
      <c r="C766" s="42" t="s">
        <v>202</v>
      </c>
      <c r="D766" s="21" t="s">
        <v>387</v>
      </c>
      <c r="E766" s="21"/>
      <c r="F766" s="7">
        <f>F767+F770+F773</f>
        <v>125</v>
      </c>
      <c r="G766" s="7">
        <f aca="true" t="shared" si="452" ref="G766:K766">G767+G770+G773</f>
        <v>125</v>
      </c>
      <c r="H766" s="7">
        <f t="shared" si="452"/>
        <v>0</v>
      </c>
      <c r="I766" s="7">
        <f t="shared" si="452"/>
        <v>0</v>
      </c>
      <c r="J766" s="7">
        <f t="shared" si="452"/>
        <v>0</v>
      </c>
      <c r="K766" s="7">
        <f t="shared" si="452"/>
        <v>0</v>
      </c>
      <c r="L766" s="7">
        <f aca="true" t="shared" si="453" ref="L766">L767+L770+L773</f>
        <v>0</v>
      </c>
      <c r="M766" s="4" t="e">
        <f t="shared" si="426"/>
        <v>#DIV/0!</v>
      </c>
    </row>
    <row r="767" spans="1:13" ht="31.5" customHeight="1" hidden="1">
      <c r="A767" s="26" t="s">
        <v>388</v>
      </c>
      <c r="B767" s="42" t="s">
        <v>351</v>
      </c>
      <c r="C767" s="42" t="s">
        <v>202</v>
      </c>
      <c r="D767" s="21" t="s">
        <v>389</v>
      </c>
      <c r="E767" s="21"/>
      <c r="F767" s="7">
        <f>F768</f>
        <v>0</v>
      </c>
      <c r="G767" s="7">
        <f aca="true" t="shared" si="454" ref="G767:L768">G768</f>
        <v>0</v>
      </c>
      <c r="H767" s="7">
        <f t="shared" si="454"/>
        <v>0</v>
      </c>
      <c r="I767" s="7">
        <f t="shared" si="454"/>
        <v>0</v>
      </c>
      <c r="J767" s="7">
        <f t="shared" si="454"/>
        <v>0</v>
      </c>
      <c r="K767" s="7">
        <f t="shared" si="454"/>
        <v>0</v>
      </c>
      <c r="L767" s="7">
        <f t="shared" si="454"/>
        <v>0</v>
      </c>
      <c r="M767" s="4" t="e">
        <f t="shared" si="426"/>
        <v>#DIV/0!</v>
      </c>
    </row>
    <row r="768" spans="1:13" ht="31.5" customHeight="1" hidden="1">
      <c r="A768" s="26" t="s">
        <v>183</v>
      </c>
      <c r="B768" s="42" t="s">
        <v>351</v>
      </c>
      <c r="C768" s="42" t="s">
        <v>202</v>
      </c>
      <c r="D768" s="21" t="s">
        <v>389</v>
      </c>
      <c r="E768" s="21" t="s">
        <v>184</v>
      </c>
      <c r="F768" s="7">
        <f>F769</f>
        <v>0</v>
      </c>
      <c r="G768" s="7">
        <f t="shared" si="454"/>
        <v>0</v>
      </c>
      <c r="H768" s="7">
        <f t="shared" si="454"/>
        <v>0</v>
      </c>
      <c r="I768" s="7">
        <f t="shared" si="454"/>
        <v>0</v>
      </c>
      <c r="J768" s="7">
        <f t="shared" si="454"/>
        <v>0</v>
      </c>
      <c r="K768" s="7">
        <f t="shared" si="454"/>
        <v>0</v>
      </c>
      <c r="L768" s="7">
        <f t="shared" si="454"/>
        <v>0</v>
      </c>
      <c r="M768" s="4" t="e">
        <f t="shared" si="426"/>
        <v>#DIV/0!</v>
      </c>
    </row>
    <row r="769" spans="1:13" ht="47.25" customHeight="1" hidden="1">
      <c r="A769" s="26" t="s">
        <v>185</v>
      </c>
      <c r="B769" s="42" t="s">
        <v>351</v>
      </c>
      <c r="C769" s="42" t="s">
        <v>202</v>
      </c>
      <c r="D769" s="21" t="s">
        <v>389</v>
      </c>
      <c r="E769" s="21" t="s">
        <v>186</v>
      </c>
      <c r="F769" s="7">
        <f>'Прил.№4 ведомств.'!G419</f>
        <v>0</v>
      </c>
      <c r="G769" s="7">
        <f>'Прил.№4 ведомств.'!I419</f>
        <v>0</v>
      </c>
      <c r="H769" s="7">
        <f>'Прил.№4 ведомств.'!J419</f>
        <v>0</v>
      </c>
      <c r="I769" s="7">
        <f>'Прил.№4 ведомств.'!K419</f>
        <v>0</v>
      </c>
      <c r="J769" s="7">
        <f>'Прил.№4 ведомств.'!L419</f>
        <v>0</v>
      </c>
      <c r="K769" s="7">
        <f>'Прил.№4 ведомств.'!M419</f>
        <v>0</v>
      </c>
      <c r="L769" s="7">
        <f>'Прил.№4 ведомств.'!N419</f>
        <v>0</v>
      </c>
      <c r="M769" s="4" t="e">
        <f t="shared" si="426"/>
        <v>#DIV/0!</v>
      </c>
    </row>
    <row r="770" spans="1:13" ht="31.5" hidden="1">
      <c r="A770" s="26" t="s">
        <v>390</v>
      </c>
      <c r="B770" s="42" t="s">
        <v>351</v>
      </c>
      <c r="C770" s="42" t="s">
        <v>202</v>
      </c>
      <c r="D770" s="21" t="s">
        <v>391</v>
      </c>
      <c r="E770" s="21"/>
      <c r="F770" s="7">
        <f>F771</f>
        <v>20</v>
      </c>
      <c r="G770" s="7">
        <f aca="true" t="shared" si="455" ref="G770:L771">G771</f>
        <v>20</v>
      </c>
      <c r="H770" s="7">
        <f t="shared" si="455"/>
        <v>0</v>
      </c>
      <c r="I770" s="7">
        <f t="shared" si="455"/>
        <v>0</v>
      </c>
      <c r="J770" s="7">
        <f t="shared" si="455"/>
        <v>0</v>
      </c>
      <c r="K770" s="7">
        <f t="shared" si="455"/>
        <v>0</v>
      </c>
      <c r="L770" s="7">
        <f t="shared" si="455"/>
        <v>0</v>
      </c>
      <c r="M770" s="4" t="e">
        <f t="shared" si="426"/>
        <v>#DIV/0!</v>
      </c>
    </row>
    <row r="771" spans="1:13" ht="31.5" hidden="1">
      <c r="A771" s="26" t="s">
        <v>183</v>
      </c>
      <c r="B771" s="42" t="s">
        <v>351</v>
      </c>
      <c r="C771" s="42" t="s">
        <v>202</v>
      </c>
      <c r="D771" s="21" t="s">
        <v>391</v>
      </c>
      <c r="E771" s="21" t="s">
        <v>184</v>
      </c>
      <c r="F771" s="7">
        <f>F772</f>
        <v>20</v>
      </c>
      <c r="G771" s="7">
        <f t="shared" si="455"/>
        <v>20</v>
      </c>
      <c r="H771" s="7">
        <f t="shared" si="455"/>
        <v>0</v>
      </c>
      <c r="I771" s="7">
        <f t="shared" si="455"/>
        <v>0</v>
      </c>
      <c r="J771" s="7">
        <f t="shared" si="455"/>
        <v>0</v>
      </c>
      <c r="K771" s="7">
        <f t="shared" si="455"/>
        <v>0</v>
      </c>
      <c r="L771" s="7">
        <f t="shared" si="455"/>
        <v>0</v>
      </c>
      <c r="M771" s="4" t="e">
        <f t="shared" si="426"/>
        <v>#DIV/0!</v>
      </c>
    </row>
    <row r="772" spans="1:13" ht="47.25" hidden="1">
      <c r="A772" s="26" t="s">
        <v>185</v>
      </c>
      <c r="B772" s="42" t="s">
        <v>351</v>
      </c>
      <c r="C772" s="42" t="s">
        <v>202</v>
      </c>
      <c r="D772" s="21" t="s">
        <v>391</v>
      </c>
      <c r="E772" s="21" t="s">
        <v>186</v>
      </c>
      <c r="F772" s="7">
        <f>'Прил.№4 ведомств.'!G425</f>
        <v>20</v>
      </c>
      <c r="G772" s="7">
        <f>'Прил.№4 ведомств.'!I425</f>
        <v>20</v>
      </c>
      <c r="H772" s="7">
        <f>'Прил.№4 ведомств.'!J425</f>
        <v>0</v>
      </c>
      <c r="I772" s="7">
        <f>'Прил.№4 ведомств.'!K425</f>
        <v>0</v>
      </c>
      <c r="J772" s="7">
        <f>'Прил.№4 ведомств.'!L425</f>
        <v>0</v>
      </c>
      <c r="K772" s="7">
        <f>'Прил.№4 ведомств.'!M425</f>
        <v>0</v>
      </c>
      <c r="L772" s="7">
        <f>'Прил.№4 ведомств.'!N425</f>
        <v>0</v>
      </c>
      <c r="M772" s="4" t="e">
        <f t="shared" si="426"/>
        <v>#DIV/0!</v>
      </c>
    </row>
    <row r="773" spans="1:13" ht="47.25" hidden="1">
      <c r="A773" s="26" t="s">
        <v>806</v>
      </c>
      <c r="B773" s="42" t="s">
        <v>351</v>
      </c>
      <c r="C773" s="42" t="s">
        <v>202</v>
      </c>
      <c r="D773" s="21" t="s">
        <v>763</v>
      </c>
      <c r="E773" s="21"/>
      <c r="F773" s="7">
        <f>F774</f>
        <v>105</v>
      </c>
      <c r="G773" s="7">
        <f aca="true" t="shared" si="456" ref="G773:L774">G774</f>
        <v>105</v>
      </c>
      <c r="H773" s="7">
        <f t="shared" si="456"/>
        <v>0</v>
      </c>
      <c r="I773" s="7">
        <f t="shared" si="456"/>
        <v>0</v>
      </c>
      <c r="J773" s="7">
        <f t="shared" si="456"/>
        <v>0</v>
      </c>
      <c r="K773" s="7">
        <f t="shared" si="456"/>
        <v>0</v>
      </c>
      <c r="L773" s="7">
        <f t="shared" si="456"/>
        <v>0</v>
      </c>
      <c r="M773" s="4" t="e">
        <f t="shared" si="426"/>
        <v>#DIV/0!</v>
      </c>
    </row>
    <row r="774" spans="1:13" ht="31.5" hidden="1">
      <c r="A774" s="26" t="s">
        <v>183</v>
      </c>
      <c r="B774" s="42" t="s">
        <v>351</v>
      </c>
      <c r="C774" s="42" t="s">
        <v>202</v>
      </c>
      <c r="D774" s="21" t="s">
        <v>763</v>
      </c>
      <c r="E774" s="21" t="s">
        <v>180</v>
      </c>
      <c r="F774" s="7">
        <f>F775</f>
        <v>105</v>
      </c>
      <c r="G774" s="7">
        <f t="shared" si="456"/>
        <v>105</v>
      </c>
      <c r="H774" s="7">
        <f t="shared" si="456"/>
        <v>0</v>
      </c>
      <c r="I774" s="7">
        <f t="shared" si="456"/>
        <v>0</v>
      </c>
      <c r="J774" s="7">
        <f t="shared" si="456"/>
        <v>0</v>
      </c>
      <c r="K774" s="7">
        <f t="shared" si="456"/>
        <v>0</v>
      </c>
      <c r="L774" s="7">
        <f t="shared" si="456"/>
        <v>0</v>
      </c>
      <c r="M774" s="4" t="e">
        <f t="shared" si="426"/>
        <v>#DIV/0!</v>
      </c>
    </row>
    <row r="775" spans="1:13" ht="47.25" hidden="1">
      <c r="A775" s="26" t="s">
        <v>185</v>
      </c>
      <c r="B775" s="42" t="s">
        <v>351</v>
      </c>
      <c r="C775" s="42" t="s">
        <v>202</v>
      </c>
      <c r="D775" s="21" t="s">
        <v>763</v>
      </c>
      <c r="E775" s="21" t="s">
        <v>182</v>
      </c>
      <c r="F775" s="7">
        <f>'Прил.№4 ведомств.'!G431</f>
        <v>105</v>
      </c>
      <c r="G775" s="7">
        <f>'Прил.№4 ведомств.'!I431</f>
        <v>105</v>
      </c>
      <c r="H775" s="7">
        <f>'Прил.№4 ведомств.'!J431</f>
        <v>0</v>
      </c>
      <c r="I775" s="7">
        <f>'Прил.№4 ведомств.'!K431</f>
        <v>0</v>
      </c>
      <c r="J775" s="7">
        <f>'Прил.№4 ведомств.'!L431</f>
        <v>0</v>
      </c>
      <c r="K775" s="7">
        <f>'Прил.№4 ведомств.'!M431</f>
        <v>0</v>
      </c>
      <c r="L775" s="7">
        <f>'Прил.№4 ведомств.'!N431</f>
        <v>0</v>
      </c>
      <c r="M775" s="4" t="e">
        <f t="shared" si="426"/>
        <v>#DIV/0!</v>
      </c>
    </row>
    <row r="776" spans="1:13" ht="63" hidden="1">
      <c r="A776" s="31" t="s">
        <v>805</v>
      </c>
      <c r="B776" s="42" t="s">
        <v>351</v>
      </c>
      <c r="C776" s="42" t="s">
        <v>202</v>
      </c>
      <c r="D776" s="21" t="s">
        <v>803</v>
      </c>
      <c r="E776" s="21"/>
      <c r="F776" s="7">
        <f>F777</f>
        <v>5</v>
      </c>
      <c r="G776" s="7">
        <f aca="true" t="shared" si="457" ref="G776:L778">G777</f>
        <v>5</v>
      </c>
      <c r="H776" s="7">
        <f t="shared" si="457"/>
        <v>0</v>
      </c>
      <c r="I776" s="7">
        <f t="shared" si="457"/>
        <v>0</v>
      </c>
      <c r="J776" s="7">
        <f t="shared" si="457"/>
        <v>0</v>
      </c>
      <c r="K776" s="7">
        <f t="shared" si="457"/>
        <v>0</v>
      </c>
      <c r="L776" s="7">
        <f t="shared" si="457"/>
        <v>0</v>
      </c>
      <c r="M776" s="4" t="e">
        <f t="shared" si="426"/>
        <v>#DIV/0!</v>
      </c>
    </row>
    <row r="777" spans="1:13" ht="31.5" hidden="1">
      <c r="A777" s="26" t="s">
        <v>421</v>
      </c>
      <c r="B777" s="42" t="s">
        <v>351</v>
      </c>
      <c r="C777" s="42" t="s">
        <v>202</v>
      </c>
      <c r="D777" s="21" t="s">
        <v>811</v>
      </c>
      <c r="E777" s="21"/>
      <c r="F777" s="7">
        <f>F778</f>
        <v>5</v>
      </c>
      <c r="G777" s="7">
        <f t="shared" si="457"/>
        <v>5</v>
      </c>
      <c r="H777" s="7">
        <f t="shared" si="457"/>
        <v>0</v>
      </c>
      <c r="I777" s="7">
        <f t="shared" si="457"/>
        <v>0</v>
      </c>
      <c r="J777" s="7">
        <f t="shared" si="457"/>
        <v>0</v>
      </c>
      <c r="K777" s="7">
        <f t="shared" si="457"/>
        <v>0</v>
      </c>
      <c r="L777" s="7">
        <f t="shared" si="457"/>
        <v>0</v>
      </c>
      <c r="M777" s="4" t="e">
        <f t="shared" si="426"/>
        <v>#DIV/0!</v>
      </c>
    </row>
    <row r="778" spans="1:13" ht="31.5" hidden="1">
      <c r="A778" s="26" t="s">
        <v>183</v>
      </c>
      <c r="B778" s="42" t="s">
        <v>351</v>
      </c>
      <c r="C778" s="42" t="s">
        <v>202</v>
      </c>
      <c r="D778" s="21" t="s">
        <v>811</v>
      </c>
      <c r="E778" s="21" t="s">
        <v>184</v>
      </c>
      <c r="F778" s="7">
        <f>F779</f>
        <v>5</v>
      </c>
      <c r="G778" s="7">
        <f t="shared" si="457"/>
        <v>5</v>
      </c>
      <c r="H778" s="7">
        <f t="shared" si="457"/>
        <v>0</v>
      </c>
      <c r="I778" s="7">
        <f t="shared" si="457"/>
        <v>0</v>
      </c>
      <c r="J778" s="7">
        <f t="shared" si="457"/>
        <v>0</v>
      </c>
      <c r="K778" s="7">
        <f t="shared" si="457"/>
        <v>0</v>
      </c>
      <c r="L778" s="7">
        <f t="shared" si="457"/>
        <v>0</v>
      </c>
      <c r="M778" s="4" t="e">
        <f t="shared" si="426"/>
        <v>#DIV/0!</v>
      </c>
    </row>
    <row r="779" spans="1:13" ht="47.25" hidden="1">
      <c r="A779" s="26" t="s">
        <v>185</v>
      </c>
      <c r="B779" s="42" t="s">
        <v>351</v>
      </c>
      <c r="C779" s="42" t="s">
        <v>202</v>
      </c>
      <c r="D779" s="21" t="s">
        <v>811</v>
      </c>
      <c r="E779" s="21" t="s">
        <v>186</v>
      </c>
      <c r="F779" s="7">
        <f>'Прил.№4 ведомств.'!G438</f>
        <v>5</v>
      </c>
      <c r="G779" s="7">
        <f>'Прил.№4 ведомств.'!I438</f>
        <v>5</v>
      </c>
      <c r="H779" s="7">
        <f>'Прил.№4 ведомств.'!J438</f>
        <v>0</v>
      </c>
      <c r="I779" s="7">
        <f>'Прил.№4 ведомств.'!K438</f>
        <v>0</v>
      </c>
      <c r="J779" s="7">
        <f>'Прил.№4 ведомств.'!L438</f>
        <v>0</v>
      </c>
      <c r="K779" s="7">
        <f>'Прил.№4 ведомств.'!M438</f>
        <v>0</v>
      </c>
      <c r="L779" s="7">
        <f>'Прил.№4 ведомств.'!N438</f>
        <v>0</v>
      </c>
      <c r="M779" s="4" t="e">
        <f t="shared" si="426"/>
        <v>#DIV/0!</v>
      </c>
    </row>
    <row r="780" spans="1:13" ht="15.75">
      <c r="A780" s="31" t="s">
        <v>173</v>
      </c>
      <c r="B780" s="42" t="s">
        <v>351</v>
      </c>
      <c r="C780" s="42" t="s">
        <v>202</v>
      </c>
      <c r="D780" s="42" t="s">
        <v>174</v>
      </c>
      <c r="E780" s="42"/>
      <c r="F780" s="7">
        <f>F787+F781</f>
        <v>17148.8</v>
      </c>
      <c r="G780" s="7">
        <f aca="true" t="shared" si="458" ref="G780:K780">G787+G781</f>
        <v>17583.18431372549</v>
      </c>
      <c r="H780" s="7">
        <f t="shared" si="458"/>
        <v>19592.4</v>
      </c>
      <c r="I780" s="7">
        <f t="shared" si="458"/>
        <v>19708.1</v>
      </c>
      <c r="J780" s="7">
        <f t="shared" si="458"/>
        <v>19816.199999999997</v>
      </c>
      <c r="K780" s="7">
        <f t="shared" si="458"/>
        <v>16632.4</v>
      </c>
      <c r="L780" s="7">
        <f aca="true" t="shared" si="459" ref="L780">L787+L781</f>
        <v>8427.1</v>
      </c>
      <c r="M780" s="7">
        <f t="shared" si="426"/>
        <v>50.66677088093119</v>
      </c>
    </row>
    <row r="781" spans="1:13" ht="31.5">
      <c r="A781" s="31" t="s">
        <v>175</v>
      </c>
      <c r="B781" s="42" t="s">
        <v>351</v>
      </c>
      <c r="C781" s="42" t="s">
        <v>202</v>
      </c>
      <c r="D781" s="42" t="s">
        <v>176</v>
      </c>
      <c r="E781" s="42"/>
      <c r="F781" s="7">
        <f>F782</f>
        <v>6754.9</v>
      </c>
      <c r="G781" s="7">
        <f aca="true" t="shared" si="460" ref="G781:L781">G782</f>
        <v>7268.470588235295</v>
      </c>
      <c r="H781" s="7">
        <f t="shared" si="460"/>
        <v>8328</v>
      </c>
      <c r="I781" s="7">
        <f t="shared" si="460"/>
        <v>8328</v>
      </c>
      <c r="J781" s="7">
        <f t="shared" si="460"/>
        <v>8328</v>
      </c>
      <c r="K781" s="7">
        <f t="shared" si="460"/>
        <v>6254.9</v>
      </c>
      <c r="L781" s="7">
        <f t="shared" si="460"/>
        <v>3920.1</v>
      </c>
      <c r="M781" s="7">
        <f aca="true" t="shared" si="461" ref="M781:M844">L781/K781*100</f>
        <v>62.67246478760652</v>
      </c>
    </row>
    <row r="782" spans="1:13" ht="47.25">
      <c r="A782" s="31" t="s">
        <v>177</v>
      </c>
      <c r="B782" s="42" t="s">
        <v>351</v>
      </c>
      <c r="C782" s="42" t="s">
        <v>202</v>
      </c>
      <c r="D782" s="42" t="s">
        <v>178</v>
      </c>
      <c r="E782" s="42"/>
      <c r="F782" s="7">
        <f>F783+F785</f>
        <v>6754.9</v>
      </c>
      <c r="G782" s="7">
        <f aca="true" t="shared" si="462" ref="G782:K782">G783+G785</f>
        <v>7268.470588235295</v>
      </c>
      <c r="H782" s="7">
        <f t="shared" si="462"/>
        <v>8328</v>
      </c>
      <c r="I782" s="7">
        <f t="shared" si="462"/>
        <v>8328</v>
      </c>
      <c r="J782" s="7">
        <f t="shared" si="462"/>
        <v>8328</v>
      </c>
      <c r="K782" s="7">
        <f t="shared" si="462"/>
        <v>6254.9</v>
      </c>
      <c r="L782" s="7">
        <f aca="true" t="shared" si="463" ref="L782">L783+L785</f>
        <v>3920.1</v>
      </c>
      <c r="M782" s="7">
        <f t="shared" si="461"/>
        <v>62.67246478760652</v>
      </c>
    </row>
    <row r="783" spans="1:13" ht="78.75">
      <c r="A783" s="31" t="s">
        <v>179</v>
      </c>
      <c r="B783" s="42" t="s">
        <v>351</v>
      </c>
      <c r="C783" s="42" t="s">
        <v>202</v>
      </c>
      <c r="D783" s="42" t="s">
        <v>178</v>
      </c>
      <c r="E783" s="42" t="s">
        <v>180</v>
      </c>
      <c r="F783" s="63">
        <f>F784</f>
        <v>6754.9</v>
      </c>
      <c r="G783" s="63">
        <f aca="true" t="shared" si="464" ref="G783:L783">G784</f>
        <v>7268.470588235295</v>
      </c>
      <c r="H783" s="63">
        <f t="shared" si="464"/>
        <v>8114</v>
      </c>
      <c r="I783" s="63">
        <f t="shared" si="464"/>
        <v>8114</v>
      </c>
      <c r="J783" s="63">
        <f t="shared" si="464"/>
        <v>8114</v>
      </c>
      <c r="K783" s="63">
        <f t="shared" si="464"/>
        <v>6254.9</v>
      </c>
      <c r="L783" s="63">
        <f t="shared" si="464"/>
        <v>3920.1</v>
      </c>
      <c r="M783" s="7">
        <f t="shared" si="461"/>
        <v>62.67246478760652</v>
      </c>
    </row>
    <row r="784" spans="1:13" ht="31.5">
      <c r="A784" s="31" t="s">
        <v>181</v>
      </c>
      <c r="B784" s="42" t="s">
        <v>351</v>
      </c>
      <c r="C784" s="42" t="s">
        <v>202</v>
      </c>
      <c r="D784" s="42" t="s">
        <v>178</v>
      </c>
      <c r="E784" s="42" t="s">
        <v>182</v>
      </c>
      <c r="F784" s="63">
        <f>'Прил.№4 ведомств.'!G443</f>
        <v>6754.9</v>
      </c>
      <c r="G784" s="63">
        <f>'Прил.№4 ведомств.'!I443</f>
        <v>7268.470588235295</v>
      </c>
      <c r="H784" s="63">
        <f>'Прил.№4 ведомств.'!J443</f>
        <v>8114</v>
      </c>
      <c r="I784" s="63">
        <f>'Прил.№4 ведомств.'!K443</f>
        <v>8114</v>
      </c>
      <c r="J784" s="63">
        <f>'Прил.№4 ведомств.'!L443</f>
        <v>8114</v>
      </c>
      <c r="K784" s="63">
        <f>'Прил.№4 ведомств.'!M443</f>
        <v>6254.9</v>
      </c>
      <c r="L784" s="63">
        <f>'Прил.№4 ведомств.'!N443</f>
        <v>3920.1</v>
      </c>
      <c r="M784" s="7">
        <f t="shared" si="461"/>
        <v>62.67246478760652</v>
      </c>
    </row>
    <row r="785" spans="1:13" ht="31.5" customHeight="1" hidden="1">
      <c r="A785" s="31" t="s">
        <v>183</v>
      </c>
      <c r="B785" s="42" t="s">
        <v>351</v>
      </c>
      <c r="C785" s="42" t="s">
        <v>202</v>
      </c>
      <c r="D785" s="42" t="s">
        <v>178</v>
      </c>
      <c r="E785" s="42" t="s">
        <v>184</v>
      </c>
      <c r="F785" s="63">
        <f>F786</f>
        <v>0</v>
      </c>
      <c r="G785" s="63">
        <f aca="true" t="shared" si="465" ref="G785:L785">G786</f>
        <v>0</v>
      </c>
      <c r="H785" s="63">
        <f t="shared" si="465"/>
        <v>214</v>
      </c>
      <c r="I785" s="63">
        <f t="shared" si="465"/>
        <v>214</v>
      </c>
      <c r="J785" s="63">
        <f t="shared" si="465"/>
        <v>214</v>
      </c>
      <c r="K785" s="63">
        <f t="shared" si="465"/>
        <v>0</v>
      </c>
      <c r="L785" s="63">
        <f t="shared" si="465"/>
        <v>0</v>
      </c>
      <c r="M785" s="7" t="e">
        <f t="shared" si="461"/>
        <v>#DIV/0!</v>
      </c>
    </row>
    <row r="786" spans="1:13" ht="47.25" customHeight="1" hidden="1">
      <c r="A786" s="31" t="s">
        <v>185</v>
      </c>
      <c r="B786" s="42" t="s">
        <v>351</v>
      </c>
      <c r="C786" s="42" t="s">
        <v>202</v>
      </c>
      <c r="D786" s="42" t="s">
        <v>178</v>
      </c>
      <c r="E786" s="42" t="s">
        <v>186</v>
      </c>
      <c r="F786" s="63"/>
      <c r="G786" s="63"/>
      <c r="H786" s="63">
        <f>'Прил.№4 ведомств.'!J445</f>
        <v>214</v>
      </c>
      <c r="I786" s="63">
        <f>'Прил.№4 ведомств.'!K445</f>
        <v>214</v>
      </c>
      <c r="J786" s="63">
        <f>'Прил.№4 ведомств.'!L445</f>
        <v>214</v>
      </c>
      <c r="K786" s="63">
        <f>'Прил.№4 ведомств.'!M445</f>
        <v>0</v>
      </c>
      <c r="L786" s="63">
        <f>'Прил.№4 ведомств.'!N445</f>
        <v>0</v>
      </c>
      <c r="M786" s="7" t="e">
        <f t="shared" si="461"/>
        <v>#DIV/0!</v>
      </c>
    </row>
    <row r="787" spans="1:13" ht="15.75">
      <c r="A787" s="31" t="s">
        <v>193</v>
      </c>
      <c r="B787" s="42" t="s">
        <v>351</v>
      </c>
      <c r="C787" s="42" t="s">
        <v>202</v>
      </c>
      <c r="D787" s="42" t="s">
        <v>194</v>
      </c>
      <c r="E787" s="42"/>
      <c r="F787" s="7">
        <f>F788</f>
        <v>10393.9</v>
      </c>
      <c r="G787" s="7">
        <f aca="true" t="shared" si="466" ref="G787:L787">G788</f>
        <v>10314.713725490197</v>
      </c>
      <c r="H787" s="7">
        <f t="shared" si="466"/>
        <v>11264.400000000001</v>
      </c>
      <c r="I787" s="7">
        <f t="shared" si="466"/>
        <v>11380.099999999999</v>
      </c>
      <c r="J787" s="7">
        <f t="shared" si="466"/>
        <v>11488.199999999999</v>
      </c>
      <c r="K787" s="7">
        <f t="shared" si="466"/>
        <v>10377.5</v>
      </c>
      <c r="L787" s="7">
        <f t="shared" si="466"/>
        <v>4507</v>
      </c>
      <c r="M787" s="7">
        <f t="shared" si="461"/>
        <v>43.43049867501807</v>
      </c>
    </row>
    <row r="788" spans="1:13" ht="31.5">
      <c r="A788" s="26" t="s">
        <v>392</v>
      </c>
      <c r="B788" s="42" t="s">
        <v>351</v>
      </c>
      <c r="C788" s="42" t="s">
        <v>202</v>
      </c>
      <c r="D788" s="42" t="s">
        <v>393</v>
      </c>
      <c r="E788" s="42"/>
      <c r="F788" s="7">
        <f>F789+F791+F793</f>
        <v>10393.9</v>
      </c>
      <c r="G788" s="7">
        <f aca="true" t="shared" si="467" ref="G788:K788">G789+G791+G793</f>
        <v>10314.713725490197</v>
      </c>
      <c r="H788" s="7">
        <f t="shared" si="467"/>
        <v>11264.400000000001</v>
      </c>
      <c r="I788" s="7">
        <f t="shared" si="467"/>
        <v>11380.099999999999</v>
      </c>
      <c r="J788" s="7">
        <f t="shared" si="467"/>
        <v>11488.199999999999</v>
      </c>
      <c r="K788" s="7">
        <f t="shared" si="467"/>
        <v>10377.5</v>
      </c>
      <c r="L788" s="7">
        <f aca="true" t="shared" si="468" ref="L788">L789+L791+L793</f>
        <v>4507</v>
      </c>
      <c r="M788" s="7">
        <f t="shared" si="461"/>
        <v>43.43049867501807</v>
      </c>
    </row>
    <row r="789" spans="1:13" ht="78.75">
      <c r="A789" s="31" t="s">
        <v>179</v>
      </c>
      <c r="B789" s="42" t="s">
        <v>351</v>
      </c>
      <c r="C789" s="42" t="s">
        <v>202</v>
      </c>
      <c r="D789" s="42" t="s">
        <v>393</v>
      </c>
      <c r="E789" s="42" t="s">
        <v>180</v>
      </c>
      <c r="F789" s="63">
        <f>F790</f>
        <v>8721.4</v>
      </c>
      <c r="G789" s="63">
        <f aca="true" t="shared" si="469" ref="G789:L789">G790</f>
        <v>9111.24705882353</v>
      </c>
      <c r="H789" s="63">
        <f t="shared" si="469"/>
        <v>9109.2</v>
      </c>
      <c r="I789" s="63">
        <f t="shared" si="469"/>
        <v>9200.3</v>
      </c>
      <c r="J789" s="63">
        <f t="shared" si="469"/>
        <v>9292.3</v>
      </c>
      <c r="K789" s="63">
        <f t="shared" si="469"/>
        <v>8721.4</v>
      </c>
      <c r="L789" s="63">
        <f t="shared" si="469"/>
        <v>3965.8</v>
      </c>
      <c r="M789" s="7">
        <f t="shared" si="461"/>
        <v>45.472057238516754</v>
      </c>
    </row>
    <row r="790" spans="1:13" ht="31.5">
      <c r="A790" s="48" t="s">
        <v>394</v>
      </c>
      <c r="B790" s="42" t="s">
        <v>351</v>
      </c>
      <c r="C790" s="42" t="s">
        <v>202</v>
      </c>
      <c r="D790" s="42" t="s">
        <v>393</v>
      </c>
      <c r="E790" s="42" t="s">
        <v>261</v>
      </c>
      <c r="F790" s="63">
        <f>'Прил.№4 ведомств.'!G449</f>
        <v>8721.4</v>
      </c>
      <c r="G790" s="63">
        <f>'Прил.№4 ведомств.'!I449</f>
        <v>9111.24705882353</v>
      </c>
      <c r="H790" s="63">
        <f>'Прил.№4 ведомств.'!J449</f>
        <v>9109.2</v>
      </c>
      <c r="I790" s="63">
        <f>'Прил.№4 ведомств.'!K449</f>
        <v>9200.3</v>
      </c>
      <c r="J790" s="63">
        <f>'Прил.№4 ведомств.'!L449</f>
        <v>9292.3</v>
      </c>
      <c r="K790" s="63">
        <f>'Прил.№4 ведомств.'!M449</f>
        <v>8721.4</v>
      </c>
      <c r="L790" s="63">
        <f>'Прил.№4 ведомств.'!N449</f>
        <v>3965.8</v>
      </c>
      <c r="M790" s="7">
        <f t="shared" si="461"/>
        <v>45.472057238516754</v>
      </c>
    </row>
    <row r="791" spans="1:13" ht="31.5">
      <c r="A791" s="31" t="s">
        <v>183</v>
      </c>
      <c r="B791" s="42" t="s">
        <v>351</v>
      </c>
      <c r="C791" s="42" t="s">
        <v>202</v>
      </c>
      <c r="D791" s="42" t="s">
        <v>393</v>
      </c>
      <c r="E791" s="42" t="s">
        <v>184</v>
      </c>
      <c r="F791" s="63">
        <f>F792</f>
        <v>1652.5</v>
      </c>
      <c r="G791" s="63">
        <f aca="true" t="shared" si="470" ref="G791:L791">G792</f>
        <v>1183.4666666666667</v>
      </c>
      <c r="H791" s="63">
        <f t="shared" si="470"/>
        <v>2135.2</v>
      </c>
      <c r="I791" s="63">
        <f t="shared" si="470"/>
        <v>2159.8</v>
      </c>
      <c r="J791" s="63">
        <f t="shared" si="470"/>
        <v>2175.9</v>
      </c>
      <c r="K791" s="63">
        <f t="shared" si="470"/>
        <v>1636.1</v>
      </c>
      <c r="L791" s="63">
        <f t="shared" si="470"/>
        <v>536.2</v>
      </c>
      <c r="M791" s="7">
        <f t="shared" si="461"/>
        <v>32.77305788154759</v>
      </c>
    </row>
    <row r="792" spans="1:13" ht="47.25">
      <c r="A792" s="31" t="s">
        <v>185</v>
      </c>
      <c r="B792" s="42" t="s">
        <v>351</v>
      </c>
      <c r="C792" s="42" t="s">
        <v>202</v>
      </c>
      <c r="D792" s="42" t="s">
        <v>393</v>
      </c>
      <c r="E792" s="42" t="s">
        <v>186</v>
      </c>
      <c r="F792" s="63">
        <f>'Прил.№4 ведомств.'!G451</f>
        <v>1652.5</v>
      </c>
      <c r="G792" s="63">
        <f>'Прил.№4 ведомств.'!I451</f>
        <v>1183.4666666666667</v>
      </c>
      <c r="H792" s="63">
        <f>'Прил.№4 ведомств.'!J451</f>
        <v>2135.2</v>
      </c>
      <c r="I792" s="63">
        <f>'Прил.№4 ведомств.'!K451</f>
        <v>2159.8</v>
      </c>
      <c r="J792" s="63">
        <f>'Прил.№4 ведомств.'!L451</f>
        <v>2175.9</v>
      </c>
      <c r="K792" s="63">
        <f>'Прил.№4 ведомств.'!M451</f>
        <v>1636.1</v>
      </c>
      <c r="L792" s="63">
        <f>'Прил.№4 ведомств.'!N451</f>
        <v>536.2</v>
      </c>
      <c r="M792" s="7">
        <f t="shared" si="461"/>
        <v>32.77305788154759</v>
      </c>
    </row>
    <row r="793" spans="1:13" ht="15.75">
      <c r="A793" s="31" t="s">
        <v>187</v>
      </c>
      <c r="B793" s="42" t="s">
        <v>351</v>
      </c>
      <c r="C793" s="42" t="s">
        <v>202</v>
      </c>
      <c r="D793" s="42" t="s">
        <v>393</v>
      </c>
      <c r="E793" s="42" t="s">
        <v>197</v>
      </c>
      <c r="F793" s="63">
        <f>F794</f>
        <v>20</v>
      </c>
      <c r="G793" s="63">
        <f aca="true" t="shared" si="471" ref="G793:L793">G794</f>
        <v>20</v>
      </c>
      <c r="H793" s="63">
        <f t="shared" si="471"/>
        <v>20</v>
      </c>
      <c r="I793" s="63">
        <f t="shared" si="471"/>
        <v>20</v>
      </c>
      <c r="J793" s="63">
        <f t="shared" si="471"/>
        <v>20</v>
      </c>
      <c r="K793" s="63">
        <f t="shared" si="471"/>
        <v>20</v>
      </c>
      <c r="L793" s="63">
        <f t="shared" si="471"/>
        <v>5</v>
      </c>
      <c r="M793" s="7">
        <f t="shared" si="461"/>
        <v>25</v>
      </c>
    </row>
    <row r="794" spans="1:13" ht="15.75">
      <c r="A794" s="31" t="s">
        <v>621</v>
      </c>
      <c r="B794" s="42" t="s">
        <v>351</v>
      </c>
      <c r="C794" s="42" t="s">
        <v>202</v>
      </c>
      <c r="D794" s="42" t="s">
        <v>393</v>
      </c>
      <c r="E794" s="42" t="s">
        <v>190</v>
      </c>
      <c r="F794" s="63">
        <f>'Прил.№4 ведомств.'!G453</f>
        <v>20</v>
      </c>
      <c r="G794" s="63">
        <f>'Прил.№4 ведомств.'!I453</f>
        <v>20</v>
      </c>
      <c r="H794" s="63">
        <f>'Прил.№4 ведомств.'!J453</f>
        <v>20</v>
      </c>
      <c r="I794" s="63">
        <f>'Прил.№4 ведомств.'!K453</f>
        <v>20</v>
      </c>
      <c r="J794" s="63">
        <f>'Прил.№4 ведомств.'!L453</f>
        <v>20</v>
      </c>
      <c r="K794" s="63">
        <f>'Прил.№4 ведомств.'!M453</f>
        <v>20</v>
      </c>
      <c r="L794" s="63">
        <f>'Прил.№4 ведомств.'!N453</f>
        <v>5</v>
      </c>
      <c r="M794" s="7">
        <f t="shared" si="461"/>
        <v>25</v>
      </c>
    </row>
    <row r="795" spans="1:13" ht="15.75">
      <c r="A795" s="43" t="s">
        <v>295</v>
      </c>
      <c r="B795" s="8" t="s">
        <v>296</v>
      </c>
      <c r="C795" s="8"/>
      <c r="D795" s="8"/>
      <c r="E795" s="8"/>
      <c r="F795" s="4">
        <f>F796+F802+F888+F880</f>
        <v>16937</v>
      </c>
      <c r="G795" s="4">
        <f aca="true" t="shared" si="472" ref="G795:K795">G796+G802+G888+G880</f>
        <v>16927</v>
      </c>
      <c r="H795" s="4">
        <f t="shared" si="472"/>
        <v>17517.8</v>
      </c>
      <c r="I795" s="4">
        <f t="shared" si="472"/>
        <v>17632.8</v>
      </c>
      <c r="J795" s="4">
        <f t="shared" si="472"/>
        <v>17677.8</v>
      </c>
      <c r="K795" s="4">
        <f t="shared" si="472"/>
        <v>17226.8</v>
      </c>
      <c r="L795" s="4">
        <f aca="true" t="shared" si="473" ref="L795">L796+L802+L888+L880</f>
        <v>7191.5</v>
      </c>
      <c r="M795" s="4">
        <f t="shared" si="461"/>
        <v>41.746000417953425</v>
      </c>
    </row>
    <row r="796" spans="1:13" ht="15.75">
      <c r="A796" s="43" t="s">
        <v>297</v>
      </c>
      <c r="B796" s="8" t="s">
        <v>296</v>
      </c>
      <c r="C796" s="8" t="s">
        <v>170</v>
      </c>
      <c r="D796" s="8"/>
      <c r="E796" s="8"/>
      <c r="F796" s="4">
        <f>F798</f>
        <v>9066.4</v>
      </c>
      <c r="G796" s="4">
        <f aca="true" t="shared" si="474" ref="G796:K796">G798</f>
        <v>9066.4</v>
      </c>
      <c r="H796" s="4">
        <f t="shared" si="474"/>
        <v>9066.5</v>
      </c>
      <c r="I796" s="4">
        <f t="shared" si="474"/>
        <v>9066.5</v>
      </c>
      <c r="J796" s="4">
        <f t="shared" si="474"/>
        <v>9066.5</v>
      </c>
      <c r="K796" s="4">
        <f t="shared" si="474"/>
        <v>9066.4</v>
      </c>
      <c r="L796" s="4">
        <f aca="true" t="shared" si="475" ref="L796">L798</f>
        <v>4536.8</v>
      </c>
      <c r="M796" s="4">
        <f t="shared" si="461"/>
        <v>50.03970705020736</v>
      </c>
    </row>
    <row r="797" spans="1:13" ht="15.75">
      <c r="A797" s="31" t="s">
        <v>173</v>
      </c>
      <c r="B797" s="42" t="s">
        <v>296</v>
      </c>
      <c r="C797" s="42" t="s">
        <v>170</v>
      </c>
      <c r="D797" s="42" t="s">
        <v>174</v>
      </c>
      <c r="E797" s="42"/>
      <c r="F797" s="7">
        <f>F798</f>
        <v>9066.4</v>
      </c>
      <c r="G797" s="7">
        <f aca="true" t="shared" si="476" ref="G797:L800">G798</f>
        <v>9066.4</v>
      </c>
      <c r="H797" s="7">
        <f t="shared" si="476"/>
        <v>9066.5</v>
      </c>
      <c r="I797" s="7">
        <f t="shared" si="476"/>
        <v>9066.5</v>
      </c>
      <c r="J797" s="7">
        <f t="shared" si="476"/>
        <v>9066.5</v>
      </c>
      <c r="K797" s="7">
        <f t="shared" si="476"/>
        <v>9066.4</v>
      </c>
      <c r="L797" s="7">
        <f t="shared" si="476"/>
        <v>4536.8</v>
      </c>
      <c r="M797" s="7">
        <f t="shared" si="461"/>
        <v>50.03970705020736</v>
      </c>
    </row>
    <row r="798" spans="1:13" ht="15.75">
      <c r="A798" s="31" t="s">
        <v>193</v>
      </c>
      <c r="B798" s="42" t="s">
        <v>296</v>
      </c>
      <c r="C798" s="42" t="s">
        <v>170</v>
      </c>
      <c r="D798" s="42" t="s">
        <v>194</v>
      </c>
      <c r="E798" s="42"/>
      <c r="F798" s="7">
        <f>F799</f>
        <v>9066.4</v>
      </c>
      <c r="G798" s="7">
        <f t="shared" si="476"/>
        <v>9066.4</v>
      </c>
      <c r="H798" s="7">
        <f t="shared" si="476"/>
        <v>9066.5</v>
      </c>
      <c r="I798" s="7">
        <f t="shared" si="476"/>
        <v>9066.5</v>
      </c>
      <c r="J798" s="7">
        <f t="shared" si="476"/>
        <v>9066.5</v>
      </c>
      <c r="K798" s="7">
        <f t="shared" si="476"/>
        <v>9066.4</v>
      </c>
      <c r="L798" s="7">
        <f t="shared" si="476"/>
        <v>4536.8</v>
      </c>
      <c r="M798" s="7">
        <f t="shared" si="461"/>
        <v>50.03970705020736</v>
      </c>
    </row>
    <row r="799" spans="1:13" ht="15.75">
      <c r="A799" s="31" t="s">
        <v>298</v>
      </c>
      <c r="B799" s="42" t="s">
        <v>296</v>
      </c>
      <c r="C799" s="42" t="s">
        <v>170</v>
      </c>
      <c r="D799" s="42" t="s">
        <v>299</v>
      </c>
      <c r="E799" s="42"/>
      <c r="F799" s="7">
        <f>F800</f>
        <v>9066.4</v>
      </c>
      <c r="G799" s="7">
        <f t="shared" si="476"/>
        <v>9066.4</v>
      </c>
      <c r="H799" s="7">
        <f t="shared" si="476"/>
        <v>9066.5</v>
      </c>
      <c r="I799" s="7">
        <f t="shared" si="476"/>
        <v>9066.5</v>
      </c>
      <c r="J799" s="7">
        <f t="shared" si="476"/>
        <v>9066.5</v>
      </c>
      <c r="K799" s="7">
        <f t="shared" si="476"/>
        <v>9066.4</v>
      </c>
      <c r="L799" s="7">
        <f t="shared" si="476"/>
        <v>4536.8</v>
      </c>
      <c r="M799" s="7">
        <f t="shared" si="461"/>
        <v>50.03970705020736</v>
      </c>
    </row>
    <row r="800" spans="1:13" ht="31.5">
      <c r="A800" s="31" t="s">
        <v>300</v>
      </c>
      <c r="B800" s="42" t="s">
        <v>296</v>
      </c>
      <c r="C800" s="42" t="s">
        <v>170</v>
      </c>
      <c r="D800" s="42" t="s">
        <v>299</v>
      </c>
      <c r="E800" s="42" t="s">
        <v>301</v>
      </c>
      <c r="F800" s="7">
        <f>F801</f>
        <v>9066.4</v>
      </c>
      <c r="G800" s="7">
        <f t="shared" si="476"/>
        <v>9066.4</v>
      </c>
      <c r="H800" s="7">
        <f t="shared" si="476"/>
        <v>9066.5</v>
      </c>
      <c r="I800" s="7">
        <f t="shared" si="476"/>
        <v>9066.5</v>
      </c>
      <c r="J800" s="7">
        <f t="shared" si="476"/>
        <v>9066.5</v>
      </c>
      <c r="K800" s="7">
        <f t="shared" si="476"/>
        <v>9066.4</v>
      </c>
      <c r="L800" s="7">
        <f t="shared" si="476"/>
        <v>4536.8</v>
      </c>
      <c r="M800" s="7">
        <f t="shared" si="461"/>
        <v>50.03970705020736</v>
      </c>
    </row>
    <row r="801" spans="1:13" ht="31.5">
      <c r="A801" s="31" t="s">
        <v>302</v>
      </c>
      <c r="B801" s="42" t="s">
        <v>296</v>
      </c>
      <c r="C801" s="42" t="s">
        <v>170</v>
      </c>
      <c r="D801" s="42" t="s">
        <v>299</v>
      </c>
      <c r="E801" s="42" t="s">
        <v>303</v>
      </c>
      <c r="F801" s="63">
        <f>'Прил.№4 ведомств.'!G224</f>
        <v>9066.4</v>
      </c>
      <c r="G801" s="63">
        <f>'Прил.№4 ведомств.'!I224</f>
        <v>9066.4</v>
      </c>
      <c r="H801" s="63">
        <f>'Прил.№4 ведомств.'!J224</f>
        <v>9066.5</v>
      </c>
      <c r="I801" s="63">
        <f>'Прил.№4 ведомств.'!K224</f>
        <v>9066.5</v>
      </c>
      <c r="J801" s="63">
        <f>'Прил.№4 ведомств.'!L224</f>
        <v>9066.5</v>
      </c>
      <c r="K801" s="63">
        <f>'Прил.№4 ведомств.'!M224</f>
        <v>9066.4</v>
      </c>
      <c r="L801" s="63">
        <f>'Прил.№4 ведомств.'!N224</f>
        <v>4536.8</v>
      </c>
      <c r="M801" s="7">
        <f t="shared" si="461"/>
        <v>50.03970705020736</v>
      </c>
    </row>
    <row r="802" spans="1:13" ht="15.75">
      <c r="A802" s="43" t="s">
        <v>304</v>
      </c>
      <c r="B802" s="8" t="s">
        <v>296</v>
      </c>
      <c r="C802" s="8" t="s">
        <v>267</v>
      </c>
      <c r="D802" s="8"/>
      <c r="E802" s="8"/>
      <c r="F802" s="4">
        <f>F803+F860+F856</f>
        <v>4635</v>
      </c>
      <c r="G802" s="4">
        <f aca="true" t="shared" si="477" ref="G802:K802">G803+G860+G856</f>
        <v>4625</v>
      </c>
      <c r="H802" s="4">
        <f t="shared" si="477"/>
        <v>5195</v>
      </c>
      <c r="I802" s="4">
        <f t="shared" si="477"/>
        <v>5310</v>
      </c>
      <c r="J802" s="4">
        <f t="shared" si="477"/>
        <v>5355</v>
      </c>
      <c r="K802" s="4">
        <f t="shared" si="477"/>
        <v>4546.1</v>
      </c>
      <c r="L802" s="4">
        <f aca="true" t="shared" si="478" ref="L802">L803+L860+L856</f>
        <v>1267.7</v>
      </c>
      <c r="M802" s="4">
        <f t="shared" si="461"/>
        <v>27.885440267482014</v>
      </c>
    </row>
    <row r="803" spans="1:13" ht="47.25">
      <c r="A803" s="31" t="s">
        <v>395</v>
      </c>
      <c r="B803" s="42" t="s">
        <v>296</v>
      </c>
      <c r="C803" s="42" t="s">
        <v>267</v>
      </c>
      <c r="D803" s="42" t="s">
        <v>396</v>
      </c>
      <c r="E803" s="42"/>
      <c r="F803" s="7">
        <f>F804+F815+F819+F823+F829+F833+F837+F852</f>
        <v>3693</v>
      </c>
      <c r="G803" s="7">
        <f aca="true" t="shared" si="479" ref="G803:K803">G804+G815+G819+G823+G829+G833+G837+G852</f>
        <v>3693</v>
      </c>
      <c r="H803" s="7">
        <f t="shared" si="479"/>
        <v>5185</v>
      </c>
      <c r="I803" s="7">
        <f t="shared" si="479"/>
        <v>5300</v>
      </c>
      <c r="J803" s="7">
        <f t="shared" si="479"/>
        <v>5345</v>
      </c>
      <c r="K803" s="7">
        <f t="shared" si="479"/>
        <v>3753</v>
      </c>
      <c r="L803" s="7">
        <f aca="true" t="shared" si="480" ref="L803">L804+L815+L819+L823+L829+L833+L837+L852</f>
        <v>1267.7</v>
      </c>
      <c r="M803" s="7">
        <f t="shared" si="461"/>
        <v>33.77831068478551</v>
      </c>
    </row>
    <row r="804" spans="1:13" ht="31.5">
      <c r="A804" s="31" t="s">
        <v>397</v>
      </c>
      <c r="B804" s="42" t="s">
        <v>296</v>
      </c>
      <c r="C804" s="42" t="s">
        <v>267</v>
      </c>
      <c r="D804" s="42" t="s">
        <v>398</v>
      </c>
      <c r="E804" s="42"/>
      <c r="F804" s="7">
        <f>F805+F812+F810</f>
        <v>935</v>
      </c>
      <c r="G804" s="7">
        <f aca="true" t="shared" si="481" ref="G804:J804">G805+G812+G810</f>
        <v>935</v>
      </c>
      <c r="H804" s="7">
        <f t="shared" si="481"/>
        <v>985</v>
      </c>
      <c r="I804" s="7">
        <f t="shared" si="481"/>
        <v>1020</v>
      </c>
      <c r="J804" s="7">
        <f t="shared" si="481"/>
        <v>1035</v>
      </c>
      <c r="K804" s="7">
        <f>K805+K812</f>
        <v>1000</v>
      </c>
      <c r="L804" s="7">
        <f aca="true" t="shared" si="482" ref="L804">L805+L812</f>
        <v>331.3</v>
      </c>
      <c r="M804" s="7">
        <f t="shared" si="461"/>
        <v>33.13</v>
      </c>
    </row>
    <row r="805" spans="1:13" ht="31.5">
      <c r="A805" s="31" t="s">
        <v>209</v>
      </c>
      <c r="B805" s="42" t="s">
        <v>296</v>
      </c>
      <c r="C805" s="42" t="s">
        <v>267</v>
      </c>
      <c r="D805" s="42" t="s">
        <v>399</v>
      </c>
      <c r="E805" s="42"/>
      <c r="F805" s="7">
        <f>F808</f>
        <v>641.4</v>
      </c>
      <c r="G805" s="7">
        <f>G808</f>
        <v>641.4</v>
      </c>
      <c r="H805" s="7">
        <f>H808</f>
        <v>641.4</v>
      </c>
      <c r="I805" s="7">
        <f>I808</f>
        <v>641.4</v>
      </c>
      <c r="J805" s="7">
        <f>J808</f>
        <v>641.4</v>
      </c>
      <c r="K805" s="7">
        <f>K808+K806+K810</f>
        <v>731.4</v>
      </c>
      <c r="L805" s="7">
        <f aca="true" t="shared" si="483" ref="L805">L808+L806+L810</f>
        <v>331.3</v>
      </c>
      <c r="M805" s="7">
        <f t="shared" si="461"/>
        <v>45.296691277003006</v>
      </c>
    </row>
    <row r="806" spans="1:13" ht="78.75">
      <c r="A806" s="26" t="s">
        <v>179</v>
      </c>
      <c r="B806" s="42" t="s">
        <v>296</v>
      </c>
      <c r="C806" s="42" t="s">
        <v>267</v>
      </c>
      <c r="D806" s="42" t="s">
        <v>399</v>
      </c>
      <c r="E806" s="42" t="s">
        <v>180</v>
      </c>
      <c r="F806" s="7"/>
      <c r="G806" s="7"/>
      <c r="H806" s="7"/>
      <c r="I806" s="7"/>
      <c r="J806" s="7"/>
      <c r="K806" s="7">
        <f>K807</f>
        <v>40</v>
      </c>
      <c r="L806" s="7">
        <f aca="true" t="shared" si="484" ref="L806">L807</f>
        <v>5</v>
      </c>
      <c r="M806" s="7">
        <f t="shared" si="461"/>
        <v>12.5</v>
      </c>
    </row>
    <row r="807" spans="1:13" ht="31.5">
      <c r="A807" s="26" t="s">
        <v>394</v>
      </c>
      <c r="B807" s="42" t="s">
        <v>296</v>
      </c>
      <c r="C807" s="42" t="s">
        <v>267</v>
      </c>
      <c r="D807" s="42" t="s">
        <v>399</v>
      </c>
      <c r="E807" s="42" t="s">
        <v>261</v>
      </c>
      <c r="F807" s="7"/>
      <c r="G807" s="7"/>
      <c r="H807" s="7"/>
      <c r="I807" s="7"/>
      <c r="J807" s="7"/>
      <c r="K807" s="7">
        <f>'Прил.№4 ведомств.'!M460</f>
        <v>40</v>
      </c>
      <c r="L807" s="7">
        <f>'Прил.№4 ведомств.'!N460</f>
        <v>5</v>
      </c>
      <c r="M807" s="7">
        <f t="shared" si="461"/>
        <v>12.5</v>
      </c>
    </row>
    <row r="808" spans="1:13" ht="31.5">
      <c r="A808" s="31" t="s">
        <v>183</v>
      </c>
      <c r="B808" s="42" t="s">
        <v>296</v>
      </c>
      <c r="C808" s="42" t="s">
        <v>267</v>
      </c>
      <c r="D808" s="42" t="s">
        <v>399</v>
      </c>
      <c r="E808" s="42" t="s">
        <v>184</v>
      </c>
      <c r="F808" s="7">
        <f>F809</f>
        <v>641.4</v>
      </c>
      <c r="G808" s="7">
        <f aca="true" t="shared" si="485" ref="G808:L808">G809</f>
        <v>641.4</v>
      </c>
      <c r="H808" s="7">
        <f t="shared" si="485"/>
        <v>641.4</v>
      </c>
      <c r="I808" s="7">
        <f t="shared" si="485"/>
        <v>641.4</v>
      </c>
      <c r="J808" s="7">
        <f t="shared" si="485"/>
        <v>641.4</v>
      </c>
      <c r="K808" s="7">
        <f t="shared" si="485"/>
        <v>666.4</v>
      </c>
      <c r="L808" s="7">
        <f t="shared" si="485"/>
        <v>301.3</v>
      </c>
      <c r="M808" s="7">
        <f t="shared" si="461"/>
        <v>45.21308523409364</v>
      </c>
    </row>
    <row r="809" spans="1:13" ht="47.25">
      <c r="A809" s="31" t="s">
        <v>185</v>
      </c>
      <c r="B809" s="42" t="s">
        <v>296</v>
      </c>
      <c r="C809" s="42" t="s">
        <v>267</v>
      </c>
      <c r="D809" s="42" t="s">
        <v>399</v>
      </c>
      <c r="E809" s="42" t="s">
        <v>186</v>
      </c>
      <c r="F809" s="7">
        <f>'Прил.№4 ведомств.'!G462</f>
        <v>641.4</v>
      </c>
      <c r="G809" s="7">
        <f>'Прил.№4 ведомств.'!I462</f>
        <v>641.4</v>
      </c>
      <c r="H809" s="7">
        <f>'Прил.№4 ведомств.'!J462</f>
        <v>641.4</v>
      </c>
      <c r="I809" s="7">
        <f>'Прил.№4 ведомств.'!K462</f>
        <v>641.4</v>
      </c>
      <c r="J809" s="7">
        <f>'Прил.№4 ведомств.'!L462</f>
        <v>641.4</v>
      </c>
      <c r="K809" s="7">
        <f>'Прил.№4 ведомств.'!M462</f>
        <v>666.4</v>
      </c>
      <c r="L809" s="7">
        <f>'Прил.№4 ведомств.'!N462</f>
        <v>301.3</v>
      </c>
      <c r="M809" s="7">
        <f t="shared" si="461"/>
        <v>45.21308523409364</v>
      </c>
    </row>
    <row r="810" spans="1:13" ht="31.5">
      <c r="A810" s="31" t="s">
        <v>300</v>
      </c>
      <c r="B810" s="42" t="s">
        <v>296</v>
      </c>
      <c r="C810" s="42" t="s">
        <v>267</v>
      </c>
      <c r="D810" s="42" t="s">
        <v>399</v>
      </c>
      <c r="E810" s="42" t="s">
        <v>301</v>
      </c>
      <c r="F810" s="7">
        <f>F811</f>
        <v>25</v>
      </c>
      <c r="G810" s="7">
        <f aca="true" t="shared" si="486" ref="G810:L810">G811</f>
        <v>25</v>
      </c>
      <c r="H810" s="7">
        <f t="shared" si="486"/>
        <v>75</v>
      </c>
      <c r="I810" s="7">
        <f t="shared" si="486"/>
        <v>110</v>
      </c>
      <c r="J810" s="7">
        <f t="shared" si="486"/>
        <v>125</v>
      </c>
      <c r="K810" s="7">
        <f t="shared" si="486"/>
        <v>25</v>
      </c>
      <c r="L810" s="7">
        <f t="shared" si="486"/>
        <v>25</v>
      </c>
      <c r="M810" s="7">
        <f t="shared" si="461"/>
        <v>100</v>
      </c>
    </row>
    <row r="811" spans="1:13" ht="31.5">
      <c r="A811" s="31" t="s">
        <v>400</v>
      </c>
      <c r="B811" s="42" t="s">
        <v>296</v>
      </c>
      <c r="C811" s="42" t="s">
        <v>267</v>
      </c>
      <c r="D811" s="42" t="s">
        <v>399</v>
      </c>
      <c r="E811" s="42" t="s">
        <v>401</v>
      </c>
      <c r="F811" s="7">
        <f>'Прил.№4 ведомств.'!G464</f>
        <v>25</v>
      </c>
      <c r="G811" s="7">
        <f>'Прил.№4 ведомств.'!I464</f>
        <v>25</v>
      </c>
      <c r="H811" s="7">
        <f>'Прил.№4 ведомств.'!J464</f>
        <v>75</v>
      </c>
      <c r="I811" s="7">
        <f>'Прил.№4 ведомств.'!K464</f>
        <v>110</v>
      </c>
      <c r="J811" s="7">
        <f>'Прил.№4 ведомств.'!L464</f>
        <v>125</v>
      </c>
      <c r="K811" s="7">
        <f>'Прил.№4 ведомств.'!M464</f>
        <v>25</v>
      </c>
      <c r="L811" s="7">
        <f>'Прил.№4 ведомств.'!N464</f>
        <v>25</v>
      </c>
      <c r="M811" s="7">
        <f t="shared" si="461"/>
        <v>100</v>
      </c>
    </row>
    <row r="812" spans="1:13" ht="31.5">
      <c r="A812" s="26" t="s">
        <v>402</v>
      </c>
      <c r="B812" s="42" t="s">
        <v>296</v>
      </c>
      <c r="C812" s="42" t="s">
        <v>267</v>
      </c>
      <c r="D812" s="21" t="s">
        <v>403</v>
      </c>
      <c r="E812" s="42"/>
      <c r="F812" s="7">
        <f>F813</f>
        <v>268.6</v>
      </c>
      <c r="G812" s="7">
        <f aca="true" t="shared" si="487" ref="G812:L813">G813</f>
        <v>268.6</v>
      </c>
      <c r="H812" s="7">
        <f t="shared" si="487"/>
        <v>268.6</v>
      </c>
      <c r="I812" s="7">
        <f t="shared" si="487"/>
        <v>268.6</v>
      </c>
      <c r="J812" s="7">
        <f t="shared" si="487"/>
        <v>268.6</v>
      </c>
      <c r="K812" s="7">
        <f t="shared" si="487"/>
        <v>268.6</v>
      </c>
      <c r="L812" s="7">
        <f t="shared" si="487"/>
        <v>0</v>
      </c>
      <c r="M812" s="7">
        <f t="shared" si="461"/>
        <v>0</v>
      </c>
    </row>
    <row r="813" spans="1:13" ht="47.25">
      <c r="A813" s="26" t="s">
        <v>324</v>
      </c>
      <c r="B813" s="42" t="s">
        <v>296</v>
      </c>
      <c r="C813" s="42" t="s">
        <v>267</v>
      </c>
      <c r="D813" s="21" t="s">
        <v>403</v>
      </c>
      <c r="E813" s="42" t="s">
        <v>325</v>
      </c>
      <c r="F813" s="7">
        <f>F814</f>
        <v>268.6</v>
      </c>
      <c r="G813" s="7">
        <f t="shared" si="487"/>
        <v>268.6</v>
      </c>
      <c r="H813" s="7">
        <f t="shared" si="487"/>
        <v>268.6</v>
      </c>
      <c r="I813" s="7">
        <f t="shared" si="487"/>
        <v>268.6</v>
      </c>
      <c r="J813" s="7">
        <f t="shared" si="487"/>
        <v>268.6</v>
      </c>
      <c r="K813" s="7">
        <f t="shared" si="487"/>
        <v>268.6</v>
      </c>
      <c r="L813" s="7">
        <f t="shared" si="487"/>
        <v>0</v>
      </c>
      <c r="M813" s="7">
        <f t="shared" si="461"/>
        <v>0</v>
      </c>
    </row>
    <row r="814" spans="1:13" ht="15.75">
      <c r="A814" s="26" t="s">
        <v>326</v>
      </c>
      <c r="B814" s="42" t="s">
        <v>296</v>
      </c>
      <c r="C814" s="42" t="s">
        <v>267</v>
      </c>
      <c r="D814" s="21" t="s">
        <v>403</v>
      </c>
      <c r="E814" s="42" t="s">
        <v>327</v>
      </c>
      <c r="F814" s="7">
        <f>'Прил.№4 ведомств.'!G467</f>
        <v>268.6</v>
      </c>
      <c r="G814" s="7">
        <f>'Прил.№4 ведомств.'!I467</f>
        <v>268.6</v>
      </c>
      <c r="H814" s="7">
        <f>'Прил.№4 ведомств.'!J467</f>
        <v>268.6</v>
      </c>
      <c r="I814" s="7">
        <f>'Прил.№4 ведомств.'!K467</f>
        <v>268.6</v>
      </c>
      <c r="J814" s="7">
        <f>'Прил.№4 ведомств.'!L467</f>
        <v>268.6</v>
      </c>
      <c r="K814" s="7">
        <f>'Прил.№4 ведомств.'!M467</f>
        <v>268.6</v>
      </c>
      <c r="L814" s="7">
        <f>'Прил.№4 ведомств.'!N467</f>
        <v>0</v>
      </c>
      <c r="M814" s="7">
        <f t="shared" si="461"/>
        <v>0</v>
      </c>
    </row>
    <row r="815" spans="1:13" ht="31.5">
      <c r="A815" s="31" t="s">
        <v>404</v>
      </c>
      <c r="B815" s="42" t="s">
        <v>296</v>
      </c>
      <c r="C815" s="42" t="s">
        <v>267</v>
      </c>
      <c r="D815" s="42" t="s">
        <v>405</v>
      </c>
      <c r="E815" s="42"/>
      <c r="F815" s="7">
        <f>F816</f>
        <v>63</v>
      </c>
      <c r="G815" s="7">
        <f aca="true" t="shared" si="488" ref="G815:L817">G816</f>
        <v>63</v>
      </c>
      <c r="H815" s="7">
        <f t="shared" si="488"/>
        <v>63</v>
      </c>
      <c r="I815" s="7">
        <f t="shared" si="488"/>
        <v>63</v>
      </c>
      <c r="J815" s="7">
        <f t="shared" si="488"/>
        <v>63</v>
      </c>
      <c r="K815" s="7">
        <f t="shared" si="488"/>
        <v>148.4</v>
      </c>
      <c r="L815" s="7">
        <f t="shared" si="488"/>
        <v>0</v>
      </c>
      <c r="M815" s="7">
        <f t="shared" si="461"/>
        <v>0</v>
      </c>
    </row>
    <row r="816" spans="1:13" ht="31.5">
      <c r="A816" s="26" t="s">
        <v>687</v>
      </c>
      <c r="B816" s="42" t="s">
        <v>296</v>
      </c>
      <c r="C816" s="42" t="s">
        <v>267</v>
      </c>
      <c r="D816" s="21" t="s">
        <v>688</v>
      </c>
      <c r="E816" s="42"/>
      <c r="F816" s="7">
        <f>F817</f>
        <v>63</v>
      </c>
      <c r="G816" s="7">
        <f t="shared" si="488"/>
        <v>63</v>
      </c>
      <c r="H816" s="7">
        <f t="shared" si="488"/>
        <v>63</v>
      </c>
      <c r="I816" s="7">
        <f t="shared" si="488"/>
        <v>63</v>
      </c>
      <c r="J816" s="7">
        <f t="shared" si="488"/>
        <v>63</v>
      </c>
      <c r="K816" s="7">
        <f t="shared" si="488"/>
        <v>148.4</v>
      </c>
      <c r="L816" s="7">
        <f t="shared" si="488"/>
        <v>0</v>
      </c>
      <c r="M816" s="7">
        <f t="shared" si="461"/>
        <v>0</v>
      </c>
    </row>
    <row r="817" spans="1:13" ht="31.5">
      <c r="A817" s="31" t="s">
        <v>300</v>
      </c>
      <c r="B817" s="42" t="s">
        <v>296</v>
      </c>
      <c r="C817" s="42" t="s">
        <v>267</v>
      </c>
      <c r="D817" s="21" t="s">
        <v>688</v>
      </c>
      <c r="E817" s="42" t="s">
        <v>301</v>
      </c>
      <c r="F817" s="7">
        <f>F818</f>
        <v>63</v>
      </c>
      <c r="G817" s="7">
        <f t="shared" si="488"/>
        <v>63</v>
      </c>
      <c r="H817" s="7">
        <f t="shared" si="488"/>
        <v>63</v>
      </c>
      <c r="I817" s="7">
        <f t="shared" si="488"/>
        <v>63</v>
      </c>
      <c r="J817" s="7">
        <f t="shared" si="488"/>
        <v>63</v>
      </c>
      <c r="K817" s="7">
        <f t="shared" si="488"/>
        <v>148.4</v>
      </c>
      <c r="L817" s="7">
        <f t="shared" si="488"/>
        <v>0</v>
      </c>
      <c r="M817" s="7">
        <f t="shared" si="461"/>
        <v>0</v>
      </c>
    </row>
    <row r="818" spans="1:13" ht="31.5">
      <c r="A818" s="31" t="s">
        <v>302</v>
      </c>
      <c r="B818" s="42" t="s">
        <v>296</v>
      </c>
      <c r="C818" s="42" t="s">
        <v>267</v>
      </c>
      <c r="D818" s="21" t="s">
        <v>688</v>
      </c>
      <c r="E818" s="42" t="s">
        <v>303</v>
      </c>
      <c r="F818" s="7">
        <f>'Прил.№4 ведомств.'!G471</f>
        <v>63</v>
      </c>
      <c r="G818" s="7">
        <f>'Прил.№4 ведомств.'!I471</f>
        <v>63</v>
      </c>
      <c r="H818" s="7">
        <f>'Прил.№4 ведомств.'!J471</f>
        <v>63</v>
      </c>
      <c r="I818" s="7">
        <f>'Прил.№4 ведомств.'!K471</f>
        <v>63</v>
      </c>
      <c r="J818" s="7">
        <f>'Прил.№4 ведомств.'!L471</f>
        <v>63</v>
      </c>
      <c r="K818" s="7">
        <f>'Прил.№4 ведомств.'!M471</f>
        <v>148.4</v>
      </c>
      <c r="L818" s="7">
        <f>'Прил.№4 ведомств.'!N471</f>
        <v>0</v>
      </c>
      <c r="M818" s="7">
        <f t="shared" si="461"/>
        <v>0</v>
      </c>
    </row>
    <row r="819" spans="1:13" ht="31.5">
      <c r="A819" s="31" t="s">
        <v>407</v>
      </c>
      <c r="B819" s="6">
        <v>10</v>
      </c>
      <c r="C819" s="42" t="s">
        <v>267</v>
      </c>
      <c r="D819" s="42" t="s">
        <v>408</v>
      </c>
      <c r="E819" s="42"/>
      <c r="F819" s="7">
        <f>F821</f>
        <v>420</v>
      </c>
      <c r="G819" s="7">
        <f aca="true" t="shared" si="489" ref="G819:K819">G821</f>
        <v>420</v>
      </c>
      <c r="H819" s="7">
        <f t="shared" si="489"/>
        <v>420</v>
      </c>
      <c r="I819" s="7">
        <f t="shared" si="489"/>
        <v>420</v>
      </c>
      <c r="J819" s="7">
        <f t="shared" si="489"/>
        <v>420</v>
      </c>
      <c r="K819" s="7">
        <f t="shared" si="489"/>
        <v>420</v>
      </c>
      <c r="L819" s="7">
        <f aca="true" t="shared" si="490" ref="L819">L821</f>
        <v>200</v>
      </c>
      <c r="M819" s="7">
        <f t="shared" si="461"/>
        <v>47.61904761904761</v>
      </c>
    </row>
    <row r="820" spans="1:13" ht="31.5">
      <c r="A820" s="31" t="s">
        <v>209</v>
      </c>
      <c r="B820" s="42" t="s">
        <v>296</v>
      </c>
      <c r="C820" s="42" t="s">
        <v>267</v>
      </c>
      <c r="D820" s="42" t="s">
        <v>409</v>
      </c>
      <c r="E820" s="42"/>
      <c r="F820" s="7">
        <f>F821</f>
        <v>420</v>
      </c>
      <c r="G820" s="7">
        <f aca="true" t="shared" si="491" ref="G820:L821">G821</f>
        <v>420</v>
      </c>
      <c r="H820" s="7">
        <f t="shared" si="491"/>
        <v>420</v>
      </c>
      <c r="I820" s="7">
        <f t="shared" si="491"/>
        <v>420</v>
      </c>
      <c r="J820" s="7">
        <f t="shared" si="491"/>
        <v>420</v>
      </c>
      <c r="K820" s="7">
        <f t="shared" si="491"/>
        <v>420</v>
      </c>
      <c r="L820" s="7">
        <f t="shared" si="491"/>
        <v>200</v>
      </c>
      <c r="M820" s="7">
        <f t="shared" si="461"/>
        <v>47.61904761904761</v>
      </c>
    </row>
    <row r="821" spans="1:13" ht="31.5">
      <c r="A821" s="31" t="s">
        <v>300</v>
      </c>
      <c r="B821" s="42" t="s">
        <v>296</v>
      </c>
      <c r="C821" s="42" t="s">
        <v>267</v>
      </c>
      <c r="D821" s="42" t="s">
        <v>409</v>
      </c>
      <c r="E821" s="42" t="s">
        <v>301</v>
      </c>
      <c r="F821" s="7">
        <f>F822</f>
        <v>420</v>
      </c>
      <c r="G821" s="7">
        <f t="shared" si="491"/>
        <v>420</v>
      </c>
      <c r="H821" s="7">
        <f t="shared" si="491"/>
        <v>420</v>
      </c>
      <c r="I821" s="7">
        <f t="shared" si="491"/>
        <v>420</v>
      </c>
      <c r="J821" s="7">
        <f t="shared" si="491"/>
        <v>420</v>
      </c>
      <c r="K821" s="7">
        <f t="shared" si="491"/>
        <v>420</v>
      </c>
      <c r="L821" s="7">
        <f t="shared" si="491"/>
        <v>200</v>
      </c>
      <c r="M821" s="7">
        <f t="shared" si="461"/>
        <v>47.61904761904761</v>
      </c>
    </row>
    <row r="822" spans="1:13" ht="31.5">
      <c r="A822" s="31" t="s">
        <v>400</v>
      </c>
      <c r="B822" s="42" t="s">
        <v>296</v>
      </c>
      <c r="C822" s="42" t="s">
        <v>267</v>
      </c>
      <c r="D822" s="42" t="s">
        <v>409</v>
      </c>
      <c r="E822" s="42" t="s">
        <v>401</v>
      </c>
      <c r="F822" s="7">
        <f>'Прил.№4 ведомств.'!G475</f>
        <v>420</v>
      </c>
      <c r="G822" s="7">
        <f>'Прил.№4 ведомств.'!I475</f>
        <v>420</v>
      </c>
      <c r="H822" s="7">
        <f>'Прил.№4 ведомств.'!J475</f>
        <v>420</v>
      </c>
      <c r="I822" s="7">
        <f>'Прил.№4 ведомств.'!K475</f>
        <v>420</v>
      </c>
      <c r="J822" s="7">
        <f>'Прил.№4 ведомств.'!L475</f>
        <v>420</v>
      </c>
      <c r="K822" s="7">
        <f>'Прил.№4 ведомств.'!M475</f>
        <v>420</v>
      </c>
      <c r="L822" s="7">
        <f>'Прил.№4 ведомств.'!N475</f>
        <v>200</v>
      </c>
      <c r="M822" s="7">
        <f t="shared" si="461"/>
        <v>47.61904761904761</v>
      </c>
    </row>
    <row r="823" spans="1:13" ht="15.75">
      <c r="A823" s="31" t="s">
        <v>410</v>
      </c>
      <c r="B823" s="6">
        <v>10</v>
      </c>
      <c r="C823" s="42" t="s">
        <v>267</v>
      </c>
      <c r="D823" s="42" t="s">
        <v>411</v>
      </c>
      <c r="E823" s="42"/>
      <c r="F823" s="7">
        <f>F824</f>
        <v>1595</v>
      </c>
      <c r="G823" s="7">
        <f aca="true" t="shared" si="492" ref="G823:L823">G824</f>
        <v>1595</v>
      </c>
      <c r="H823" s="7">
        <f t="shared" si="492"/>
        <v>1595</v>
      </c>
      <c r="I823" s="7">
        <f t="shared" si="492"/>
        <v>1595</v>
      </c>
      <c r="J823" s="7">
        <f t="shared" si="492"/>
        <v>1595</v>
      </c>
      <c r="K823" s="7">
        <f t="shared" si="492"/>
        <v>1504.6</v>
      </c>
      <c r="L823" s="7">
        <f t="shared" si="492"/>
        <v>567.7</v>
      </c>
      <c r="M823" s="7">
        <f t="shared" si="461"/>
        <v>37.73095839425761</v>
      </c>
    </row>
    <row r="824" spans="1:13" ht="31.5">
      <c r="A824" s="31" t="s">
        <v>209</v>
      </c>
      <c r="B824" s="42" t="s">
        <v>296</v>
      </c>
      <c r="C824" s="42" t="s">
        <v>267</v>
      </c>
      <c r="D824" s="42" t="s">
        <v>412</v>
      </c>
      <c r="E824" s="42"/>
      <c r="F824" s="7">
        <f>F825+F827</f>
        <v>1595</v>
      </c>
      <c r="G824" s="7">
        <f aca="true" t="shared" si="493" ref="G824:K824">G825+G827</f>
        <v>1595</v>
      </c>
      <c r="H824" s="7">
        <f t="shared" si="493"/>
        <v>1595</v>
      </c>
      <c r="I824" s="7">
        <f t="shared" si="493"/>
        <v>1595</v>
      </c>
      <c r="J824" s="7">
        <f t="shared" si="493"/>
        <v>1595</v>
      </c>
      <c r="K824" s="7">
        <f t="shared" si="493"/>
        <v>1504.6</v>
      </c>
      <c r="L824" s="7">
        <f aca="true" t="shared" si="494" ref="L824">L825+L827</f>
        <v>567.7</v>
      </c>
      <c r="M824" s="7">
        <f t="shared" si="461"/>
        <v>37.73095839425761</v>
      </c>
    </row>
    <row r="825" spans="1:13" ht="31.5">
      <c r="A825" s="31" t="s">
        <v>183</v>
      </c>
      <c r="B825" s="42" t="s">
        <v>296</v>
      </c>
      <c r="C825" s="42" t="s">
        <v>267</v>
      </c>
      <c r="D825" s="42" t="s">
        <v>412</v>
      </c>
      <c r="E825" s="42" t="s">
        <v>184</v>
      </c>
      <c r="F825" s="7">
        <f>F826</f>
        <v>547</v>
      </c>
      <c r="G825" s="7">
        <f aca="true" t="shared" si="495" ref="G825:L825">G826</f>
        <v>547</v>
      </c>
      <c r="H825" s="7">
        <f t="shared" si="495"/>
        <v>547</v>
      </c>
      <c r="I825" s="7">
        <f t="shared" si="495"/>
        <v>547</v>
      </c>
      <c r="J825" s="7">
        <f t="shared" si="495"/>
        <v>547</v>
      </c>
      <c r="K825" s="7">
        <f t="shared" si="495"/>
        <v>456.6</v>
      </c>
      <c r="L825" s="7">
        <f t="shared" si="495"/>
        <v>8</v>
      </c>
      <c r="M825" s="7">
        <f t="shared" si="461"/>
        <v>1.7520805957074024</v>
      </c>
    </row>
    <row r="826" spans="1:13" ht="47.25">
      <c r="A826" s="31" t="s">
        <v>185</v>
      </c>
      <c r="B826" s="42" t="s">
        <v>296</v>
      </c>
      <c r="C826" s="42" t="s">
        <v>267</v>
      </c>
      <c r="D826" s="42" t="s">
        <v>412</v>
      </c>
      <c r="E826" s="42" t="s">
        <v>186</v>
      </c>
      <c r="F826" s="7">
        <f>'Прил.№4 ведомств.'!G479</f>
        <v>547</v>
      </c>
      <c r="G826" s="7">
        <f>'Прил.№4 ведомств.'!I479</f>
        <v>547</v>
      </c>
      <c r="H826" s="7">
        <f>'Прил.№4 ведомств.'!J479</f>
        <v>547</v>
      </c>
      <c r="I826" s="7">
        <f>'Прил.№4 ведомств.'!K479</f>
        <v>547</v>
      </c>
      <c r="J826" s="7">
        <f>'Прил.№4 ведомств.'!L479</f>
        <v>547</v>
      </c>
      <c r="K826" s="7">
        <f>'Прил.№4 ведомств.'!M479</f>
        <v>456.6</v>
      </c>
      <c r="L826" s="7">
        <f>'Прил.№4 ведомств.'!N479</f>
        <v>8</v>
      </c>
      <c r="M826" s="7">
        <f t="shared" si="461"/>
        <v>1.7520805957074024</v>
      </c>
    </row>
    <row r="827" spans="1:13" ht="31.5">
      <c r="A827" s="31" t="s">
        <v>300</v>
      </c>
      <c r="B827" s="42" t="s">
        <v>296</v>
      </c>
      <c r="C827" s="42" t="s">
        <v>267</v>
      </c>
      <c r="D827" s="42" t="s">
        <v>412</v>
      </c>
      <c r="E827" s="42" t="s">
        <v>301</v>
      </c>
      <c r="F827" s="7">
        <f>F828</f>
        <v>1048</v>
      </c>
      <c r="G827" s="7">
        <f aca="true" t="shared" si="496" ref="G827:L827">G828</f>
        <v>1048</v>
      </c>
      <c r="H827" s="7">
        <f t="shared" si="496"/>
        <v>1048</v>
      </c>
      <c r="I827" s="7">
        <f t="shared" si="496"/>
        <v>1048</v>
      </c>
      <c r="J827" s="7">
        <f t="shared" si="496"/>
        <v>1048</v>
      </c>
      <c r="K827" s="7">
        <f t="shared" si="496"/>
        <v>1048</v>
      </c>
      <c r="L827" s="7">
        <f t="shared" si="496"/>
        <v>559.7</v>
      </c>
      <c r="M827" s="7">
        <f t="shared" si="461"/>
        <v>53.406488549618324</v>
      </c>
    </row>
    <row r="828" spans="1:13" ht="31.5">
      <c r="A828" s="31" t="s">
        <v>400</v>
      </c>
      <c r="B828" s="42" t="s">
        <v>296</v>
      </c>
      <c r="C828" s="42" t="s">
        <v>267</v>
      </c>
      <c r="D828" s="42" t="s">
        <v>412</v>
      </c>
      <c r="E828" s="42" t="s">
        <v>401</v>
      </c>
      <c r="F828" s="7">
        <f>'Прил.№4 ведомств.'!G481</f>
        <v>1048</v>
      </c>
      <c r="G828" s="7">
        <f>'Прил.№4 ведомств.'!I481</f>
        <v>1048</v>
      </c>
      <c r="H828" s="7">
        <f>'Прил.№4 ведомств.'!J481</f>
        <v>1048</v>
      </c>
      <c r="I828" s="7">
        <f>'Прил.№4 ведомств.'!K481</f>
        <v>1048</v>
      </c>
      <c r="J828" s="7">
        <f>'Прил.№4 ведомств.'!L481</f>
        <v>1048</v>
      </c>
      <c r="K828" s="7">
        <f>'Прил.№4 ведомств.'!M481</f>
        <v>1048</v>
      </c>
      <c r="L828" s="7">
        <f>'Прил.№4 ведомств.'!N481</f>
        <v>559.7</v>
      </c>
      <c r="M828" s="7">
        <f t="shared" si="461"/>
        <v>53.406488549618324</v>
      </c>
    </row>
    <row r="829" spans="1:13" ht="31.5">
      <c r="A829" s="31" t="s">
        <v>413</v>
      </c>
      <c r="B829" s="42" t="s">
        <v>296</v>
      </c>
      <c r="C829" s="42" t="s">
        <v>267</v>
      </c>
      <c r="D829" s="42" t="s">
        <v>414</v>
      </c>
      <c r="E829" s="42"/>
      <c r="F829" s="7">
        <f>F830</f>
        <v>335</v>
      </c>
      <c r="G829" s="7">
        <f aca="true" t="shared" si="497" ref="G829:L831">G830</f>
        <v>335</v>
      </c>
      <c r="H829" s="7">
        <f t="shared" si="497"/>
        <v>1882</v>
      </c>
      <c r="I829" s="7">
        <f t="shared" si="497"/>
        <v>1962</v>
      </c>
      <c r="J829" s="7">
        <f t="shared" si="497"/>
        <v>1992</v>
      </c>
      <c r="K829" s="7">
        <f t="shared" si="497"/>
        <v>250</v>
      </c>
      <c r="L829" s="7">
        <f t="shared" si="497"/>
        <v>140</v>
      </c>
      <c r="M829" s="7">
        <f t="shared" si="461"/>
        <v>56.00000000000001</v>
      </c>
    </row>
    <row r="830" spans="1:13" ht="31.5">
      <c r="A830" s="31" t="s">
        <v>209</v>
      </c>
      <c r="B830" s="42" t="s">
        <v>296</v>
      </c>
      <c r="C830" s="42" t="s">
        <v>267</v>
      </c>
      <c r="D830" s="42" t="s">
        <v>415</v>
      </c>
      <c r="E830" s="42"/>
      <c r="F830" s="7">
        <f>F831</f>
        <v>335</v>
      </c>
      <c r="G830" s="7">
        <f t="shared" si="497"/>
        <v>335</v>
      </c>
      <c r="H830" s="7">
        <f t="shared" si="497"/>
        <v>1882</v>
      </c>
      <c r="I830" s="7">
        <f t="shared" si="497"/>
        <v>1962</v>
      </c>
      <c r="J830" s="7">
        <f t="shared" si="497"/>
        <v>1992</v>
      </c>
      <c r="K830" s="7">
        <f t="shared" si="497"/>
        <v>250</v>
      </c>
      <c r="L830" s="7">
        <f t="shared" si="497"/>
        <v>140</v>
      </c>
      <c r="M830" s="7">
        <f t="shared" si="461"/>
        <v>56.00000000000001</v>
      </c>
    </row>
    <row r="831" spans="1:13" ht="31.5">
      <c r="A831" s="31" t="s">
        <v>300</v>
      </c>
      <c r="B831" s="42" t="s">
        <v>296</v>
      </c>
      <c r="C831" s="42" t="s">
        <v>267</v>
      </c>
      <c r="D831" s="42" t="s">
        <v>415</v>
      </c>
      <c r="E831" s="42" t="s">
        <v>301</v>
      </c>
      <c r="F831" s="7">
        <f>F832</f>
        <v>335</v>
      </c>
      <c r="G831" s="7">
        <f t="shared" si="497"/>
        <v>335</v>
      </c>
      <c r="H831" s="7">
        <f t="shared" si="497"/>
        <v>1882</v>
      </c>
      <c r="I831" s="7">
        <f t="shared" si="497"/>
        <v>1962</v>
      </c>
      <c r="J831" s="7">
        <f t="shared" si="497"/>
        <v>1992</v>
      </c>
      <c r="K831" s="7">
        <f t="shared" si="497"/>
        <v>250</v>
      </c>
      <c r="L831" s="7">
        <f t="shared" si="497"/>
        <v>140</v>
      </c>
      <c r="M831" s="7">
        <f t="shared" si="461"/>
        <v>56.00000000000001</v>
      </c>
    </row>
    <row r="832" spans="1:13" ht="31.5">
      <c r="A832" s="31" t="s">
        <v>400</v>
      </c>
      <c r="B832" s="42" t="s">
        <v>296</v>
      </c>
      <c r="C832" s="42" t="s">
        <v>267</v>
      </c>
      <c r="D832" s="42" t="s">
        <v>415</v>
      </c>
      <c r="E832" s="42" t="s">
        <v>401</v>
      </c>
      <c r="F832" s="7">
        <f>'Прил.№4 ведомств.'!G485</f>
        <v>335</v>
      </c>
      <c r="G832" s="7">
        <f>'Прил.№4 ведомств.'!I485</f>
        <v>335</v>
      </c>
      <c r="H832" s="7">
        <f>'Прил.№4 ведомств.'!J485</f>
        <v>1882</v>
      </c>
      <c r="I832" s="7">
        <f>'Прил.№4 ведомств.'!K485</f>
        <v>1962</v>
      </c>
      <c r="J832" s="7">
        <f>'Прил.№4 ведомств.'!L485</f>
        <v>1992</v>
      </c>
      <c r="K832" s="7">
        <f>'Прил.№4 ведомств.'!M485</f>
        <v>250</v>
      </c>
      <c r="L832" s="7">
        <f>'Прил.№4 ведомств.'!N485</f>
        <v>140</v>
      </c>
      <c r="M832" s="7">
        <f t="shared" si="461"/>
        <v>56.00000000000001</v>
      </c>
    </row>
    <row r="833" spans="1:13" ht="47.25">
      <c r="A833" s="31" t="s">
        <v>416</v>
      </c>
      <c r="B833" s="42" t="s">
        <v>296</v>
      </c>
      <c r="C833" s="42" t="s">
        <v>267</v>
      </c>
      <c r="D833" s="42" t="s">
        <v>417</v>
      </c>
      <c r="E833" s="42"/>
      <c r="F833" s="7">
        <f>F834</f>
        <v>210</v>
      </c>
      <c r="G833" s="7">
        <f aca="true" t="shared" si="498" ref="G833:L835">G834</f>
        <v>210</v>
      </c>
      <c r="H833" s="7">
        <f t="shared" si="498"/>
        <v>210</v>
      </c>
      <c r="I833" s="7">
        <f t="shared" si="498"/>
        <v>210</v>
      </c>
      <c r="J833" s="7">
        <f t="shared" si="498"/>
        <v>210</v>
      </c>
      <c r="K833" s="7">
        <f t="shared" si="498"/>
        <v>210</v>
      </c>
      <c r="L833" s="7">
        <f t="shared" si="498"/>
        <v>0</v>
      </c>
      <c r="M833" s="7">
        <f t="shared" si="461"/>
        <v>0</v>
      </c>
    </row>
    <row r="834" spans="1:13" ht="31.5">
      <c r="A834" s="31" t="s">
        <v>209</v>
      </c>
      <c r="B834" s="42" t="s">
        <v>296</v>
      </c>
      <c r="C834" s="42" t="s">
        <v>267</v>
      </c>
      <c r="D834" s="42" t="s">
        <v>418</v>
      </c>
      <c r="E834" s="42"/>
      <c r="F834" s="7">
        <f>F835</f>
        <v>210</v>
      </c>
      <c r="G834" s="7">
        <f t="shared" si="498"/>
        <v>210</v>
      </c>
      <c r="H834" s="7">
        <f t="shared" si="498"/>
        <v>210</v>
      </c>
      <c r="I834" s="7">
        <f t="shared" si="498"/>
        <v>210</v>
      </c>
      <c r="J834" s="7">
        <f t="shared" si="498"/>
        <v>210</v>
      </c>
      <c r="K834" s="7">
        <f t="shared" si="498"/>
        <v>210</v>
      </c>
      <c r="L834" s="7">
        <f t="shared" si="498"/>
        <v>0</v>
      </c>
      <c r="M834" s="7">
        <f t="shared" si="461"/>
        <v>0</v>
      </c>
    </row>
    <row r="835" spans="1:13" ht="31.5">
      <c r="A835" s="31" t="s">
        <v>183</v>
      </c>
      <c r="B835" s="42" t="s">
        <v>296</v>
      </c>
      <c r="C835" s="42" t="s">
        <v>267</v>
      </c>
      <c r="D835" s="42" t="s">
        <v>418</v>
      </c>
      <c r="E835" s="42" t="s">
        <v>184</v>
      </c>
      <c r="F835" s="7">
        <f>F836</f>
        <v>210</v>
      </c>
      <c r="G835" s="7">
        <f t="shared" si="498"/>
        <v>210</v>
      </c>
      <c r="H835" s="7">
        <f t="shared" si="498"/>
        <v>210</v>
      </c>
      <c r="I835" s="7">
        <f t="shared" si="498"/>
        <v>210</v>
      </c>
      <c r="J835" s="7">
        <f t="shared" si="498"/>
        <v>210</v>
      </c>
      <c r="K835" s="7">
        <f t="shared" si="498"/>
        <v>210</v>
      </c>
      <c r="L835" s="7">
        <f t="shared" si="498"/>
        <v>0</v>
      </c>
      <c r="M835" s="7">
        <f t="shared" si="461"/>
        <v>0</v>
      </c>
    </row>
    <row r="836" spans="1:13" ht="47.25">
      <c r="A836" s="31" t="s">
        <v>185</v>
      </c>
      <c r="B836" s="42" t="s">
        <v>296</v>
      </c>
      <c r="C836" s="42" t="s">
        <v>267</v>
      </c>
      <c r="D836" s="42" t="s">
        <v>418</v>
      </c>
      <c r="E836" s="42" t="s">
        <v>186</v>
      </c>
      <c r="F836" s="7">
        <f>'Прил.№4 ведомств.'!G489</f>
        <v>210</v>
      </c>
      <c r="G836" s="7">
        <f>'Прил.№4 ведомств.'!I489</f>
        <v>210</v>
      </c>
      <c r="H836" s="7">
        <f>'Прил.№4 ведомств.'!J489</f>
        <v>210</v>
      </c>
      <c r="I836" s="7">
        <f>'Прил.№4 ведомств.'!K489</f>
        <v>210</v>
      </c>
      <c r="J836" s="7">
        <f>'Прил.№4 ведомств.'!L489</f>
        <v>210</v>
      </c>
      <c r="K836" s="7">
        <f>'Прил.№4 ведомств.'!M489</f>
        <v>210</v>
      </c>
      <c r="L836" s="7">
        <f>'Прил.№4 ведомств.'!N489</f>
        <v>0</v>
      </c>
      <c r="M836" s="7">
        <f t="shared" si="461"/>
        <v>0</v>
      </c>
    </row>
    <row r="837" spans="1:13" ht="47.25">
      <c r="A837" s="31" t="s">
        <v>419</v>
      </c>
      <c r="B837" s="42" t="s">
        <v>296</v>
      </c>
      <c r="C837" s="42" t="s">
        <v>267</v>
      </c>
      <c r="D837" s="42" t="s">
        <v>420</v>
      </c>
      <c r="E837" s="42"/>
      <c r="F837" s="7">
        <f>F838+F843+F846+F849</f>
        <v>30</v>
      </c>
      <c r="G837" s="7">
        <f aca="true" t="shared" si="499" ref="G837:K837">G838+G843+G846+G849</f>
        <v>30</v>
      </c>
      <c r="H837" s="7">
        <f t="shared" si="499"/>
        <v>30</v>
      </c>
      <c r="I837" s="7">
        <f t="shared" si="499"/>
        <v>30</v>
      </c>
      <c r="J837" s="7">
        <f t="shared" si="499"/>
        <v>30</v>
      </c>
      <c r="K837" s="7">
        <f t="shared" si="499"/>
        <v>20</v>
      </c>
      <c r="L837" s="7">
        <f aca="true" t="shared" si="500" ref="L837">L838+L843+L846+L849</f>
        <v>0</v>
      </c>
      <c r="M837" s="7">
        <f t="shared" si="461"/>
        <v>0</v>
      </c>
    </row>
    <row r="838" spans="1:13" ht="31.5">
      <c r="A838" s="31" t="s">
        <v>209</v>
      </c>
      <c r="B838" s="42" t="s">
        <v>296</v>
      </c>
      <c r="C838" s="42" t="s">
        <v>267</v>
      </c>
      <c r="D838" s="42" t="s">
        <v>422</v>
      </c>
      <c r="E838" s="42"/>
      <c r="F838" s="7">
        <f>F841+F839</f>
        <v>20</v>
      </c>
      <c r="G838" s="7">
        <f aca="true" t="shared" si="501" ref="G838:K838">G841+G839</f>
        <v>20</v>
      </c>
      <c r="H838" s="7">
        <f t="shared" si="501"/>
        <v>20</v>
      </c>
      <c r="I838" s="7">
        <f t="shared" si="501"/>
        <v>20</v>
      </c>
      <c r="J838" s="7">
        <f t="shared" si="501"/>
        <v>20</v>
      </c>
      <c r="K838" s="7">
        <f t="shared" si="501"/>
        <v>10</v>
      </c>
      <c r="L838" s="7">
        <f aca="true" t="shared" si="502" ref="L838">L841+L839</f>
        <v>0</v>
      </c>
      <c r="M838" s="7">
        <f t="shared" si="461"/>
        <v>0</v>
      </c>
    </row>
    <row r="839" spans="1:13" ht="31.5" customHeight="1" hidden="1">
      <c r="A839" s="31" t="s">
        <v>183</v>
      </c>
      <c r="B839" s="42" t="s">
        <v>296</v>
      </c>
      <c r="C839" s="42" t="s">
        <v>267</v>
      </c>
      <c r="D839" s="42" t="s">
        <v>422</v>
      </c>
      <c r="E839" s="42" t="s">
        <v>184</v>
      </c>
      <c r="F839" s="7">
        <f>F840</f>
        <v>0</v>
      </c>
      <c r="G839" s="7">
        <f aca="true" t="shared" si="503" ref="G839:L839">G840</f>
        <v>0</v>
      </c>
      <c r="H839" s="7">
        <f t="shared" si="503"/>
        <v>0</v>
      </c>
      <c r="I839" s="7">
        <f t="shared" si="503"/>
        <v>0</v>
      </c>
      <c r="J839" s="7">
        <f t="shared" si="503"/>
        <v>0</v>
      </c>
      <c r="K839" s="7">
        <f t="shared" si="503"/>
        <v>0</v>
      </c>
      <c r="L839" s="7">
        <f t="shared" si="503"/>
        <v>0</v>
      </c>
      <c r="M839" s="7" t="e">
        <f t="shared" si="461"/>
        <v>#DIV/0!</v>
      </c>
    </row>
    <row r="840" spans="1:13" ht="47.25" customHeight="1" hidden="1">
      <c r="A840" s="31" t="s">
        <v>185</v>
      </c>
      <c r="B840" s="42" t="s">
        <v>296</v>
      </c>
      <c r="C840" s="42" t="s">
        <v>267</v>
      </c>
      <c r="D840" s="42" t="s">
        <v>422</v>
      </c>
      <c r="E840" s="42" t="s">
        <v>186</v>
      </c>
      <c r="F840" s="7"/>
      <c r="G840" s="7"/>
      <c r="H840" s="7"/>
      <c r="I840" s="7"/>
      <c r="J840" s="7"/>
      <c r="K840" s="7"/>
      <c r="L840" s="7"/>
      <c r="M840" s="7" t="e">
        <f t="shared" si="461"/>
        <v>#DIV/0!</v>
      </c>
    </row>
    <row r="841" spans="1:13" ht="47.25">
      <c r="A841" s="26" t="s">
        <v>324</v>
      </c>
      <c r="B841" s="42" t="s">
        <v>296</v>
      </c>
      <c r="C841" s="42" t="s">
        <v>267</v>
      </c>
      <c r="D841" s="42" t="s">
        <v>422</v>
      </c>
      <c r="E841" s="42" t="s">
        <v>325</v>
      </c>
      <c r="F841" s="7">
        <f>F842</f>
        <v>20</v>
      </c>
      <c r="G841" s="7">
        <f aca="true" t="shared" si="504" ref="G841:L841">G842</f>
        <v>20</v>
      </c>
      <c r="H841" s="7">
        <f t="shared" si="504"/>
        <v>20</v>
      </c>
      <c r="I841" s="7">
        <f t="shared" si="504"/>
        <v>20</v>
      </c>
      <c r="J841" s="7">
        <f t="shared" si="504"/>
        <v>20</v>
      </c>
      <c r="K841" s="7">
        <f t="shared" si="504"/>
        <v>10</v>
      </c>
      <c r="L841" s="7">
        <f t="shared" si="504"/>
        <v>0</v>
      </c>
      <c r="M841" s="7">
        <f t="shared" si="461"/>
        <v>0</v>
      </c>
    </row>
    <row r="842" spans="1:13" ht="63">
      <c r="A842" s="41" t="s">
        <v>423</v>
      </c>
      <c r="B842" s="42" t="s">
        <v>296</v>
      </c>
      <c r="C842" s="42" t="s">
        <v>267</v>
      </c>
      <c r="D842" s="42" t="s">
        <v>422</v>
      </c>
      <c r="E842" s="42" t="s">
        <v>424</v>
      </c>
      <c r="F842" s="7">
        <f>'Прил.№4 ведомств.'!G493</f>
        <v>20</v>
      </c>
      <c r="G842" s="7">
        <f>'Прил.№4 ведомств.'!I493</f>
        <v>20</v>
      </c>
      <c r="H842" s="7">
        <f>'Прил.№4 ведомств.'!J493</f>
        <v>20</v>
      </c>
      <c r="I842" s="7">
        <f>'Прил.№4 ведомств.'!K493</f>
        <v>20</v>
      </c>
      <c r="J842" s="7">
        <f>'Прил.№4 ведомств.'!L493</f>
        <v>20</v>
      </c>
      <c r="K842" s="7">
        <f>'Прил.№4 ведомств.'!M493</f>
        <v>10</v>
      </c>
      <c r="L842" s="7">
        <f>'Прил.№4 ведомств.'!N493</f>
        <v>0</v>
      </c>
      <c r="M842" s="7">
        <f t="shared" si="461"/>
        <v>0</v>
      </c>
    </row>
    <row r="843" spans="1:13" ht="110.25" customHeight="1" hidden="1">
      <c r="A843" s="26" t="s">
        <v>425</v>
      </c>
      <c r="B843" s="21" t="s">
        <v>296</v>
      </c>
      <c r="C843" s="21" t="s">
        <v>267</v>
      </c>
      <c r="D843" s="21" t="s">
        <v>426</v>
      </c>
      <c r="E843" s="42"/>
      <c r="F843" s="7">
        <f>F844</f>
        <v>0</v>
      </c>
      <c r="G843" s="7">
        <f aca="true" t="shared" si="505" ref="G843:L844">G844</f>
        <v>0</v>
      </c>
      <c r="H843" s="7">
        <f t="shared" si="505"/>
        <v>0</v>
      </c>
      <c r="I843" s="7">
        <f t="shared" si="505"/>
        <v>0</v>
      </c>
      <c r="J843" s="7">
        <f t="shared" si="505"/>
        <v>0</v>
      </c>
      <c r="K843" s="7">
        <f t="shared" si="505"/>
        <v>0</v>
      </c>
      <c r="L843" s="7">
        <f t="shared" si="505"/>
        <v>0</v>
      </c>
      <c r="M843" s="7" t="e">
        <f t="shared" si="461"/>
        <v>#DIV/0!</v>
      </c>
    </row>
    <row r="844" spans="1:13" ht="15.75" customHeight="1" hidden="1">
      <c r="A844" s="26" t="s">
        <v>187</v>
      </c>
      <c r="B844" s="21" t="s">
        <v>296</v>
      </c>
      <c r="C844" s="21" t="s">
        <v>267</v>
      </c>
      <c r="D844" s="21" t="s">
        <v>426</v>
      </c>
      <c r="E844" s="42" t="s">
        <v>197</v>
      </c>
      <c r="F844" s="7">
        <f>F845</f>
        <v>0</v>
      </c>
      <c r="G844" s="7">
        <f t="shared" si="505"/>
        <v>0</v>
      </c>
      <c r="H844" s="7">
        <f t="shared" si="505"/>
        <v>0</v>
      </c>
      <c r="I844" s="7">
        <f t="shared" si="505"/>
        <v>0</v>
      </c>
      <c r="J844" s="7">
        <f t="shared" si="505"/>
        <v>0</v>
      </c>
      <c r="K844" s="7">
        <f t="shared" si="505"/>
        <v>0</v>
      </c>
      <c r="L844" s="7">
        <f t="shared" si="505"/>
        <v>0</v>
      </c>
      <c r="M844" s="7" t="e">
        <f t="shared" si="461"/>
        <v>#DIV/0!</v>
      </c>
    </row>
    <row r="845" spans="1:13" ht="47.25" customHeight="1" hidden="1">
      <c r="A845" s="26" t="s">
        <v>236</v>
      </c>
      <c r="B845" s="21" t="s">
        <v>296</v>
      </c>
      <c r="C845" s="21" t="s">
        <v>267</v>
      </c>
      <c r="D845" s="21" t="s">
        <v>426</v>
      </c>
      <c r="E845" s="42" t="s">
        <v>212</v>
      </c>
      <c r="F845" s="7"/>
      <c r="G845" s="7"/>
      <c r="H845" s="7"/>
      <c r="I845" s="7"/>
      <c r="J845" s="7"/>
      <c r="K845" s="7"/>
      <c r="L845" s="7"/>
      <c r="M845" s="7" t="e">
        <f aca="true" t="shared" si="506" ref="M845:M908">L845/K845*100</f>
        <v>#DIV/0!</v>
      </c>
    </row>
    <row r="846" spans="1:13" ht="47.25">
      <c r="A846" s="26" t="s">
        <v>427</v>
      </c>
      <c r="B846" s="21" t="s">
        <v>296</v>
      </c>
      <c r="C846" s="21" t="s">
        <v>267</v>
      </c>
      <c r="D846" s="21" t="s">
        <v>428</v>
      </c>
      <c r="E846" s="42"/>
      <c r="F846" s="7">
        <f>F847</f>
        <v>10</v>
      </c>
      <c r="G846" s="7">
        <f aca="true" t="shared" si="507" ref="G846:L847">G847</f>
        <v>10</v>
      </c>
      <c r="H846" s="7">
        <f t="shared" si="507"/>
        <v>10</v>
      </c>
      <c r="I846" s="7">
        <f t="shared" si="507"/>
        <v>10</v>
      </c>
      <c r="J846" s="7">
        <f t="shared" si="507"/>
        <v>10</v>
      </c>
      <c r="K846" s="7">
        <f t="shared" si="507"/>
        <v>10</v>
      </c>
      <c r="L846" s="7">
        <f t="shared" si="507"/>
        <v>0</v>
      </c>
      <c r="M846" s="7">
        <f t="shared" si="506"/>
        <v>0</v>
      </c>
    </row>
    <row r="847" spans="1:13" ht="31.5">
      <c r="A847" s="26" t="s">
        <v>300</v>
      </c>
      <c r="B847" s="21" t="s">
        <v>296</v>
      </c>
      <c r="C847" s="21" t="s">
        <v>267</v>
      </c>
      <c r="D847" s="21" t="s">
        <v>428</v>
      </c>
      <c r="E847" s="42" t="s">
        <v>301</v>
      </c>
      <c r="F847" s="7">
        <f>F848</f>
        <v>10</v>
      </c>
      <c r="G847" s="7">
        <f t="shared" si="507"/>
        <v>10</v>
      </c>
      <c r="H847" s="7">
        <f t="shared" si="507"/>
        <v>10</v>
      </c>
      <c r="I847" s="7">
        <f t="shared" si="507"/>
        <v>10</v>
      </c>
      <c r="J847" s="7">
        <f t="shared" si="507"/>
        <v>10</v>
      </c>
      <c r="K847" s="7">
        <f t="shared" si="507"/>
        <v>10</v>
      </c>
      <c r="L847" s="7">
        <f t="shared" si="507"/>
        <v>0</v>
      </c>
      <c r="M847" s="7">
        <f t="shared" si="506"/>
        <v>0</v>
      </c>
    </row>
    <row r="848" spans="1:13" ht="31.5">
      <c r="A848" s="26" t="s">
        <v>302</v>
      </c>
      <c r="B848" s="21" t="s">
        <v>296</v>
      </c>
      <c r="C848" s="21" t="s">
        <v>267</v>
      </c>
      <c r="D848" s="21" t="s">
        <v>428</v>
      </c>
      <c r="E848" s="42" t="s">
        <v>303</v>
      </c>
      <c r="F848" s="7">
        <v>10</v>
      </c>
      <c r="G848" s="7">
        <v>10</v>
      </c>
      <c r="H848" s="7">
        <v>10</v>
      </c>
      <c r="I848" s="7">
        <v>10</v>
      </c>
      <c r="J848" s="7">
        <v>10</v>
      </c>
      <c r="K848" s="7">
        <v>10</v>
      </c>
      <c r="L848" s="7">
        <f>'Прил.№4 ведомств.'!N502</f>
        <v>0</v>
      </c>
      <c r="M848" s="7">
        <f t="shared" si="506"/>
        <v>0</v>
      </c>
    </row>
    <row r="849" spans="1:13" ht="31.5" customHeight="1" hidden="1">
      <c r="A849" s="31" t="s">
        <v>429</v>
      </c>
      <c r="B849" s="42" t="s">
        <v>296</v>
      </c>
      <c r="C849" s="42" t="s">
        <v>267</v>
      </c>
      <c r="D849" s="21" t="s">
        <v>430</v>
      </c>
      <c r="E849" s="42"/>
      <c r="F849" s="7">
        <f>F850</f>
        <v>0</v>
      </c>
      <c r="G849" s="7">
        <f aca="true" t="shared" si="508" ref="G849:L850">G850</f>
        <v>0</v>
      </c>
      <c r="H849" s="7">
        <f t="shared" si="508"/>
        <v>0</v>
      </c>
      <c r="I849" s="7">
        <f t="shared" si="508"/>
        <v>0</v>
      </c>
      <c r="J849" s="7">
        <f t="shared" si="508"/>
        <v>0</v>
      </c>
      <c r="K849" s="7">
        <f t="shared" si="508"/>
        <v>0</v>
      </c>
      <c r="L849" s="7">
        <f t="shared" si="508"/>
        <v>0</v>
      </c>
      <c r="M849" s="7" t="e">
        <f t="shared" si="506"/>
        <v>#DIV/0!</v>
      </c>
    </row>
    <row r="850" spans="1:13" ht="31.5" customHeight="1" hidden="1">
      <c r="A850" s="31" t="s">
        <v>183</v>
      </c>
      <c r="B850" s="42" t="s">
        <v>296</v>
      </c>
      <c r="C850" s="42" t="s">
        <v>267</v>
      </c>
      <c r="D850" s="21" t="s">
        <v>430</v>
      </c>
      <c r="E850" s="42" t="s">
        <v>184</v>
      </c>
      <c r="F850" s="7">
        <f>F851</f>
        <v>0</v>
      </c>
      <c r="G850" s="7">
        <f t="shared" si="508"/>
        <v>0</v>
      </c>
      <c r="H850" s="7">
        <f t="shared" si="508"/>
        <v>0</v>
      </c>
      <c r="I850" s="7">
        <f t="shared" si="508"/>
        <v>0</v>
      </c>
      <c r="J850" s="7">
        <f t="shared" si="508"/>
        <v>0</v>
      </c>
      <c r="K850" s="7">
        <f t="shared" si="508"/>
        <v>0</v>
      </c>
      <c r="L850" s="7">
        <f t="shared" si="508"/>
        <v>0</v>
      </c>
      <c r="M850" s="7" t="e">
        <f t="shared" si="506"/>
        <v>#DIV/0!</v>
      </c>
    </row>
    <row r="851" spans="1:13" ht="47.25" customHeight="1" hidden="1">
      <c r="A851" s="31" t="s">
        <v>185</v>
      </c>
      <c r="B851" s="42" t="s">
        <v>296</v>
      </c>
      <c r="C851" s="42" t="s">
        <v>267</v>
      </c>
      <c r="D851" s="21" t="s">
        <v>430</v>
      </c>
      <c r="E851" s="42" t="s">
        <v>186</v>
      </c>
      <c r="F851" s="7">
        <f>4.5-4.5</f>
        <v>0</v>
      </c>
      <c r="G851" s="7">
        <f aca="true" t="shared" si="509" ref="G851:L851">4.5-4.5</f>
        <v>0</v>
      </c>
      <c r="H851" s="7">
        <f t="shared" si="509"/>
        <v>0</v>
      </c>
      <c r="I851" s="7">
        <f t="shared" si="509"/>
        <v>0</v>
      </c>
      <c r="J851" s="7">
        <f t="shared" si="509"/>
        <v>0</v>
      </c>
      <c r="K851" s="7">
        <f t="shared" si="509"/>
        <v>0</v>
      </c>
      <c r="L851" s="7">
        <f t="shared" si="509"/>
        <v>0</v>
      </c>
      <c r="M851" s="7" t="e">
        <f t="shared" si="506"/>
        <v>#DIV/0!</v>
      </c>
    </row>
    <row r="852" spans="1:13" ht="94.5">
      <c r="A852" s="31" t="s">
        <v>432</v>
      </c>
      <c r="B852" s="42" t="s">
        <v>296</v>
      </c>
      <c r="C852" s="42" t="s">
        <v>267</v>
      </c>
      <c r="D852" s="42" t="s">
        <v>433</v>
      </c>
      <c r="E852" s="42"/>
      <c r="F852" s="7">
        <f>F853</f>
        <v>105</v>
      </c>
      <c r="G852" s="7">
        <f aca="true" t="shared" si="510" ref="G852:L854">G853</f>
        <v>105</v>
      </c>
      <c r="H852" s="7">
        <f t="shared" si="510"/>
        <v>0</v>
      </c>
      <c r="I852" s="7">
        <f t="shared" si="510"/>
        <v>0</v>
      </c>
      <c r="J852" s="7">
        <f t="shared" si="510"/>
        <v>0</v>
      </c>
      <c r="K852" s="7">
        <f t="shared" si="510"/>
        <v>200</v>
      </c>
      <c r="L852" s="7">
        <f t="shared" si="510"/>
        <v>28.7</v>
      </c>
      <c r="M852" s="7">
        <f t="shared" si="506"/>
        <v>14.35</v>
      </c>
    </row>
    <row r="853" spans="1:13" ht="31.5">
      <c r="A853" s="31" t="s">
        <v>209</v>
      </c>
      <c r="B853" s="42" t="s">
        <v>296</v>
      </c>
      <c r="C853" s="42" t="s">
        <v>267</v>
      </c>
      <c r="D853" s="42" t="s">
        <v>434</v>
      </c>
      <c r="E853" s="42"/>
      <c r="F853" s="7">
        <f>F854</f>
        <v>105</v>
      </c>
      <c r="G853" s="7">
        <f t="shared" si="510"/>
        <v>105</v>
      </c>
      <c r="H853" s="7">
        <f t="shared" si="510"/>
        <v>0</v>
      </c>
      <c r="I853" s="7">
        <f t="shared" si="510"/>
        <v>0</v>
      </c>
      <c r="J853" s="7">
        <f t="shared" si="510"/>
        <v>0</v>
      </c>
      <c r="K853" s="7">
        <f t="shared" si="510"/>
        <v>200</v>
      </c>
      <c r="L853" s="7">
        <f t="shared" si="510"/>
        <v>28.7</v>
      </c>
      <c r="M853" s="7">
        <f t="shared" si="506"/>
        <v>14.35</v>
      </c>
    </row>
    <row r="854" spans="1:13" ht="31.5">
      <c r="A854" s="31" t="s">
        <v>183</v>
      </c>
      <c r="B854" s="42" t="s">
        <v>296</v>
      </c>
      <c r="C854" s="42" t="s">
        <v>267</v>
      </c>
      <c r="D854" s="42" t="s">
        <v>434</v>
      </c>
      <c r="E854" s="42" t="s">
        <v>184</v>
      </c>
      <c r="F854" s="7">
        <f>F855</f>
        <v>105</v>
      </c>
      <c r="G854" s="7">
        <f t="shared" si="510"/>
        <v>105</v>
      </c>
      <c r="H854" s="7">
        <f t="shared" si="510"/>
        <v>0</v>
      </c>
      <c r="I854" s="7">
        <f t="shared" si="510"/>
        <v>0</v>
      </c>
      <c r="J854" s="7">
        <f t="shared" si="510"/>
        <v>0</v>
      </c>
      <c r="K854" s="7">
        <f t="shared" si="510"/>
        <v>200</v>
      </c>
      <c r="L854" s="7">
        <f t="shared" si="510"/>
        <v>28.7</v>
      </c>
      <c r="M854" s="7">
        <f t="shared" si="506"/>
        <v>14.35</v>
      </c>
    </row>
    <row r="855" spans="1:13" ht="47.25">
      <c r="A855" s="31" t="s">
        <v>185</v>
      </c>
      <c r="B855" s="42" t="s">
        <v>296</v>
      </c>
      <c r="C855" s="42" t="s">
        <v>267</v>
      </c>
      <c r="D855" s="42" t="s">
        <v>434</v>
      </c>
      <c r="E855" s="42" t="s">
        <v>186</v>
      </c>
      <c r="F855" s="7">
        <f>'Прил.№4 ведомств.'!G511</f>
        <v>105</v>
      </c>
      <c r="G855" s="7">
        <f>'Прил.№4 ведомств.'!I511</f>
        <v>105</v>
      </c>
      <c r="H855" s="7">
        <f>'Прил.№4 ведомств.'!J511</f>
        <v>0</v>
      </c>
      <c r="I855" s="7">
        <f>'Прил.№4 ведомств.'!K511</f>
        <v>0</v>
      </c>
      <c r="J855" s="7">
        <f>'Прил.№4 ведомств.'!L511</f>
        <v>0</v>
      </c>
      <c r="K855" s="7">
        <f>'Прил.№4 ведомств.'!M511</f>
        <v>200</v>
      </c>
      <c r="L855" s="7">
        <f>'Прил.№4 ведомств.'!N511</f>
        <v>28.7</v>
      </c>
      <c r="M855" s="4">
        <f t="shared" si="506"/>
        <v>14.35</v>
      </c>
    </row>
    <row r="856" spans="1:13" ht="78.75">
      <c r="A856" s="26" t="s">
        <v>305</v>
      </c>
      <c r="B856" s="42" t="s">
        <v>296</v>
      </c>
      <c r="C856" s="42" t="s">
        <v>267</v>
      </c>
      <c r="D856" s="21" t="s">
        <v>306</v>
      </c>
      <c r="E856" s="21"/>
      <c r="F856" s="7">
        <f>F857</f>
        <v>10</v>
      </c>
      <c r="G856" s="7">
        <f aca="true" t="shared" si="511" ref="G856:L858">G857</f>
        <v>0</v>
      </c>
      <c r="H856" s="7">
        <f t="shared" si="511"/>
        <v>10</v>
      </c>
      <c r="I856" s="7">
        <f t="shared" si="511"/>
        <v>10</v>
      </c>
      <c r="J856" s="7">
        <f t="shared" si="511"/>
        <v>10</v>
      </c>
      <c r="K856" s="7">
        <f t="shared" si="511"/>
        <v>10</v>
      </c>
      <c r="L856" s="7">
        <f t="shared" si="511"/>
        <v>0</v>
      </c>
      <c r="M856" s="7">
        <f t="shared" si="506"/>
        <v>0</v>
      </c>
    </row>
    <row r="857" spans="1:13" ht="31.5">
      <c r="A857" s="26" t="s">
        <v>209</v>
      </c>
      <c r="B857" s="42" t="s">
        <v>296</v>
      </c>
      <c r="C857" s="42" t="s">
        <v>267</v>
      </c>
      <c r="D857" s="21" t="s">
        <v>307</v>
      </c>
      <c r="E857" s="21"/>
      <c r="F857" s="7">
        <f>F858</f>
        <v>10</v>
      </c>
      <c r="G857" s="7">
        <f t="shared" si="511"/>
        <v>0</v>
      </c>
      <c r="H857" s="7">
        <f t="shared" si="511"/>
        <v>10</v>
      </c>
      <c r="I857" s="7">
        <f t="shared" si="511"/>
        <v>10</v>
      </c>
      <c r="J857" s="7">
        <f t="shared" si="511"/>
        <v>10</v>
      </c>
      <c r="K857" s="7">
        <f t="shared" si="511"/>
        <v>10</v>
      </c>
      <c r="L857" s="7">
        <f t="shared" si="511"/>
        <v>0</v>
      </c>
      <c r="M857" s="7">
        <f t="shared" si="506"/>
        <v>0</v>
      </c>
    </row>
    <row r="858" spans="1:13" ht="31.5">
      <c r="A858" s="26" t="s">
        <v>300</v>
      </c>
      <c r="B858" s="42" t="s">
        <v>296</v>
      </c>
      <c r="C858" s="42" t="s">
        <v>267</v>
      </c>
      <c r="D858" s="21" t="s">
        <v>307</v>
      </c>
      <c r="E858" s="21" t="s">
        <v>301</v>
      </c>
      <c r="F858" s="7">
        <f>F859</f>
        <v>10</v>
      </c>
      <c r="G858" s="7">
        <f t="shared" si="511"/>
        <v>0</v>
      </c>
      <c r="H858" s="7">
        <f t="shared" si="511"/>
        <v>10</v>
      </c>
      <c r="I858" s="7">
        <f t="shared" si="511"/>
        <v>10</v>
      </c>
      <c r="J858" s="7">
        <f t="shared" si="511"/>
        <v>10</v>
      </c>
      <c r="K858" s="7">
        <f t="shared" si="511"/>
        <v>10</v>
      </c>
      <c r="L858" s="7">
        <f t="shared" si="511"/>
        <v>0</v>
      </c>
      <c r="M858" s="7">
        <f t="shared" si="506"/>
        <v>0</v>
      </c>
    </row>
    <row r="859" spans="1:13" ht="31.5">
      <c r="A859" s="26" t="s">
        <v>302</v>
      </c>
      <c r="B859" s="42" t="s">
        <v>296</v>
      </c>
      <c r="C859" s="42" t="s">
        <v>267</v>
      </c>
      <c r="D859" s="21" t="s">
        <v>307</v>
      </c>
      <c r="E859" s="21" t="s">
        <v>303</v>
      </c>
      <c r="F859" s="7">
        <f>'Прил.№4 ведомств.'!G229</f>
        <v>10</v>
      </c>
      <c r="G859" s="7">
        <f>'Прил.№4 ведомств.'!I229</f>
        <v>0</v>
      </c>
      <c r="H859" s="7">
        <v>10</v>
      </c>
      <c r="I859" s="7">
        <v>10</v>
      </c>
      <c r="J859" s="7">
        <v>10</v>
      </c>
      <c r="K859" s="7">
        <v>10</v>
      </c>
      <c r="L859" s="7">
        <f>'Прил.№4 ведомств.'!N229</f>
        <v>0</v>
      </c>
      <c r="M859" s="7">
        <f t="shared" si="506"/>
        <v>0</v>
      </c>
    </row>
    <row r="860" spans="1:13" ht="15.75">
      <c r="A860" s="31" t="s">
        <v>173</v>
      </c>
      <c r="B860" s="42" t="s">
        <v>296</v>
      </c>
      <c r="C860" s="42" t="s">
        <v>267</v>
      </c>
      <c r="D860" s="42" t="s">
        <v>174</v>
      </c>
      <c r="E860" s="42"/>
      <c r="F860" s="7">
        <f>F876+F861</f>
        <v>932</v>
      </c>
      <c r="G860" s="7">
        <f aca="true" t="shared" si="512" ref="G860:K860">G876+G861</f>
        <v>932</v>
      </c>
      <c r="H860" s="7">
        <f t="shared" si="512"/>
        <v>0</v>
      </c>
      <c r="I860" s="7">
        <f t="shared" si="512"/>
        <v>0</v>
      </c>
      <c r="J860" s="7">
        <f t="shared" si="512"/>
        <v>0</v>
      </c>
      <c r="K860" s="7">
        <f t="shared" si="512"/>
        <v>783.1</v>
      </c>
      <c r="L860" s="7">
        <f aca="true" t="shared" si="513" ref="L860">L876+L861</f>
        <v>0</v>
      </c>
      <c r="M860" s="7">
        <f t="shared" si="506"/>
        <v>0</v>
      </c>
    </row>
    <row r="861" spans="1:13" ht="31.5">
      <c r="A861" s="31" t="s">
        <v>237</v>
      </c>
      <c r="B861" s="42" t="s">
        <v>296</v>
      </c>
      <c r="C861" s="42" t="s">
        <v>267</v>
      </c>
      <c r="D861" s="42" t="s">
        <v>238</v>
      </c>
      <c r="E861" s="42"/>
      <c r="F861" s="7">
        <f>F865+F868+F862+F885</f>
        <v>932</v>
      </c>
      <c r="G861" s="7">
        <f aca="true" t="shared" si="514" ref="G861:K861">G865+G868+G862+G885</f>
        <v>932</v>
      </c>
      <c r="H861" s="7">
        <f t="shared" si="514"/>
        <v>0</v>
      </c>
      <c r="I861" s="7">
        <f t="shared" si="514"/>
        <v>0</v>
      </c>
      <c r="J861" s="7">
        <f t="shared" si="514"/>
        <v>0</v>
      </c>
      <c r="K861" s="7">
        <f t="shared" si="514"/>
        <v>783.1</v>
      </c>
      <c r="L861" s="7">
        <f aca="true" t="shared" si="515" ref="L861">L865+L868+L862+L885</f>
        <v>0</v>
      </c>
      <c r="M861" s="7">
        <f t="shared" si="506"/>
        <v>0</v>
      </c>
    </row>
    <row r="862" spans="1:13" ht="34.5" customHeight="1">
      <c r="A862" s="26" t="s">
        <v>994</v>
      </c>
      <c r="B862" s="42" t="s">
        <v>296</v>
      </c>
      <c r="C862" s="42" t="s">
        <v>267</v>
      </c>
      <c r="D862" s="42" t="s">
        <v>993</v>
      </c>
      <c r="E862" s="42"/>
      <c r="F862" s="7">
        <f>F863</f>
        <v>372.6</v>
      </c>
      <c r="G862" s="7">
        <f aca="true" t="shared" si="516" ref="G862:L863">G863</f>
        <v>372.6</v>
      </c>
      <c r="H862" s="7">
        <f t="shared" si="516"/>
        <v>0</v>
      </c>
      <c r="I862" s="7">
        <f t="shared" si="516"/>
        <v>0</v>
      </c>
      <c r="J862" s="7">
        <f t="shared" si="516"/>
        <v>0</v>
      </c>
      <c r="K862" s="7">
        <f t="shared" si="516"/>
        <v>783.1</v>
      </c>
      <c r="L862" s="7">
        <f t="shared" si="516"/>
        <v>0</v>
      </c>
      <c r="M862" s="7">
        <f t="shared" si="506"/>
        <v>0</v>
      </c>
    </row>
    <row r="863" spans="1:13" ht="31.5">
      <c r="A863" s="31" t="s">
        <v>300</v>
      </c>
      <c r="B863" s="42" t="s">
        <v>296</v>
      </c>
      <c r="C863" s="42" t="s">
        <v>267</v>
      </c>
      <c r="D863" s="42" t="s">
        <v>993</v>
      </c>
      <c r="E863" s="42" t="s">
        <v>301</v>
      </c>
      <c r="F863" s="7">
        <f>F864</f>
        <v>372.6</v>
      </c>
      <c r="G863" s="7">
        <f t="shared" si="516"/>
        <v>372.6</v>
      </c>
      <c r="H863" s="7">
        <f t="shared" si="516"/>
        <v>0</v>
      </c>
      <c r="I863" s="7">
        <f t="shared" si="516"/>
        <v>0</v>
      </c>
      <c r="J863" s="7">
        <f t="shared" si="516"/>
        <v>0</v>
      </c>
      <c r="K863" s="7">
        <f t="shared" si="516"/>
        <v>783.1</v>
      </c>
      <c r="L863" s="7">
        <f t="shared" si="516"/>
        <v>0</v>
      </c>
      <c r="M863" s="7">
        <f t="shared" si="506"/>
        <v>0</v>
      </c>
    </row>
    <row r="864" spans="1:13" ht="31.5">
      <c r="A864" s="31" t="s">
        <v>302</v>
      </c>
      <c r="B864" s="42" t="s">
        <v>296</v>
      </c>
      <c r="C864" s="42" t="s">
        <v>267</v>
      </c>
      <c r="D864" s="42" t="s">
        <v>993</v>
      </c>
      <c r="E864" s="42" t="s">
        <v>303</v>
      </c>
      <c r="F864" s="7">
        <f>'Прил.№4 ведомств.'!G516</f>
        <v>372.6</v>
      </c>
      <c r="G864" s="7">
        <f>'Прил.№4 ведомств.'!I516</f>
        <v>372.6</v>
      </c>
      <c r="H864" s="7">
        <f>'Прил.№4 ведомств.'!J516</f>
        <v>0</v>
      </c>
      <c r="I864" s="7">
        <f>'Прил.№4 ведомств.'!K516</f>
        <v>0</v>
      </c>
      <c r="J864" s="7">
        <f>'Прил.№4 ведомств.'!L516</f>
        <v>0</v>
      </c>
      <c r="K864" s="7">
        <f>'Прил.№4 ведомств.'!M516</f>
        <v>783.1</v>
      </c>
      <c r="L864" s="7">
        <f>'Прил.№4 ведомств.'!N516</f>
        <v>0</v>
      </c>
      <c r="M864" s="7">
        <f t="shared" si="506"/>
        <v>0</v>
      </c>
    </row>
    <row r="865" spans="1:13" ht="47.25" customHeight="1" hidden="1">
      <c r="A865" s="26" t="s">
        <v>308</v>
      </c>
      <c r="B865" s="42" t="s">
        <v>296</v>
      </c>
      <c r="C865" s="42" t="s">
        <v>267</v>
      </c>
      <c r="D865" s="42" t="s">
        <v>309</v>
      </c>
      <c r="E865" s="42"/>
      <c r="F865" s="7">
        <f>F866</f>
        <v>0</v>
      </c>
      <c r="G865" s="7">
        <f aca="true" t="shared" si="517" ref="G865:L866">G866</f>
        <v>0</v>
      </c>
      <c r="H865" s="7">
        <f t="shared" si="517"/>
        <v>0</v>
      </c>
      <c r="I865" s="7">
        <f t="shared" si="517"/>
        <v>0</v>
      </c>
      <c r="J865" s="7">
        <f t="shared" si="517"/>
        <v>0</v>
      </c>
      <c r="K865" s="7">
        <f t="shared" si="517"/>
        <v>0</v>
      </c>
      <c r="L865" s="7">
        <f t="shared" si="517"/>
        <v>0</v>
      </c>
      <c r="M865" s="4" t="e">
        <f t="shared" si="506"/>
        <v>#DIV/0!</v>
      </c>
    </row>
    <row r="866" spans="1:13" ht="31.5" customHeight="1" hidden="1">
      <c r="A866" s="31" t="s">
        <v>300</v>
      </c>
      <c r="B866" s="42" t="s">
        <v>296</v>
      </c>
      <c r="C866" s="42" t="s">
        <v>267</v>
      </c>
      <c r="D866" s="42" t="s">
        <v>309</v>
      </c>
      <c r="E866" s="42" t="s">
        <v>301</v>
      </c>
      <c r="F866" s="7">
        <f>F867</f>
        <v>0</v>
      </c>
      <c r="G866" s="7">
        <f t="shared" si="517"/>
        <v>0</v>
      </c>
      <c r="H866" s="7">
        <f t="shared" si="517"/>
        <v>0</v>
      </c>
      <c r="I866" s="7">
        <f t="shared" si="517"/>
        <v>0</v>
      </c>
      <c r="J866" s="7">
        <f t="shared" si="517"/>
        <v>0</v>
      </c>
      <c r="K866" s="7">
        <f t="shared" si="517"/>
        <v>0</v>
      </c>
      <c r="L866" s="7">
        <f t="shared" si="517"/>
        <v>0</v>
      </c>
      <c r="M866" s="4" t="e">
        <f t="shared" si="506"/>
        <v>#DIV/0!</v>
      </c>
    </row>
    <row r="867" spans="1:13" ht="31.5" customHeight="1" hidden="1">
      <c r="A867" s="31" t="s">
        <v>302</v>
      </c>
      <c r="B867" s="42" t="s">
        <v>296</v>
      </c>
      <c r="C867" s="42" t="s">
        <v>267</v>
      </c>
      <c r="D867" s="42" t="s">
        <v>309</v>
      </c>
      <c r="E867" s="42" t="s">
        <v>303</v>
      </c>
      <c r="F867" s="7">
        <f>'Прил.№4 ведомств.'!G234</f>
        <v>0</v>
      </c>
      <c r="G867" s="7">
        <f>'Прил.№4 ведомств.'!I234</f>
        <v>0</v>
      </c>
      <c r="H867" s="7">
        <f>'Прил.№4 ведомств.'!J234</f>
        <v>0</v>
      </c>
      <c r="I867" s="7">
        <f>'Прил.№4 ведомств.'!K234</f>
        <v>0</v>
      </c>
      <c r="J867" s="7">
        <f>'Прил.№4 ведомств.'!L234</f>
        <v>0</v>
      </c>
      <c r="K867" s="7">
        <f>'Прил.№4 ведомств.'!M234</f>
        <v>0</v>
      </c>
      <c r="L867" s="7">
        <f>'Прил.№4 ведомств.'!N234</f>
        <v>0</v>
      </c>
      <c r="M867" s="4" t="e">
        <f t="shared" si="506"/>
        <v>#DIV/0!</v>
      </c>
    </row>
    <row r="868" spans="1:13" ht="47.25" hidden="1">
      <c r="A868" s="26" t="s">
        <v>427</v>
      </c>
      <c r="B868" s="42" t="s">
        <v>296</v>
      </c>
      <c r="C868" s="42" t="s">
        <v>267</v>
      </c>
      <c r="D868" s="21" t="s">
        <v>437</v>
      </c>
      <c r="E868" s="42"/>
      <c r="F868" s="7">
        <f>F869</f>
        <v>500</v>
      </c>
      <c r="G868" s="7">
        <f aca="true" t="shared" si="518" ref="G868:L869">G869</f>
        <v>500</v>
      </c>
      <c r="H868" s="7">
        <f t="shared" si="518"/>
        <v>0</v>
      </c>
      <c r="I868" s="7">
        <f t="shared" si="518"/>
        <v>0</v>
      </c>
      <c r="J868" s="7">
        <f t="shared" si="518"/>
        <v>0</v>
      </c>
      <c r="K868" s="7">
        <f t="shared" si="518"/>
        <v>0</v>
      </c>
      <c r="L868" s="7">
        <f t="shared" si="518"/>
        <v>0</v>
      </c>
      <c r="M868" s="4" t="e">
        <f t="shared" si="506"/>
        <v>#DIV/0!</v>
      </c>
    </row>
    <row r="869" spans="1:13" ht="31.5" hidden="1">
      <c r="A869" s="26" t="s">
        <v>300</v>
      </c>
      <c r="B869" s="42" t="s">
        <v>296</v>
      </c>
      <c r="C869" s="42" t="s">
        <v>267</v>
      </c>
      <c r="D869" s="21" t="s">
        <v>437</v>
      </c>
      <c r="E869" s="42" t="s">
        <v>301</v>
      </c>
      <c r="F869" s="7">
        <f>F870</f>
        <v>500</v>
      </c>
      <c r="G869" s="7">
        <f t="shared" si="518"/>
        <v>500</v>
      </c>
      <c r="H869" s="7">
        <f t="shared" si="518"/>
        <v>0</v>
      </c>
      <c r="I869" s="7">
        <f t="shared" si="518"/>
        <v>0</v>
      </c>
      <c r="J869" s="7">
        <f t="shared" si="518"/>
        <v>0</v>
      </c>
      <c r="K869" s="7">
        <f t="shared" si="518"/>
        <v>0</v>
      </c>
      <c r="L869" s="7">
        <f t="shared" si="518"/>
        <v>0</v>
      </c>
      <c r="M869" s="4" t="e">
        <f t="shared" si="506"/>
        <v>#DIV/0!</v>
      </c>
    </row>
    <row r="870" spans="1:13" ht="31.5" hidden="1">
      <c r="A870" s="26" t="s">
        <v>302</v>
      </c>
      <c r="B870" s="42" t="s">
        <v>296</v>
      </c>
      <c r="C870" s="42" t="s">
        <v>267</v>
      </c>
      <c r="D870" s="21" t="s">
        <v>437</v>
      </c>
      <c r="E870" s="42" t="s">
        <v>303</v>
      </c>
      <c r="F870" s="7">
        <f>'Прил.№4 ведомств.'!G519</f>
        <v>500</v>
      </c>
      <c r="G870" s="7">
        <f>'Прил.№4 ведомств.'!I519</f>
        <v>500</v>
      </c>
      <c r="H870" s="7">
        <f>'Прил.№4 ведомств.'!J519</f>
        <v>0</v>
      </c>
      <c r="I870" s="7">
        <f>'Прил.№4 ведомств.'!K519</f>
        <v>0</v>
      </c>
      <c r="J870" s="7">
        <f>'Прил.№4 ведомств.'!L519</f>
        <v>0</v>
      </c>
      <c r="K870" s="7">
        <f>'Прил.№4 ведомств.'!M519</f>
        <v>0</v>
      </c>
      <c r="L870" s="7">
        <f>'Прил.№4 ведомств.'!N519</f>
        <v>0</v>
      </c>
      <c r="M870" s="4" t="e">
        <f t="shared" si="506"/>
        <v>#DIV/0!</v>
      </c>
    </row>
    <row r="871" spans="1:13" ht="15.75" customHeight="1" hidden="1">
      <c r="A871" s="26" t="s">
        <v>435</v>
      </c>
      <c r="B871" s="42" t="s">
        <v>296</v>
      </c>
      <c r="C871" s="42" t="s">
        <v>267</v>
      </c>
      <c r="D871" s="42" t="s">
        <v>436</v>
      </c>
      <c r="E871" s="42"/>
      <c r="F871" s="7">
        <f>F872</f>
        <v>0</v>
      </c>
      <c r="G871" s="7">
        <f aca="true" t="shared" si="519" ref="G871:L871">G872</f>
        <v>0</v>
      </c>
      <c r="H871" s="7">
        <f t="shared" si="519"/>
        <v>0</v>
      </c>
      <c r="I871" s="7">
        <f t="shared" si="519"/>
        <v>0</v>
      </c>
      <c r="J871" s="7">
        <f t="shared" si="519"/>
        <v>0</v>
      </c>
      <c r="K871" s="7">
        <f t="shared" si="519"/>
        <v>0</v>
      </c>
      <c r="L871" s="7">
        <f t="shared" si="519"/>
        <v>0</v>
      </c>
      <c r="M871" s="4" t="e">
        <f t="shared" si="506"/>
        <v>#DIV/0!</v>
      </c>
    </row>
    <row r="872" spans="1:13" ht="31.5" customHeight="1" hidden="1">
      <c r="A872" s="31" t="s">
        <v>300</v>
      </c>
      <c r="B872" s="42" t="s">
        <v>296</v>
      </c>
      <c r="C872" s="42" t="s">
        <v>267</v>
      </c>
      <c r="D872" s="42" t="s">
        <v>436</v>
      </c>
      <c r="E872" s="42" t="s">
        <v>301</v>
      </c>
      <c r="F872" s="7">
        <f>F873+F875</f>
        <v>0</v>
      </c>
      <c r="G872" s="7">
        <f aca="true" t="shared" si="520" ref="G872:K872">G873+G875</f>
        <v>0</v>
      </c>
      <c r="H872" s="7">
        <f t="shared" si="520"/>
        <v>0</v>
      </c>
      <c r="I872" s="7">
        <f t="shared" si="520"/>
        <v>0</v>
      </c>
      <c r="J872" s="7">
        <f t="shared" si="520"/>
        <v>0</v>
      </c>
      <c r="K872" s="7">
        <f t="shared" si="520"/>
        <v>0</v>
      </c>
      <c r="L872" s="7">
        <f aca="true" t="shared" si="521" ref="L872">L873+L875</f>
        <v>0</v>
      </c>
      <c r="M872" s="4" t="e">
        <f t="shared" si="506"/>
        <v>#DIV/0!</v>
      </c>
    </row>
    <row r="873" spans="1:13" ht="31.5" customHeight="1" hidden="1">
      <c r="A873" s="31" t="s">
        <v>400</v>
      </c>
      <c r="B873" s="42" t="s">
        <v>296</v>
      </c>
      <c r="C873" s="42" t="s">
        <v>267</v>
      </c>
      <c r="D873" s="42" t="s">
        <v>436</v>
      </c>
      <c r="E873" s="42" t="s">
        <v>401</v>
      </c>
      <c r="F873" s="7"/>
      <c r="G873" s="7"/>
      <c r="H873" s="7"/>
      <c r="I873" s="7"/>
      <c r="J873" s="7"/>
      <c r="K873" s="7"/>
      <c r="L873" s="7"/>
      <c r="M873" s="4" t="e">
        <f t="shared" si="506"/>
        <v>#DIV/0!</v>
      </c>
    </row>
    <row r="874" spans="1:13" ht="47.25" customHeight="1" hidden="1">
      <c r="A874" s="31" t="s">
        <v>689</v>
      </c>
      <c r="B874" s="42" t="s">
        <v>296</v>
      </c>
      <c r="C874" s="42" t="s">
        <v>267</v>
      </c>
      <c r="D874" s="42" t="s">
        <v>436</v>
      </c>
      <c r="E874" s="42" t="s">
        <v>690</v>
      </c>
      <c r="F874" s="7"/>
      <c r="G874" s="7"/>
      <c r="H874" s="7"/>
      <c r="I874" s="7"/>
      <c r="J874" s="7"/>
      <c r="K874" s="7"/>
      <c r="L874" s="7"/>
      <c r="M874" s="4" t="e">
        <f t="shared" si="506"/>
        <v>#DIV/0!</v>
      </c>
    </row>
    <row r="875" spans="1:13" ht="31.5" customHeight="1" hidden="1">
      <c r="A875" s="31" t="s">
        <v>302</v>
      </c>
      <c r="B875" s="42" t="s">
        <v>296</v>
      </c>
      <c r="C875" s="42" t="s">
        <v>267</v>
      </c>
      <c r="D875" s="42" t="s">
        <v>436</v>
      </c>
      <c r="E875" s="42" t="s">
        <v>303</v>
      </c>
      <c r="F875" s="7"/>
      <c r="G875" s="7"/>
      <c r="H875" s="7"/>
      <c r="I875" s="7"/>
      <c r="J875" s="7"/>
      <c r="K875" s="7"/>
      <c r="L875" s="7"/>
      <c r="M875" s="4" t="e">
        <f t="shared" si="506"/>
        <v>#DIV/0!</v>
      </c>
    </row>
    <row r="876" spans="1:13" ht="15.75" customHeight="1" hidden="1">
      <c r="A876" s="31" t="s">
        <v>193</v>
      </c>
      <c r="B876" s="42" t="s">
        <v>296</v>
      </c>
      <c r="C876" s="42" t="s">
        <v>267</v>
      </c>
      <c r="D876" s="42" t="s">
        <v>194</v>
      </c>
      <c r="E876" s="42"/>
      <c r="F876" s="7">
        <f>F877</f>
        <v>0</v>
      </c>
      <c r="G876" s="7">
        <f aca="true" t="shared" si="522" ref="G876:L878">G877</f>
        <v>0</v>
      </c>
      <c r="H876" s="7">
        <f t="shared" si="522"/>
        <v>0</v>
      </c>
      <c r="I876" s="7">
        <f t="shared" si="522"/>
        <v>0</v>
      </c>
      <c r="J876" s="7">
        <f t="shared" si="522"/>
        <v>0</v>
      </c>
      <c r="K876" s="7">
        <f t="shared" si="522"/>
        <v>0</v>
      </c>
      <c r="L876" s="7">
        <f t="shared" si="522"/>
        <v>0</v>
      </c>
      <c r="M876" s="4" t="e">
        <f t="shared" si="506"/>
        <v>#DIV/0!</v>
      </c>
    </row>
    <row r="877" spans="1:13" ht="15.75" customHeight="1" hidden="1">
      <c r="A877" s="31" t="s">
        <v>253</v>
      </c>
      <c r="B877" s="42" t="s">
        <v>296</v>
      </c>
      <c r="C877" s="42" t="s">
        <v>267</v>
      </c>
      <c r="D877" s="42" t="s">
        <v>254</v>
      </c>
      <c r="E877" s="42"/>
      <c r="F877" s="7">
        <f>F878</f>
        <v>0</v>
      </c>
      <c r="G877" s="7">
        <f t="shared" si="522"/>
        <v>0</v>
      </c>
      <c r="H877" s="7">
        <f t="shared" si="522"/>
        <v>0</v>
      </c>
      <c r="I877" s="7">
        <f t="shared" si="522"/>
        <v>0</v>
      </c>
      <c r="J877" s="7">
        <f t="shared" si="522"/>
        <v>0</v>
      </c>
      <c r="K877" s="7">
        <f t="shared" si="522"/>
        <v>0</v>
      </c>
      <c r="L877" s="7">
        <f t="shared" si="522"/>
        <v>0</v>
      </c>
      <c r="M877" s="4" t="e">
        <f t="shared" si="506"/>
        <v>#DIV/0!</v>
      </c>
    </row>
    <row r="878" spans="1:13" ht="31.5" customHeight="1" hidden="1">
      <c r="A878" s="31" t="s">
        <v>300</v>
      </c>
      <c r="B878" s="42" t="s">
        <v>296</v>
      </c>
      <c r="C878" s="42" t="s">
        <v>267</v>
      </c>
      <c r="D878" s="42" t="s">
        <v>254</v>
      </c>
      <c r="E878" s="42" t="s">
        <v>301</v>
      </c>
      <c r="F878" s="7">
        <f>F879</f>
        <v>0</v>
      </c>
      <c r="G878" s="7">
        <f t="shared" si="522"/>
        <v>0</v>
      </c>
      <c r="H878" s="7">
        <f t="shared" si="522"/>
        <v>0</v>
      </c>
      <c r="I878" s="7">
        <f t="shared" si="522"/>
        <v>0</v>
      </c>
      <c r="J878" s="7">
        <f t="shared" si="522"/>
        <v>0</v>
      </c>
      <c r="K878" s="7">
        <f t="shared" si="522"/>
        <v>0</v>
      </c>
      <c r="L878" s="7">
        <f t="shared" si="522"/>
        <v>0</v>
      </c>
      <c r="M878" s="4" t="e">
        <f t="shared" si="506"/>
        <v>#DIV/0!</v>
      </c>
    </row>
    <row r="879" spans="1:13" ht="31.5" customHeight="1" hidden="1">
      <c r="A879" s="31" t="s">
        <v>400</v>
      </c>
      <c r="B879" s="42" t="s">
        <v>296</v>
      </c>
      <c r="C879" s="42" t="s">
        <v>267</v>
      </c>
      <c r="D879" s="42" t="s">
        <v>254</v>
      </c>
      <c r="E879" s="42" t="s">
        <v>401</v>
      </c>
      <c r="F879" s="7"/>
      <c r="G879" s="7"/>
      <c r="H879" s="7"/>
      <c r="I879" s="7"/>
      <c r="J879" s="7"/>
      <c r="K879" s="7"/>
      <c r="L879" s="7"/>
      <c r="M879" s="4" t="e">
        <f t="shared" si="506"/>
        <v>#DIV/0!</v>
      </c>
    </row>
    <row r="880" spans="1:13" ht="15.75" customHeight="1">
      <c r="A880" s="43" t="s">
        <v>453</v>
      </c>
      <c r="B880" s="8" t="s">
        <v>296</v>
      </c>
      <c r="C880" s="8" t="s">
        <v>202</v>
      </c>
      <c r="D880" s="8"/>
      <c r="E880" s="8"/>
      <c r="F880" s="4">
        <f>F881</f>
        <v>0</v>
      </c>
      <c r="G880" s="4">
        <f aca="true" t="shared" si="523" ref="G880:L883">G881</f>
        <v>0</v>
      </c>
      <c r="H880" s="4">
        <f t="shared" si="523"/>
        <v>0</v>
      </c>
      <c r="I880" s="4">
        <f t="shared" si="523"/>
        <v>0</v>
      </c>
      <c r="J880" s="4">
        <f t="shared" si="523"/>
        <v>0</v>
      </c>
      <c r="K880" s="4">
        <f t="shared" si="523"/>
        <v>378.5</v>
      </c>
      <c r="L880" s="4">
        <f t="shared" si="523"/>
        <v>0</v>
      </c>
      <c r="M880" s="4">
        <f t="shared" si="506"/>
        <v>0</v>
      </c>
    </row>
    <row r="881" spans="1:13" ht="31.5" customHeight="1">
      <c r="A881" s="31" t="s">
        <v>237</v>
      </c>
      <c r="B881" s="42" t="s">
        <v>296</v>
      </c>
      <c r="C881" s="42" t="s">
        <v>202</v>
      </c>
      <c r="D881" s="42" t="s">
        <v>238</v>
      </c>
      <c r="E881" s="42"/>
      <c r="F881" s="7">
        <f>F882</f>
        <v>0</v>
      </c>
      <c r="G881" s="7">
        <f t="shared" si="523"/>
        <v>0</v>
      </c>
      <c r="H881" s="7">
        <f t="shared" si="523"/>
        <v>0</v>
      </c>
      <c r="I881" s="7">
        <f t="shared" si="523"/>
        <v>0</v>
      </c>
      <c r="J881" s="7">
        <f t="shared" si="523"/>
        <v>0</v>
      </c>
      <c r="K881" s="7">
        <f t="shared" si="523"/>
        <v>378.5</v>
      </c>
      <c r="L881" s="7">
        <f t="shared" si="523"/>
        <v>0</v>
      </c>
      <c r="M881" s="7">
        <f t="shared" si="506"/>
        <v>0</v>
      </c>
    </row>
    <row r="882" spans="1:13" ht="31.5" customHeight="1">
      <c r="A882" s="47" t="s">
        <v>454</v>
      </c>
      <c r="B882" s="42" t="s">
        <v>296</v>
      </c>
      <c r="C882" s="42" t="s">
        <v>202</v>
      </c>
      <c r="D882" s="21" t="s">
        <v>455</v>
      </c>
      <c r="E882" s="42"/>
      <c r="F882" s="7">
        <f>F883</f>
        <v>0</v>
      </c>
      <c r="G882" s="7">
        <f t="shared" si="523"/>
        <v>0</v>
      </c>
      <c r="H882" s="7">
        <f t="shared" si="523"/>
        <v>0</v>
      </c>
      <c r="I882" s="7">
        <f t="shared" si="523"/>
        <v>0</v>
      </c>
      <c r="J882" s="7">
        <f t="shared" si="523"/>
        <v>0</v>
      </c>
      <c r="K882" s="7">
        <f t="shared" si="523"/>
        <v>378.5</v>
      </c>
      <c r="L882" s="7">
        <f t="shared" si="523"/>
        <v>0</v>
      </c>
      <c r="M882" s="7">
        <f t="shared" si="506"/>
        <v>0</v>
      </c>
    </row>
    <row r="883" spans="1:13" ht="31.5" customHeight="1">
      <c r="A883" s="31" t="s">
        <v>183</v>
      </c>
      <c r="B883" s="42" t="s">
        <v>296</v>
      </c>
      <c r="C883" s="42" t="s">
        <v>202</v>
      </c>
      <c r="D883" s="21" t="s">
        <v>455</v>
      </c>
      <c r="E883" s="42" t="s">
        <v>184</v>
      </c>
      <c r="F883" s="7">
        <f>F884</f>
        <v>0</v>
      </c>
      <c r="G883" s="7">
        <f t="shared" si="523"/>
        <v>0</v>
      </c>
      <c r="H883" s="7">
        <f t="shared" si="523"/>
        <v>0</v>
      </c>
      <c r="I883" s="7">
        <f t="shared" si="523"/>
        <v>0</v>
      </c>
      <c r="J883" s="7">
        <f t="shared" si="523"/>
        <v>0</v>
      </c>
      <c r="K883" s="7">
        <f t="shared" si="523"/>
        <v>378.5</v>
      </c>
      <c r="L883" s="7">
        <f t="shared" si="523"/>
        <v>0</v>
      </c>
      <c r="M883" s="7">
        <f t="shared" si="506"/>
        <v>0</v>
      </c>
    </row>
    <row r="884" spans="1:13" ht="47.25" customHeight="1">
      <c r="A884" s="31" t="s">
        <v>185</v>
      </c>
      <c r="B884" s="42" t="s">
        <v>296</v>
      </c>
      <c r="C884" s="42" t="s">
        <v>202</v>
      </c>
      <c r="D884" s="21" t="s">
        <v>455</v>
      </c>
      <c r="E884" s="42" t="s">
        <v>186</v>
      </c>
      <c r="F884" s="7">
        <v>0</v>
      </c>
      <c r="G884" s="7">
        <v>0</v>
      </c>
      <c r="H884" s="7">
        <v>0</v>
      </c>
      <c r="I884" s="7">
        <v>0</v>
      </c>
      <c r="J884" s="7">
        <v>0</v>
      </c>
      <c r="K884" s="7">
        <f>'Прил.№4 ведомств.'!M574</f>
        <v>378.5</v>
      </c>
      <c r="L884" s="7">
        <f>'Прил.№4 ведомств.'!N574</f>
        <v>0</v>
      </c>
      <c r="M884" s="7">
        <f t="shared" si="506"/>
        <v>0</v>
      </c>
    </row>
    <row r="885" spans="1:13" ht="63" hidden="1">
      <c r="A885" s="26" t="s">
        <v>438</v>
      </c>
      <c r="B885" s="21" t="s">
        <v>296</v>
      </c>
      <c r="C885" s="21" t="s">
        <v>267</v>
      </c>
      <c r="D885" s="21" t="s">
        <v>439</v>
      </c>
      <c r="E885" s="21"/>
      <c r="F885" s="7">
        <f>F886</f>
        <v>59.4</v>
      </c>
      <c r="G885" s="7">
        <f aca="true" t="shared" si="524" ref="G885:L886">G886</f>
        <v>59.4</v>
      </c>
      <c r="H885" s="7">
        <f t="shared" si="524"/>
        <v>0</v>
      </c>
      <c r="I885" s="7">
        <f t="shared" si="524"/>
        <v>0</v>
      </c>
      <c r="J885" s="7">
        <f t="shared" si="524"/>
        <v>0</v>
      </c>
      <c r="K885" s="7">
        <f t="shared" si="524"/>
        <v>0</v>
      </c>
      <c r="L885" s="7">
        <f t="shared" si="524"/>
        <v>0</v>
      </c>
      <c r="M885" s="4" t="e">
        <f t="shared" si="506"/>
        <v>#DIV/0!</v>
      </c>
    </row>
    <row r="886" spans="1:13" ht="31.5" hidden="1">
      <c r="A886" s="26" t="s">
        <v>300</v>
      </c>
      <c r="B886" s="21" t="s">
        <v>296</v>
      </c>
      <c r="C886" s="21" t="s">
        <v>267</v>
      </c>
      <c r="D886" s="21" t="s">
        <v>439</v>
      </c>
      <c r="E886" s="21" t="s">
        <v>301</v>
      </c>
      <c r="F886" s="7">
        <f>F887</f>
        <v>59.4</v>
      </c>
      <c r="G886" s="7">
        <f t="shared" si="524"/>
        <v>59.4</v>
      </c>
      <c r="H886" s="7">
        <f t="shared" si="524"/>
        <v>0</v>
      </c>
      <c r="I886" s="7">
        <f t="shared" si="524"/>
        <v>0</v>
      </c>
      <c r="J886" s="7">
        <f t="shared" si="524"/>
        <v>0</v>
      </c>
      <c r="K886" s="7">
        <f t="shared" si="524"/>
        <v>0</v>
      </c>
      <c r="L886" s="7">
        <f t="shared" si="524"/>
        <v>0</v>
      </c>
      <c r="M886" s="4" t="e">
        <f t="shared" si="506"/>
        <v>#DIV/0!</v>
      </c>
    </row>
    <row r="887" spans="1:13" ht="31.5" hidden="1">
      <c r="A887" s="26" t="s">
        <v>400</v>
      </c>
      <c r="B887" s="21" t="s">
        <v>296</v>
      </c>
      <c r="C887" s="21" t="s">
        <v>267</v>
      </c>
      <c r="D887" s="21" t="s">
        <v>439</v>
      </c>
      <c r="E887" s="21" t="s">
        <v>401</v>
      </c>
      <c r="F887" s="7">
        <f>'Прил.№4 ведомств.'!G522</f>
        <v>59.4</v>
      </c>
      <c r="G887" s="7">
        <f>'Прил.№4 ведомств.'!I522</f>
        <v>59.4</v>
      </c>
      <c r="H887" s="7">
        <f>'Прил.№4 ведомств.'!J522</f>
        <v>0</v>
      </c>
      <c r="I887" s="7">
        <f>'Прил.№4 ведомств.'!K522</f>
        <v>0</v>
      </c>
      <c r="J887" s="7">
        <f>'Прил.№4 ведомств.'!L522</f>
        <v>0</v>
      </c>
      <c r="K887" s="7">
        <f>'Прил.№4 ведомств.'!M522</f>
        <v>0</v>
      </c>
      <c r="L887" s="7">
        <f>'Прил.№4 ведомств.'!N522</f>
        <v>0</v>
      </c>
      <c r="M887" s="4" t="e">
        <f t="shared" si="506"/>
        <v>#DIV/0!</v>
      </c>
    </row>
    <row r="888" spans="1:13" ht="31.5">
      <c r="A888" s="43" t="s">
        <v>310</v>
      </c>
      <c r="B888" s="8" t="s">
        <v>296</v>
      </c>
      <c r="C888" s="8" t="s">
        <v>172</v>
      </c>
      <c r="D888" s="8"/>
      <c r="E888" s="8"/>
      <c r="F888" s="4">
        <f>F889</f>
        <v>3235.6000000000004</v>
      </c>
      <c r="G888" s="4">
        <f aca="true" t="shared" si="525" ref="G888:L888">G889</f>
        <v>3235.6000000000004</v>
      </c>
      <c r="H888" s="4">
        <f t="shared" si="525"/>
        <v>3256.3000000000006</v>
      </c>
      <c r="I888" s="4">
        <f t="shared" si="525"/>
        <v>3256.3000000000006</v>
      </c>
      <c r="J888" s="4">
        <f t="shared" si="525"/>
        <v>3256.3000000000006</v>
      </c>
      <c r="K888" s="4">
        <f t="shared" si="525"/>
        <v>3235.8</v>
      </c>
      <c r="L888" s="4">
        <f t="shared" si="525"/>
        <v>1386.9999999999998</v>
      </c>
      <c r="M888" s="4">
        <f t="shared" si="506"/>
        <v>42.86420668768155</v>
      </c>
    </row>
    <row r="889" spans="1:13" ht="15.75">
      <c r="A889" s="31" t="s">
        <v>173</v>
      </c>
      <c r="B889" s="42" t="s">
        <v>296</v>
      </c>
      <c r="C889" s="42" t="s">
        <v>172</v>
      </c>
      <c r="D889" s="42" t="s">
        <v>174</v>
      </c>
      <c r="E889" s="42"/>
      <c r="F889" s="7">
        <f>F890+F896</f>
        <v>3235.6000000000004</v>
      </c>
      <c r="G889" s="7">
        <f aca="true" t="shared" si="526" ref="G889:K889">G890+G896</f>
        <v>3235.6000000000004</v>
      </c>
      <c r="H889" s="7">
        <f t="shared" si="526"/>
        <v>3256.3000000000006</v>
      </c>
      <c r="I889" s="7">
        <f t="shared" si="526"/>
        <v>3256.3000000000006</v>
      </c>
      <c r="J889" s="7">
        <f t="shared" si="526"/>
        <v>3256.3000000000006</v>
      </c>
      <c r="K889" s="7">
        <f t="shared" si="526"/>
        <v>3235.8</v>
      </c>
      <c r="L889" s="7">
        <f aca="true" t="shared" si="527" ref="L889">L890+L896</f>
        <v>1386.9999999999998</v>
      </c>
      <c r="M889" s="7">
        <f t="shared" si="506"/>
        <v>42.86420668768155</v>
      </c>
    </row>
    <row r="890" spans="1:13" ht="31.5">
      <c r="A890" s="31" t="s">
        <v>237</v>
      </c>
      <c r="B890" s="42" t="s">
        <v>296</v>
      </c>
      <c r="C890" s="42" t="s">
        <v>172</v>
      </c>
      <c r="D890" s="42" t="s">
        <v>238</v>
      </c>
      <c r="E890" s="42"/>
      <c r="F890" s="7">
        <f>F891</f>
        <v>3148.5000000000005</v>
      </c>
      <c r="G890" s="7">
        <f aca="true" t="shared" si="528" ref="G890:L890">G891</f>
        <v>3148.5000000000005</v>
      </c>
      <c r="H890" s="7">
        <f t="shared" si="528"/>
        <v>3148.5000000000005</v>
      </c>
      <c r="I890" s="7">
        <f t="shared" si="528"/>
        <v>3148.5000000000005</v>
      </c>
      <c r="J890" s="7">
        <f t="shared" si="528"/>
        <v>3148.5000000000005</v>
      </c>
      <c r="K890" s="7">
        <f t="shared" si="528"/>
        <v>3148.7000000000003</v>
      </c>
      <c r="L890" s="7">
        <f t="shared" si="528"/>
        <v>1350.8999999999999</v>
      </c>
      <c r="M890" s="7">
        <f t="shared" si="506"/>
        <v>42.90342045923713</v>
      </c>
    </row>
    <row r="891" spans="1:13" ht="47.25">
      <c r="A891" s="47" t="s">
        <v>311</v>
      </c>
      <c r="B891" s="42" t="s">
        <v>296</v>
      </c>
      <c r="C891" s="42" t="s">
        <v>172</v>
      </c>
      <c r="D891" s="42" t="s">
        <v>312</v>
      </c>
      <c r="E891" s="42"/>
      <c r="F891" s="7">
        <f>F892+F894</f>
        <v>3148.5000000000005</v>
      </c>
      <c r="G891" s="7">
        <f aca="true" t="shared" si="529" ref="G891:K891">G892+G894</f>
        <v>3148.5000000000005</v>
      </c>
      <c r="H891" s="7">
        <f t="shared" si="529"/>
        <v>3148.5000000000005</v>
      </c>
      <c r="I891" s="7">
        <f t="shared" si="529"/>
        <v>3148.5000000000005</v>
      </c>
      <c r="J891" s="7">
        <f t="shared" si="529"/>
        <v>3148.5000000000005</v>
      </c>
      <c r="K891" s="7">
        <f t="shared" si="529"/>
        <v>3148.7000000000003</v>
      </c>
      <c r="L891" s="7">
        <f aca="true" t="shared" si="530" ref="L891">L892+L894</f>
        <v>1350.8999999999999</v>
      </c>
      <c r="M891" s="7">
        <f t="shared" si="506"/>
        <v>42.90342045923713</v>
      </c>
    </row>
    <row r="892" spans="1:13" ht="78.75">
      <c r="A892" s="31" t="s">
        <v>179</v>
      </c>
      <c r="B892" s="42" t="s">
        <v>296</v>
      </c>
      <c r="C892" s="42" t="s">
        <v>172</v>
      </c>
      <c r="D892" s="42" t="s">
        <v>312</v>
      </c>
      <c r="E892" s="42" t="s">
        <v>180</v>
      </c>
      <c r="F892" s="7">
        <f>F893</f>
        <v>2884.1000000000004</v>
      </c>
      <c r="G892" s="7">
        <f aca="true" t="shared" si="531" ref="G892:L892">G893</f>
        <v>2884.1000000000004</v>
      </c>
      <c r="H892" s="7">
        <f t="shared" si="531"/>
        <v>2884.1000000000004</v>
      </c>
      <c r="I892" s="7">
        <f t="shared" si="531"/>
        <v>2884.1000000000004</v>
      </c>
      <c r="J892" s="7">
        <f t="shared" si="531"/>
        <v>2884.1000000000004</v>
      </c>
      <c r="K892" s="7">
        <f t="shared" si="531"/>
        <v>2857.3</v>
      </c>
      <c r="L892" s="7">
        <f t="shared" si="531"/>
        <v>1289.1</v>
      </c>
      <c r="M892" s="7">
        <f t="shared" si="506"/>
        <v>45.11601861897595</v>
      </c>
    </row>
    <row r="893" spans="1:13" ht="31.5">
      <c r="A893" s="31" t="s">
        <v>181</v>
      </c>
      <c r="B893" s="42" t="s">
        <v>296</v>
      </c>
      <c r="C893" s="42" t="s">
        <v>172</v>
      </c>
      <c r="D893" s="42" t="s">
        <v>312</v>
      </c>
      <c r="E893" s="42" t="s">
        <v>182</v>
      </c>
      <c r="F893" s="7">
        <f>'Прил.№4 ведомств.'!G240</f>
        <v>2884.1000000000004</v>
      </c>
      <c r="G893" s="7">
        <f>'Прил.№4 ведомств.'!I240</f>
        <v>2884.1000000000004</v>
      </c>
      <c r="H893" s="7">
        <f>'Прил.№4 ведомств.'!J240</f>
        <v>2884.1000000000004</v>
      </c>
      <c r="I893" s="7">
        <f>'Прил.№4 ведомств.'!K240</f>
        <v>2884.1000000000004</v>
      </c>
      <c r="J893" s="7">
        <f>'Прил.№4 ведомств.'!L240</f>
        <v>2884.1000000000004</v>
      </c>
      <c r="K893" s="7">
        <f>'Прил.№4 ведомств.'!M240</f>
        <v>2857.3</v>
      </c>
      <c r="L893" s="7">
        <f>'Прил.№4 ведомств.'!N240</f>
        <v>1289.1</v>
      </c>
      <c r="M893" s="7">
        <f t="shared" si="506"/>
        <v>45.11601861897595</v>
      </c>
    </row>
    <row r="894" spans="1:13" ht="31.5">
      <c r="A894" s="31" t="s">
        <v>183</v>
      </c>
      <c r="B894" s="42" t="s">
        <v>296</v>
      </c>
      <c r="C894" s="42" t="s">
        <v>172</v>
      </c>
      <c r="D894" s="42" t="s">
        <v>312</v>
      </c>
      <c r="E894" s="42" t="s">
        <v>184</v>
      </c>
      <c r="F894" s="7">
        <f>F895</f>
        <v>264.4</v>
      </c>
      <c r="G894" s="7">
        <f aca="true" t="shared" si="532" ref="G894:L894">G895</f>
        <v>264.4</v>
      </c>
      <c r="H894" s="7">
        <f t="shared" si="532"/>
        <v>264.4</v>
      </c>
      <c r="I894" s="7">
        <f t="shared" si="532"/>
        <v>264.4</v>
      </c>
      <c r="J894" s="7">
        <f t="shared" si="532"/>
        <v>264.4</v>
      </c>
      <c r="K894" s="7">
        <f t="shared" si="532"/>
        <v>291.4</v>
      </c>
      <c r="L894" s="7">
        <f t="shared" si="532"/>
        <v>61.8</v>
      </c>
      <c r="M894" s="7">
        <f t="shared" si="506"/>
        <v>21.2079615648593</v>
      </c>
    </row>
    <row r="895" spans="1:13" ht="47.25">
      <c r="A895" s="31" t="s">
        <v>185</v>
      </c>
      <c r="B895" s="42" t="s">
        <v>296</v>
      </c>
      <c r="C895" s="42" t="s">
        <v>172</v>
      </c>
      <c r="D895" s="42" t="s">
        <v>312</v>
      </c>
      <c r="E895" s="42" t="s">
        <v>186</v>
      </c>
      <c r="F895" s="7">
        <f>'Прил.№4 ведомств.'!G242</f>
        <v>264.4</v>
      </c>
      <c r="G895" s="7">
        <f>'Прил.№4 ведомств.'!I242</f>
        <v>264.4</v>
      </c>
      <c r="H895" s="7">
        <f>'Прил.№4 ведомств.'!J242</f>
        <v>264.4</v>
      </c>
      <c r="I895" s="7">
        <f>'Прил.№4 ведомств.'!K242</f>
        <v>264.4</v>
      </c>
      <c r="J895" s="7">
        <f>'Прил.№4 ведомств.'!L242</f>
        <v>264.4</v>
      </c>
      <c r="K895" s="7">
        <f>'Прил.№4 ведомств.'!M242</f>
        <v>291.4</v>
      </c>
      <c r="L895" s="7">
        <f>'Прил.№4 ведомств.'!N242</f>
        <v>61.8</v>
      </c>
      <c r="M895" s="7">
        <f t="shared" si="506"/>
        <v>21.2079615648593</v>
      </c>
    </row>
    <row r="896" spans="1:13" ht="15.75">
      <c r="A896" s="31" t="s">
        <v>193</v>
      </c>
      <c r="B896" s="42" t="s">
        <v>296</v>
      </c>
      <c r="C896" s="42" t="s">
        <v>172</v>
      </c>
      <c r="D896" s="42" t="s">
        <v>194</v>
      </c>
      <c r="E896" s="42"/>
      <c r="F896" s="7">
        <f>F897</f>
        <v>87.1</v>
      </c>
      <c r="G896" s="7">
        <f aca="true" t="shared" si="533" ref="G896:L898">G897</f>
        <v>87.1</v>
      </c>
      <c r="H896" s="7">
        <f t="shared" si="533"/>
        <v>107.8</v>
      </c>
      <c r="I896" s="7">
        <f t="shared" si="533"/>
        <v>107.8</v>
      </c>
      <c r="J896" s="7">
        <f t="shared" si="533"/>
        <v>107.8</v>
      </c>
      <c r="K896" s="7">
        <f t="shared" si="533"/>
        <v>87.1</v>
      </c>
      <c r="L896" s="7">
        <f t="shared" si="533"/>
        <v>36.1</v>
      </c>
      <c r="M896" s="7">
        <f t="shared" si="506"/>
        <v>41.446613088404135</v>
      </c>
    </row>
    <row r="897" spans="1:13" ht="15.75">
      <c r="A897" s="31" t="s">
        <v>625</v>
      </c>
      <c r="B897" s="42" t="s">
        <v>296</v>
      </c>
      <c r="C897" s="42" t="s">
        <v>172</v>
      </c>
      <c r="D897" s="42" t="s">
        <v>691</v>
      </c>
      <c r="E897" s="42"/>
      <c r="F897" s="7">
        <f>F898</f>
        <v>87.1</v>
      </c>
      <c r="G897" s="7">
        <f t="shared" si="533"/>
        <v>87.1</v>
      </c>
      <c r="H897" s="7">
        <f t="shared" si="533"/>
        <v>107.8</v>
      </c>
      <c r="I897" s="7">
        <f t="shared" si="533"/>
        <v>107.8</v>
      </c>
      <c r="J897" s="7">
        <f t="shared" si="533"/>
        <v>107.8</v>
      </c>
      <c r="K897" s="7">
        <f t="shared" si="533"/>
        <v>87.1</v>
      </c>
      <c r="L897" s="7">
        <f t="shared" si="533"/>
        <v>36.1</v>
      </c>
      <c r="M897" s="7">
        <f t="shared" si="506"/>
        <v>41.446613088404135</v>
      </c>
    </row>
    <row r="898" spans="1:13" ht="15.75">
      <c r="A898" s="31" t="s">
        <v>187</v>
      </c>
      <c r="B898" s="42" t="s">
        <v>296</v>
      </c>
      <c r="C898" s="42" t="s">
        <v>172</v>
      </c>
      <c r="D898" s="42" t="s">
        <v>691</v>
      </c>
      <c r="E898" s="42" t="s">
        <v>197</v>
      </c>
      <c r="F898" s="7">
        <f>F899</f>
        <v>87.1</v>
      </c>
      <c r="G898" s="7">
        <f t="shared" si="533"/>
        <v>87.1</v>
      </c>
      <c r="H898" s="7">
        <f t="shared" si="533"/>
        <v>107.8</v>
      </c>
      <c r="I898" s="7">
        <f t="shared" si="533"/>
        <v>107.8</v>
      </c>
      <c r="J898" s="7">
        <f t="shared" si="533"/>
        <v>107.8</v>
      </c>
      <c r="K898" s="7">
        <f t="shared" si="533"/>
        <v>87.1</v>
      </c>
      <c r="L898" s="7">
        <f t="shared" si="533"/>
        <v>36.1</v>
      </c>
      <c r="M898" s="7">
        <f t="shared" si="506"/>
        <v>41.446613088404135</v>
      </c>
    </row>
    <row r="899" spans="1:13" ht="47.25">
      <c r="A899" s="31" t="s">
        <v>236</v>
      </c>
      <c r="B899" s="42" t="s">
        <v>296</v>
      </c>
      <c r="C899" s="42" t="s">
        <v>172</v>
      </c>
      <c r="D899" s="42" t="s">
        <v>691</v>
      </c>
      <c r="E899" s="42" t="s">
        <v>212</v>
      </c>
      <c r="F899" s="7">
        <f>'Прил.№4 ведомств.'!G1063</f>
        <v>87.1</v>
      </c>
      <c r="G899" s="7">
        <f>'Прил.№4 ведомств.'!I1063</f>
        <v>87.1</v>
      </c>
      <c r="H899" s="7">
        <f>'Прил.№4 ведомств.'!J1063</f>
        <v>107.8</v>
      </c>
      <c r="I899" s="7">
        <f>'Прил.№4 ведомств.'!K1063</f>
        <v>107.8</v>
      </c>
      <c r="J899" s="7">
        <f>'Прил.№4 ведомств.'!L1063</f>
        <v>107.8</v>
      </c>
      <c r="K899" s="7">
        <f>'Прил.№4 ведомств.'!M1063</f>
        <v>87.1</v>
      </c>
      <c r="L899" s="7">
        <f>'Прил.№4 ведомств.'!N1063</f>
        <v>36.1</v>
      </c>
      <c r="M899" s="7">
        <f t="shared" si="506"/>
        <v>41.446613088404135</v>
      </c>
    </row>
    <row r="900" spans="1:13" ht="15.75">
      <c r="A900" s="43" t="s">
        <v>543</v>
      </c>
      <c r="B900" s="8" t="s">
        <v>544</v>
      </c>
      <c r="C900" s="42"/>
      <c r="D900" s="42"/>
      <c r="E900" s="42"/>
      <c r="F900" s="4">
        <f aca="true" t="shared" si="534" ref="F900:K900">F901+F928</f>
        <v>34702.7</v>
      </c>
      <c r="G900" s="4">
        <f t="shared" si="534"/>
        <v>40816.8</v>
      </c>
      <c r="H900" s="4">
        <f t="shared" si="534"/>
        <v>64029.6</v>
      </c>
      <c r="I900" s="4">
        <f t="shared" si="534"/>
        <v>65815.3</v>
      </c>
      <c r="J900" s="4">
        <f t="shared" si="534"/>
        <v>66895.9</v>
      </c>
      <c r="K900" s="4">
        <f t="shared" si="534"/>
        <v>53159.8</v>
      </c>
      <c r="L900" s="4">
        <f aca="true" t="shared" si="535" ref="L900">L901+L928</f>
        <v>24741.6</v>
      </c>
      <c r="M900" s="4">
        <f t="shared" si="506"/>
        <v>46.541935823686316</v>
      </c>
    </row>
    <row r="901" spans="1:15" ht="15.75">
      <c r="A901" s="43" t="s">
        <v>545</v>
      </c>
      <c r="B901" s="8" t="s">
        <v>544</v>
      </c>
      <c r="C901" s="8" t="s">
        <v>170</v>
      </c>
      <c r="D901" s="42"/>
      <c r="E901" s="42"/>
      <c r="F901" s="4">
        <f>F902+F923</f>
        <v>23173.9</v>
      </c>
      <c r="G901" s="4">
        <f>G902+G923</f>
        <v>28397</v>
      </c>
      <c r="H901" s="4">
        <f>H902+H923</f>
        <v>52737</v>
      </c>
      <c r="I901" s="4">
        <f>I902+I923</f>
        <v>54355.7</v>
      </c>
      <c r="J901" s="4">
        <f>J902+J923</f>
        <v>55263.1</v>
      </c>
      <c r="K901" s="4">
        <f>K902+K923+K919</f>
        <v>42347.5</v>
      </c>
      <c r="L901" s="4">
        <f aca="true" t="shared" si="536" ref="L901">L902+L923+L919</f>
        <v>19348</v>
      </c>
      <c r="M901" s="4">
        <f t="shared" si="506"/>
        <v>45.688647499852415</v>
      </c>
      <c r="N901" s="23"/>
      <c r="O901" s="23"/>
    </row>
    <row r="902" spans="1:13" ht="47.25">
      <c r="A902" s="31" t="s">
        <v>534</v>
      </c>
      <c r="B902" s="42" t="s">
        <v>544</v>
      </c>
      <c r="C902" s="42" t="s">
        <v>170</v>
      </c>
      <c r="D902" s="42" t="s">
        <v>535</v>
      </c>
      <c r="E902" s="42"/>
      <c r="F902" s="7">
        <f>F903</f>
        <v>22673.9</v>
      </c>
      <c r="G902" s="7">
        <f aca="true" t="shared" si="537" ref="G902:L902">G903</f>
        <v>27897</v>
      </c>
      <c r="H902" s="7">
        <f t="shared" si="537"/>
        <v>52737</v>
      </c>
      <c r="I902" s="7">
        <f t="shared" si="537"/>
        <v>54355.7</v>
      </c>
      <c r="J902" s="7">
        <f t="shared" si="537"/>
        <v>55263.1</v>
      </c>
      <c r="K902" s="7">
        <f t="shared" si="537"/>
        <v>41802.5</v>
      </c>
      <c r="L902" s="7">
        <f t="shared" si="537"/>
        <v>18803</v>
      </c>
      <c r="M902" s="7">
        <f t="shared" si="506"/>
        <v>44.9805633634352</v>
      </c>
    </row>
    <row r="903" spans="1:13" ht="47.25">
      <c r="A903" s="47" t="s">
        <v>546</v>
      </c>
      <c r="B903" s="42" t="s">
        <v>544</v>
      </c>
      <c r="C903" s="42" t="s">
        <v>692</v>
      </c>
      <c r="D903" s="42" t="s">
        <v>547</v>
      </c>
      <c r="E903" s="42"/>
      <c r="F903" s="7">
        <f>F905+F908+F911+F914+F916</f>
        <v>22673.9</v>
      </c>
      <c r="G903" s="7">
        <f aca="true" t="shared" si="538" ref="G903:K903">G905+G908+G911+G914+G916</f>
        <v>27897</v>
      </c>
      <c r="H903" s="7">
        <f t="shared" si="538"/>
        <v>52737</v>
      </c>
      <c r="I903" s="7">
        <f t="shared" si="538"/>
        <v>54355.7</v>
      </c>
      <c r="J903" s="7">
        <f t="shared" si="538"/>
        <v>55263.1</v>
      </c>
      <c r="K903" s="7">
        <f t="shared" si="538"/>
        <v>41802.5</v>
      </c>
      <c r="L903" s="7">
        <f aca="true" t="shared" si="539" ref="L903">L905+L908+L911+L914+L916</f>
        <v>18803</v>
      </c>
      <c r="M903" s="7">
        <f t="shared" si="506"/>
        <v>44.9805633634352</v>
      </c>
    </row>
    <row r="904" spans="1:13" ht="31.5">
      <c r="A904" s="31" t="s">
        <v>548</v>
      </c>
      <c r="B904" s="42" t="s">
        <v>544</v>
      </c>
      <c r="C904" s="42" t="s">
        <v>170</v>
      </c>
      <c r="D904" s="42" t="s">
        <v>549</v>
      </c>
      <c r="E904" s="42"/>
      <c r="F904" s="7">
        <f>F905</f>
        <v>22376.4</v>
      </c>
      <c r="G904" s="7">
        <f aca="true" t="shared" si="540" ref="G904:L905">G905</f>
        <v>27599.5</v>
      </c>
      <c r="H904" s="7">
        <f t="shared" si="540"/>
        <v>50955.8</v>
      </c>
      <c r="I904" s="7">
        <f t="shared" si="540"/>
        <v>52684.5</v>
      </c>
      <c r="J904" s="7">
        <f t="shared" si="540"/>
        <v>54166.9</v>
      </c>
      <c r="K904" s="7">
        <f t="shared" si="540"/>
        <v>40981.3</v>
      </c>
      <c r="L904" s="7">
        <f t="shared" si="540"/>
        <v>18081.8</v>
      </c>
      <c r="M904" s="7">
        <f t="shared" si="506"/>
        <v>44.12207519039171</v>
      </c>
    </row>
    <row r="905" spans="1:13" ht="47.25">
      <c r="A905" s="31" t="s">
        <v>324</v>
      </c>
      <c r="B905" s="42" t="s">
        <v>544</v>
      </c>
      <c r="C905" s="42" t="s">
        <v>170</v>
      </c>
      <c r="D905" s="42" t="s">
        <v>549</v>
      </c>
      <c r="E905" s="42" t="s">
        <v>325</v>
      </c>
      <c r="F905" s="7">
        <f>F906</f>
        <v>22376.4</v>
      </c>
      <c r="G905" s="7">
        <f t="shared" si="540"/>
        <v>27599.5</v>
      </c>
      <c r="H905" s="7">
        <f t="shared" si="540"/>
        <v>50955.8</v>
      </c>
      <c r="I905" s="7">
        <f t="shared" si="540"/>
        <v>52684.5</v>
      </c>
      <c r="J905" s="7">
        <f t="shared" si="540"/>
        <v>54166.9</v>
      </c>
      <c r="K905" s="7">
        <f t="shared" si="540"/>
        <v>40981.3</v>
      </c>
      <c r="L905" s="7">
        <f t="shared" si="540"/>
        <v>18081.8</v>
      </c>
      <c r="M905" s="7">
        <f t="shared" si="506"/>
        <v>44.12207519039171</v>
      </c>
    </row>
    <row r="906" spans="1:13" ht="15.75">
      <c r="A906" s="31" t="s">
        <v>326</v>
      </c>
      <c r="B906" s="42" t="s">
        <v>544</v>
      </c>
      <c r="C906" s="42" t="s">
        <v>170</v>
      </c>
      <c r="D906" s="42" t="s">
        <v>549</v>
      </c>
      <c r="E906" s="42" t="s">
        <v>327</v>
      </c>
      <c r="F906" s="7">
        <f>'Прил.№4 ведомств.'!G819</f>
        <v>22376.4</v>
      </c>
      <c r="G906" s="7">
        <f>'Прил.№4 ведомств.'!I819</f>
        <v>27599.5</v>
      </c>
      <c r="H906" s="7">
        <f>'Прил.№4 ведомств.'!J819</f>
        <v>50955.8</v>
      </c>
      <c r="I906" s="7">
        <f>'Прил.№4 ведомств.'!K819</f>
        <v>52684.5</v>
      </c>
      <c r="J906" s="7">
        <f>'Прил.№4 ведомств.'!L819</f>
        <v>54166.9</v>
      </c>
      <c r="K906" s="7">
        <f>'Прил.№4 ведомств.'!M819</f>
        <v>40981.3</v>
      </c>
      <c r="L906" s="7">
        <f>'Прил.№4 ведомств.'!N819</f>
        <v>18081.8</v>
      </c>
      <c r="M906" s="7">
        <f t="shared" si="506"/>
        <v>44.12207519039171</v>
      </c>
    </row>
    <row r="907" spans="1:13" ht="31.5" hidden="1">
      <c r="A907" s="31" t="s">
        <v>330</v>
      </c>
      <c r="B907" s="42" t="s">
        <v>544</v>
      </c>
      <c r="C907" s="42" t="s">
        <v>170</v>
      </c>
      <c r="D907" s="42" t="s">
        <v>550</v>
      </c>
      <c r="E907" s="42"/>
      <c r="F907" s="7">
        <f>F908</f>
        <v>297.5</v>
      </c>
      <c r="G907" s="7">
        <f aca="true" t="shared" si="541" ref="G907:L908">G908</f>
        <v>297.5</v>
      </c>
      <c r="H907" s="7">
        <f t="shared" si="541"/>
        <v>0</v>
      </c>
      <c r="I907" s="7">
        <f t="shared" si="541"/>
        <v>0</v>
      </c>
      <c r="J907" s="7">
        <f t="shared" si="541"/>
        <v>0</v>
      </c>
      <c r="K907" s="7">
        <f t="shared" si="541"/>
        <v>0</v>
      </c>
      <c r="L907" s="7">
        <f t="shared" si="541"/>
        <v>0</v>
      </c>
      <c r="M907" s="7" t="e">
        <f t="shared" si="506"/>
        <v>#DIV/0!</v>
      </c>
    </row>
    <row r="908" spans="1:13" ht="47.25" hidden="1">
      <c r="A908" s="31" t="s">
        <v>324</v>
      </c>
      <c r="B908" s="42" t="s">
        <v>544</v>
      </c>
      <c r="C908" s="42" t="s">
        <v>170</v>
      </c>
      <c r="D908" s="42" t="s">
        <v>550</v>
      </c>
      <c r="E908" s="42" t="s">
        <v>325</v>
      </c>
      <c r="F908" s="7">
        <f>F909</f>
        <v>297.5</v>
      </c>
      <c r="G908" s="7">
        <f t="shared" si="541"/>
        <v>297.5</v>
      </c>
      <c r="H908" s="7">
        <f t="shared" si="541"/>
        <v>0</v>
      </c>
      <c r="I908" s="7">
        <f t="shared" si="541"/>
        <v>0</v>
      </c>
      <c r="J908" s="7">
        <f t="shared" si="541"/>
        <v>0</v>
      </c>
      <c r="K908" s="7">
        <f t="shared" si="541"/>
        <v>0</v>
      </c>
      <c r="L908" s="7">
        <f t="shared" si="541"/>
        <v>0</v>
      </c>
      <c r="M908" s="7" t="e">
        <f t="shared" si="506"/>
        <v>#DIV/0!</v>
      </c>
    </row>
    <row r="909" spans="1:13" ht="15.75" hidden="1">
      <c r="A909" s="31" t="s">
        <v>326</v>
      </c>
      <c r="B909" s="42" t="s">
        <v>544</v>
      </c>
      <c r="C909" s="42" t="s">
        <v>170</v>
      </c>
      <c r="D909" s="42" t="s">
        <v>550</v>
      </c>
      <c r="E909" s="42" t="s">
        <v>327</v>
      </c>
      <c r="F909" s="7">
        <f>'Прил.№4 ведомств.'!G822</f>
        <v>297.5</v>
      </c>
      <c r="G909" s="7">
        <f>'Прил.№4 ведомств.'!I822</f>
        <v>297.5</v>
      </c>
      <c r="H909" s="7">
        <f>'Прил.№4 ведомств.'!J822</f>
        <v>0</v>
      </c>
      <c r="I909" s="7">
        <f>'Прил.№4 ведомств.'!K822</f>
        <v>0</v>
      </c>
      <c r="J909" s="7">
        <f>'Прил.№4 ведомств.'!L822</f>
        <v>0</v>
      </c>
      <c r="K909" s="7">
        <f>'Прил.№4 ведомств.'!M822</f>
        <v>0</v>
      </c>
      <c r="L909" s="7">
        <f>'Прил.№4 ведомств.'!N822</f>
        <v>0</v>
      </c>
      <c r="M909" s="7" t="e">
        <f aca="true" t="shared" si="542" ref="M909:M962">L909/K909*100</f>
        <v>#DIV/0!</v>
      </c>
    </row>
    <row r="910" spans="1:13" ht="31.5" customHeight="1" hidden="1">
      <c r="A910" s="31" t="s">
        <v>332</v>
      </c>
      <c r="B910" s="42" t="s">
        <v>544</v>
      </c>
      <c r="C910" s="42" t="s">
        <v>170</v>
      </c>
      <c r="D910" s="42" t="s">
        <v>551</v>
      </c>
      <c r="E910" s="42"/>
      <c r="F910" s="7">
        <f>F911</f>
        <v>0</v>
      </c>
      <c r="G910" s="7">
        <f aca="true" t="shared" si="543" ref="G910:L911">G911</f>
        <v>0</v>
      </c>
      <c r="H910" s="7">
        <f t="shared" si="543"/>
        <v>685</v>
      </c>
      <c r="I910" s="7">
        <f t="shared" si="543"/>
        <v>300</v>
      </c>
      <c r="J910" s="7">
        <f t="shared" si="543"/>
        <v>0</v>
      </c>
      <c r="K910" s="7">
        <f t="shared" si="543"/>
        <v>0</v>
      </c>
      <c r="L910" s="7">
        <f t="shared" si="543"/>
        <v>0</v>
      </c>
      <c r="M910" s="7" t="e">
        <f t="shared" si="542"/>
        <v>#DIV/0!</v>
      </c>
    </row>
    <row r="911" spans="1:13" ht="47.25" customHeight="1" hidden="1">
      <c r="A911" s="31" t="s">
        <v>324</v>
      </c>
      <c r="B911" s="42" t="s">
        <v>544</v>
      </c>
      <c r="C911" s="42" t="s">
        <v>170</v>
      </c>
      <c r="D911" s="42" t="s">
        <v>551</v>
      </c>
      <c r="E911" s="42" t="s">
        <v>325</v>
      </c>
      <c r="F911" s="7">
        <f>F912</f>
        <v>0</v>
      </c>
      <c r="G911" s="7">
        <f t="shared" si="543"/>
        <v>0</v>
      </c>
      <c r="H911" s="7">
        <f t="shared" si="543"/>
        <v>685</v>
      </c>
      <c r="I911" s="7">
        <f t="shared" si="543"/>
        <v>300</v>
      </c>
      <c r="J911" s="7">
        <f t="shared" si="543"/>
        <v>0</v>
      </c>
      <c r="K911" s="7">
        <f t="shared" si="543"/>
        <v>0</v>
      </c>
      <c r="L911" s="7">
        <f t="shared" si="543"/>
        <v>0</v>
      </c>
      <c r="M911" s="7" t="e">
        <f t="shared" si="542"/>
        <v>#DIV/0!</v>
      </c>
    </row>
    <row r="912" spans="1:13" ht="15.75" customHeight="1" hidden="1">
      <c r="A912" s="31" t="s">
        <v>326</v>
      </c>
      <c r="B912" s="42" t="s">
        <v>544</v>
      </c>
      <c r="C912" s="42" t="s">
        <v>170</v>
      </c>
      <c r="D912" s="42" t="s">
        <v>551</v>
      </c>
      <c r="E912" s="42" t="s">
        <v>327</v>
      </c>
      <c r="F912" s="7">
        <f>'Прил.№4 ведомств.'!G825</f>
        <v>0</v>
      </c>
      <c r="G912" s="7">
        <f>'Прил.№4 ведомств.'!I825</f>
        <v>0</v>
      </c>
      <c r="H912" s="7">
        <f>'Прил.№4 ведомств.'!J825</f>
        <v>685</v>
      </c>
      <c r="I912" s="7">
        <f>'Прил.№4 ведомств.'!K825</f>
        <v>300</v>
      </c>
      <c r="J912" s="7">
        <f>'Прил.№4 ведомств.'!L825</f>
        <v>0</v>
      </c>
      <c r="K912" s="7">
        <f>'Прил.№4 ведомств.'!M825</f>
        <v>0</v>
      </c>
      <c r="L912" s="7">
        <f>'Прил.№4 ведомств.'!N825</f>
        <v>0</v>
      </c>
      <c r="M912" s="7" t="e">
        <f t="shared" si="542"/>
        <v>#DIV/0!</v>
      </c>
    </row>
    <row r="913" spans="1:13" ht="31.5" customHeight="1">
      <c r="A913" s="31" t="s">
        <v>336</v>
      </c>
      <c r="B913" s="42" t="s">
        <v>544</v>
      </c>
      <c r="C913" s="42" t="s">
        <v>170</v>
      </c>
      <c r="D913" s="42" t="s">
        <v>552</v>
      </c>
      <c r="E913" s="42"/>
      <c r="F913" s="7">
        <f>F914</f>
        <v>0</v>
      </c>
      <c r="G913" s="7">
        <f aca="true" t="shared" si="544" ref="G913:L914">G914</f>
        <v>0</v>
      </c>
      <c r="H913" s="7">
        <f t="shared" si="544"/>
        <v>275</v>
      </c>
      <c r="I913" s="7">
        <f t="shared" si="544"/>
        <v>550</v>
      </c>
      <c r="J913" s="7">
        <f t="shared" si="544"/>
        <v>275</v>
      </c>
      <c r="K913" s="7">
        <f t="shared" si="544"/>
        <v>100</v>
      </c>
      <c r="L913" s="7">
        <f t="shared" si="544"/>
        <v>0</v>
      </c>
      <c r="M913" s="7">
        <f t="shared" si="542"/>
        <v>0</v>
      </c>
    </row>
    <row r="914" spans="1:13" ht="47.25" customHeight="1">
      <c r="A914" s="31" t="s">
        <v>324</v>
      </c>
      <c r="B914" s="42" t="s">
        <v>544</v>
      </c>
      <c r="C914" s="42" t="s">
        <v>170</v>
      </c>
      <c r="D914" s="42" t="s">
        <v>552</v>
      </c>
      <c r="E914" s="42" t="s">
        <v>325</v>
      </c>
      <c r="F914" s="7">
        <f>F915</f>
        <v>0</v>
      </c>
      <c r="G914" s="7">
        <f t="shared" si="544"/>
        <v>0</v>
      </c>
      <c r="H914" s="7">
        <f t="shared" si="544"/>
        <v>275</v>
      </c>
      <c r="I914" s="7">
        <f t="shared" si="544"/>
        <v>550</v>
      </c>
      <c r="J914" s="7">
        <f t="shared" si="544"/>
        <v>275</v>
      </c>
      <c r="K914" s="7">
        <f t="shared" si="544"/>
        <v>100</v>
      </c>
      <c r="L914" s="7">
        <f t="shared" si="544"/>
        <v>0</v>
      </c>
      <c r="M914" s="7">
        <f t="shared" si="542"/>
        <v>0</v>
      </c>
    </row>
    <row r="915" spans="1:13" ht="15.75" customHeight="1">
      <c r="A915" s="31" t="s">
        <v>326</v>
      </c>
      <c r="B915" s="42" t="s">
        <v>544</v>
      </c>
      <c r="C915" s="42" t="s">
        <v>170</v>
      </c>
      <c r="D915" s="42" t="s">
        <v>552</v>
      </c>
      <c r="E915" s="42" t="s">
        <v>327</v>
      </c>
      <c r="F915" s="7">
        <f>'Прил.№4 ведомств.'!G828</f>
        <v>0</v>
      </c>
      <c r="G915" s="7">
        <f>'Прил.№4 ведомств.'!I828</f>
        <v>0</v>
      </c>
      <c r="H915" s="7">
        <f>'Прил.№4 ведомств.'!J828</f>
        <v>275</v>
      </c>
      <c r="I915" s="7">
        <f>'Прил.№4 ведомств.'!K828</f>
        <v>550</v>
      </c>
      <c r="J915" s="7">
        <f>'Прил.№4 ведомств.'!L828</f>
        <v>275</v>
      </c>
      <c r="K915" s="7">
        <f>'Прил.№4 ведомств.'!M828</f>
        <v>100</v>
      </c>
      <c r="L915" s="7">
        <f>'Прил.№4 ведомств.'!N828</f>
        <v>0</v>
      </c>
      <c r="M915" s="7">
        <f t="shared" si="542"/>
        <v>0</v>
      </c>
    </row>
    <row r="916" spans="1:13" ht="15.75" customHeight="1">
      <c r="A916" s="47" t="s">
        <v>865</v>
      </c>
      <c r="B916" s="21" t="s">
        <v>544</v>
      </c>
      <c r="C916" s="21" t="s">
        <v>170</v>
      </c>
      <c r="D916" s="21" t="s">
        <v>873</v>
      </c>
      <c r="E916" s="21"/>
      <c r="F916" s="7">
        <f>F917</f>
        <v>0</v>
      </c>
      <c r="G916" s="7">
        <f aca="true" t="shared" si="545" ref="G916:L917">G917</f>
        <v>0</v>
      </c>
      <c r="H916" s="7">
        <f t="shared" si="545"/>
        <v>821.2</v>
      </c>
      <c r="I916" s="7">
        <f t="shared" si="545"/>
        <v>821.2</v>
      </c>
      <c r="J916" s="7">
        <f t="shared" si="545"/>
        <v>821.2</v>
      </c>
      <c r="K916" s="7">
        <f t="shared" si="545"/>
        <v>721.2</v>
      </c>
      <c r="L916" s="7">
        <f t="shared" si="545"/>
        <v>721.2</v>
      </c>
      <c r="M916" s="7">
        <f t="shared" si="542"/>
        <v>100</v>
      </c>
    </row>
    <row r="917" spans="1:13" ht="15.75" customHeight="1">
      <c r="A917" s="33" t="s">
        <v>324</v>
      </c>
      <c r="B917" s="21" t="s">
        <v>544</v>
      </c>
      <c r="C917" s="21" t="s">
        <v>170</v>
      </c>
      <c r="D917" s="21" t="s">
        <v>873</v>
      </c>
      <c r="E917" s="21" t="s">
        <v>325</v>
      </c>
      <c r="F917" s="7">
        <f>F918</f>
        <v>0</v>
      </c>
      <c r="G917" s="7">
        <f t="shared" si="545"/>
        <v>0</v>
      </c>
      <c r="H917" s="7">
        <f t="shared" si="545"/>
        <v>821.2</v>
      </c>
      <c r="I917" s="7">
        <f t="shared" si="545"/>
        <v>821.2</v>
      </c>
      <c r="J917" s="7">
        <f t="shared" si="545"/>
        <v>821.2</v>
      </c>
      <c r="K917" s="7">
        <f t="shared" si="545"/>
        <v>721.2</v>
      </c>
      <c r="L917" s="7">
        <f t="shared" si="545"/>
        <v>721.2</v>
      </c>
      <c r="M917" s="7">
        <f t="shared" si="542"/>
        <v>100</v>
      </c>
    </row>
    <row r="918" spans="1:13" ht="15.75" customHeight="1">
      <c r="A918" s="33" t="s">
        <v>326</v>
      </c>
      <c r="B918" s="21" t="s">
        <v>544</v>
      </c>
      <c r="C918" s="21" t="s">
        <v>170</v>
      </c>
      <c r="D918" s="21" t="s">
        <v>873</v>
      </c>
      <c r="E918" s="21" t="s">
        <v>327</v>
      </c>
      <c r="F918" s="7">
        <f>'Прил.№4 ведомств.'!G831</f>
        <v>0</v>
      </c>
      <c r="G918" s="7">
        <f>'Прил.№4 ведомств.'!I831</f>
        <v>0</v>
      </c>
      <c r="H918" s="7">
        <f>'Прил.№4 ведомств.'!J831</f>
        <v>821.2</v>
      </c>
      <c r="I918" s="7">
        <f>'Прил.№4 ведомств.'!K831</f>
        <v>821.2</v>
      </c>
      <c r="J918" s="7">
        <f>'Прил.№4 ведомств.'!L831</f>
        <v>821.2</v>
      </c>
      <c r="K918" s="7">
        <f>'Прил.№4 ведомств.'!M831</f>
        <v>721.2</v>
      </c>
      <c r="L918" s="7">
        <f>'Прил.№4 ведомств.'!N831</f>
        <v>721.2</v>
      </c>
      <c r="M918" s="7">
        <f t="shared" si="542"/>
        <v>100</v>
      </c>
    </row>
    <row r="919" spans="1:13" ht="47.25" customHeight="1">
      <c r="A919" s="33" t="s">
        <v>955</v>
      </c>
      <c r="B919" s="21" t="s">
        <v>544</v>
      </c>
      <c r="C919" s="21" t="s">
        <v>170</v>
      </c>
      <c r="D919" s="21" t="s">
        <v>376</v>
      </c>
      <c r="E919" s="21"/>
      <c r="F919" s="7"/>
      <c r="G919" s="7"/>
      <c r="H919" s="7"/>
      <c r="I919" s="7"/>
      <c r="J919" s="7"/>
      <c r="K919" s="7">
        <f>K920</f>
        <v>545</v>
      </c>
      <c r="L919" s="7">
        <f aca="true" t="shared" si="546" ref="L919:L921">L920</f>
        <v>545</v>
      </c>
      <c r="M919" s="7">
        <f t="shared" si="542"/>
        <v>100</v>
      </c>
    </row>
    <row r="920" spans="1:13" ht="47.25">
      <c r="A920" s="33" t="s">
        <v>377</v>
      </c>
      <c r="B920" s="21" t="s">
        <v>544</v>
      </c>
      <c r="C920" s="21" t="s">
        <v>170</v>
      </c>
      <c r="D920" s="21" t="s">
        <v>378</v>
      </c>
      <c r="E920" s="21"/>
      <c r="F920" s="7"/>
      <c r="G920" s="7"/>
      <c r="H920" s="7"/>
      <c r="I920" s="7"/>
      <c r="J920" s="7"/>
      <c r="K920" s="7">
        <f>K921</f>
        <v>545</v>
      </c>
      <c r="L920" s="7">
        <f t="shared" si="546"/>
        <v>545</v>
      </c>
      <c r="M920" s="7">
        <f t="shared" si="542"/>
        <v>100</v>
      </c>
    </row>
    <row r="921" spans="1:13" ht="47.25">
      <c r="A921" s="33" t="s">
        <v>324</v>
      </c>
      <c r="B921" s="21" t="s">
        <v>544</v>
      </c>
      <c r="C921" s="21" t="s">
        <v>170</v>
      </c>
      <c r="D921" s="21" t="s">
        <v>378</v>
      </c>
      <c r="E921" s="21" t="s">
        <v>325</v>
      </c>
      <c r="F921" s="7"/>
      <c r="G921" s="7"/>
      <c r="H921" s="7"/>
      <c r="I921" s="7"/>
      <c r="J921" s="7"/>
      <c r="K921" s="7">
        <f>K922</f>
        <v>545</v>
      </c>
      <c r="L921" s="7">
        <f t="shared" si="546"/>
        <v>545</v>
      </c>
      <c r="M921" s="7">
        <f t="shared" si="542"/>
        <v>100</v>
      </c>
    </row>
    <row r="922" spans="1:13" ht="15.75" customHeight="1">
      <c r="A922" s="33" t="s">
        <v>326</v>
      </c>
      <c r="B922" s="21" t="s">
        <v>544</v>
      </c>
      <c r="C922" s="21" t="s">
        <v>170</v>
      </c>
      <c r="D922" s="21" t="s">
        <v>378</v>
      </c>
      <c r="E922" s="21" t="s">
        <v>327</v>
      </c>
      <c r="F922" s="7"/>
      <c r="G922" s="7"/>
      <c r="H922" s="7"/>
      <c r="I922" s="7"/>
      <c r="J922" s="7"/>
      <c r="K922" s="7">
        <f>'Прил.№4 ведомств.'!M835</f>
        <v>545</v>
      </c>
      <c r="L922" s="7">
        <f>'Прил.№4 ведомств.'!N835</f>
        <v>545</v>
      </c>
      <c r="M922" s="7">
        <f t="shared" si="542"/>
        <v>100</v>
      </c>
    </row>
    <row r="923" spans="1:13" ht="15.75" hidden="1">
      <c r="A923" s="26" t="s">
        <v>173</v>
      </c>
      <c r="B923" s="21" t="s">
        <v>544</v>
      </c>
      <c r="C923" s="21" t="s">
        <v>170</v>
      </c>
      <c r="D923" s="21" t="s">
        <v>174</v>
      </c>
      <c r="E923" s="21"/>
      <c r="F923" s="7">
        <f>F924</f>
        <v>500</v>
      </c>
      <c r="G923" s="7">
        <f aca="true" t="shared" si="547" ref="G923:L926">G924</f>
        <v>500</v>
      </c>
      <c r="H923" s="7">
        <f t="shared" si="547"/>
        <v>0</v>
      </c>
      <c r="I923" s="7">
        <f t="shared" si="547"/>
        <v>0</v>
      </c>
      <c r="J923" s="7">
        <f t="shared" si="547"/>
        <v>0</v>
      </c>
      <c r="K923" s="7">
        <f t="shared" si="547"/>
        <v>0</v>
      </c>
      <c r="L923" s="7">
        <f t="shared" si="547"/>
        <v>0</v>
      </c>
      <c r="M923" s="4" t="e">
        <f t="shared" si="542"/>
        <v>#DIV/0!</v>
      </c>
    </row>
    <row r="924" spans="1:13" ht="31.5" hidden="1">
      <c r="A924" s="26" t="s">
        <v>237</v>
      </c>
      <c r="B924" s="21" t="s">
        <v>544</v>
      </c>
      <c r="C924" s="21" t="s">
        <v>170</v>
      </c>
      <c r="D924" s="21" t="s">
        <v>238</v>
      </c>
      <c r="E924" s="21"/>
      <c r="F924" s="7">
        <f>F925</f>
        <v>500</v>
      </c>
      <c r="G924" s="7">
        <f t="shared" si="547"/>
        <v>500</v>
      </c>
      <c r="H924" s="7">
        <f t="shared" si="547"/>
        <v>0</v>
      </c>
      <c r="I924" s="7">
        <f t="shared" si="547"/>
        <v>0</v>
      </c>
      <c r="J924" s="7">
        <f t="shared" si="547"/>
        <v>0</v>
      </c>
      <c r="K924" s="7">
        <f t="shared" si="547"/>
        <v>0</v>
      </c>
      <c r="L924" s="7">
        <f t="shared" si="547"/>
        <v>0</v>
      </c>
      <c r="M924" s="4" t="e">
        <f t="shared" si="542"/>
        <v>#DIV/0!</v>
      </c>
    </row>
    <row r="925" spans="1:13" ht="31.5" hidden="1">
      <c r="A925" s="26" t="s">
        <v>828</v>
      </c>
      <c r="B925" s="21" t="s">
        <v>544</v>
      </c>
      <c r="C925" s="21" t="s">
        <v>170</v>
      </c>
      <c r="D925" s="21" t="s">
        <v>826</v>
      </c>
      <c r="E925" s="21"/>
      <c r="F925" s="7">
        <f>F926</f>
        <v>500</v>
      </c>
      <c r="G925" s="7">
        <f t="shared" si="547"/>
        <v>500</v>
      </c>
      <c r="H925" s="7">
        <f t="shared" si="547"/>
        <v>0</v>
      </c>
      <c r="I925" s="7">
        <f t="shared" si="547"/>
        <v>0</v>
      </c>
      <c r="J925" s="7">
        <f t="shared" si="547"/>
        <v>0</v>
      </c>
      <c r="K925" s="7">
        <f t="shared" si="547"/>
        <v>0</v>
      </c>
      <c r="L925" s="7">
        <f t="shared" si="547"/>
        <v>0</v>
      </c>
      <c r="M925" s="4" t="e">
        <f t="shared" si="542"/>
        <v>#DIV/0!</v>
      </c>
    </row>
    <row r="926" spans="1:13" ht="47.25" hidden="1">
      <c r="A926" s="26" t="s">
        <v>324</v>
      </c>
      <c r="B926" s="21" t="s">
        <v>544</v>
      </c>
      <c r="C926" s="21" t="s">
        <v>170</v>
      </c>
      <c r="D926" s="21" t="s">
        <v>826</v>
      </c>
      <c r="E926" s="21" t="s">
        <v>325</v>
      </c>
      <c r="F926" s="7">
        <f>F927</f>
        <v>500</v>
      </c>
      <c r="G926" s="7">
        <f t="shared" si="547"/>
        <v>500</v>
      </c>
      <c r="H926" s="7">
        <f t="shared" si="547"/>
        <v>0</v>
      </c>
      <c r="I926" s="7">
        <f t="shared" si="547"/>
        <v>0</v>
      </c>
      <c r="J926" s="7">
        <f t="shared" si="547"/>
        <v>0</v>
      </c>
      <c r="K926" s="7">
        <f t="shared" si="547"/>
        <v>0</v>
      </c>
      <c r="L926" s="7">
        <f t="shared" si="547"/>
        <v>0</v>
      </c>
      <c r="M926" s="4" t="e">
        <f t="shared" si="542"/>
        <v>#DIV/0!</v>
      </c>
    </row>
    <row r="927" spans="1:13" ht="15.75" hidden="1">
      <c r="A927" s="26" t="s">
        <v>326</v>
      </c>
      <c r="B927" s="21" t="s">
        <v>544</v>
      </c>
      <c r="C927" s="21" t="s">
        <v>170</v>
      </c>
      <c r="D927" s="21" t="s">
        <v>826</v>
      </c>
      <c r="E927" s="21" t="s">
        <v>327</v>
      </c>
      <c r="F927" s="7">
        <f>'Прил.№4 ведомств.'!G840</f>
        <v>500</v>
      </c>
      <c r="G927" s="7">
        <f>'Прил.№4 ведомств.'!I840</f>
        <v>500</v>
      </c>
      <c r="H927" s="7">
        <f>'Прил.№4 ведомств.'!J840</f>
        <v>0</v>
      </c>
      <c r="I927" s="7">
        <f>'Прил.№4 ведомств.'!K840</f>
        <v>0</v>
      </c>
      <c r="J927" s="7">
        <f>'Прил.№4 ведомств.'!L840</f>
        <v>0</v>
      </c>
      <c r="K927" s="7">
        <f>'Прил.№4 ведомств.'!M840</f>
        <v>0</v>
      </c>
      <c r="L927" s="7">
        <f>'Прил.№4 ведомств.'!N840</f>
        <v>0</v>
      </c>
      <c r="M927" s="4" t="e">
        <f t="shared" si="542"/>
        <v>#DIV/0!</v>
      </c>
    </row>
    <row r="928" spans="1:13" ht="31.5">
      <c r="A928" s="43" t="s">
        <v>553</v>
      </c>
      <c r="B928" s="8" t="s">
        <v>544</v>
      </c>
      <c r="C928" s="8" t="s">
        <v>286</v>
      </c>
      <c r="D928" s="8"/>
      <c r="E928" s="8"/>
      <c r="F928" s="4">
        <f>F936+F929</f>
        <v>11528.8</v>
      </c>
      <c r="G928" s="4">
        <f aca="true" t="shared" si="548" ref="G928:K928">G936+G929</f>
        <v>12419.8</v>
      </c>
      <c r="H928" s="4">
        <f t="shared" si="548"/>
        <v>11292.6</v>
      </c>
      <c r="I928" s="4">
        <f t="shared" si="548"/>
        <v>11459.6</v>
      </c>
      <c r="J928" s="4">
        <f t="shared" si="548"/>
        <v>11632.800000000001</v>
      </c>
      <c r="K928" s="4">
        <f t="shared" si="548"/>
        <v>10812.3</v>
      </c>
      <c r="L928" s="4">
        <f aca="true" t="shared" si="549" ref="L928">L936+L929</f>
        <v>5393.599999999999</v>
      </c>
      <c r="M928" s="4">
        <f t="shared" si="542"/>
        <v>49.88392848885066</v>
      </c>
    </row>
    <row r="929" spans="1:13" ht="47.25">
      <c r="A929" s="31" t="s">
        <v>534</v>
      </c>
      <c r="B929" s="42" t="s">
        <v>544</v>
      </c>
      <c r="C929" s="42" t="s">
        <v>286</v>
      </c>
      <c r="D929" s="42" t="s">
        <v>535</v>
      </c>
      <c r="E929" s="42"/>
      <c r="F929" s="7">
        <f>F930</f>
        <v>3047</v>
      </c>
      <c r="G929" s="7">
        <f aca="true" t="shared" si="550" ref="G929:L930">G930</f>
        <v>3047</v>
      </c>
      <c r="H929" s="7">
        <f t="shared" si="550"/>
        <v>3177.9</v>
      </c>
      <c r="I929" s="7">
        <f t="shared" si="550"/>
        <v>3314.6</v>
      </c>
      <c r="J929" s="7">
        <f t="shared" si="550"/>
        <v>3457.1</v>
      </c>
      <c r="K929" s="7">
        <f t="shared" si="550"/>
        <v>2400</v>
      </c>
      <c r="L929" s="7">
        <f t="shared" si="550"/>
        <v>1266.8</v>
      </c>
      <c r="M929" s="7">
        <f t="shared" si="542"/>
        <v>52.783333333333324</v>
      </c>
    </row>
    <row r="930" spans="1:13" ht="47.25">
      <c r="A930" s="47" t="s">
        <v>554</v>
      </c>
      <c r="B930" s="42" t="s">
        <v>544</v>
      </c>
      <c r="C930" s="42" t="s">
        <v>286</v>
      </c>
      <c r="D930" s="42" t="s">
        <v>555</v>
      </c>
      <c r="E930" s="8"/>
      <c r="F930" s="7">
        <f>F931</f>
        <v>3047</v>
      </c>
      <c r="G930" s="7">
        <f t="shared" si="550"/>
        <v>3047</v>
      </c>
      <c r="H930" s="7">
        <f t="shared" si="550"/>
        <v>3177.9</v>
      </c>
      <c r="I930" s="7">
        <f t="shared" si="550"/>
        <v>3314.6</v>
      </c>
      <c r="J930" s="7">
        <f t="shared" si="550"/>
        <v>3457.1</v>
      </c>
      <c r="K930" s="7">
        <f t="shared" si="550"/>
        <v>2400</v>
      </c>
      <c r="L930" s="7">
        <f t="shared" si="550"/>
        <v>1266.8</v>
      </c>
      <c r="M930" s="7">
        <f t="shared" si="542"/>
        <v>52.783333333333324</v>
      </c>
    </row>
    <row r="931" spans="1:13" ht="31.5">
      <c r="A931" s="31" t="s">
        <v>209</v>
      </c>
      <c r="B931" s="42" t="s">
        <v>544</v>
      </c>
      <c r="C931" s="42" t="s">
        <v>286</v>
      </c>
      <c r="D931" s="42" t="s">
        <v>556</v>
      </c>
      <c r="E931" s="8"/>
      <c r="F931" s="7">
        <f>F934+F932</f>
        <v>3047</v>
      </c>
      <c r="G931" s="7">
        <f aca="true" t="shared" si="551" ref="G931:K931">G934+G932</f>
        <v>3047</v>
      </c>
      <c r="H931" s="7">
        <f t="shared" si="551"/>
        <v>3177.9</v>
      </c>
      <c r="I931" s="7">
        <f t="shared" si="551"/>
        <v>3314.6</v>
      </c>
      <c r="J931" s="7">
        <f t="shared" si="551"/>
        <v>3457.1</v>
      </c>
      <c r="K931" s="7">
        <f t="shared" si="551"/>
        <v>2400</v>
      </c>
      <c r="L931" s="7">
        <f aca="true" t="shared" si="552" ref="L931">L934+L932</f>
        <v>1266.8</v>
      </c>
      <c r="M931" s="7">
        <f t="shared" si="542"/>
        <v>52.783333333333324</v>
      </c>
    </row>
    <row r="932" spans="1:13" ht="78.75">
      <c r="A932" s="26" t="s">
        <v>179</v>
      </c>
      <c r="B932" s="42" t="s">
        <v>544</v>
      </c>
      <c r="C932" s="42" t="s">
        <v>286</v>
      </c>
      <c r="D932" s="42" t="s">
        <v>556</v>
      </c>
      <c r="E932" s="42" t="s">
        <v>180</v>
      </c>
      <c r="F932" s="7">
        <f>F933</f>
        <v>2111</v>
      </c>
      <c r="G932" s="7">
        <f aca="true" t="shared" si="553" ref="G932:L932">G933</f>
        <v>2111</v>
      </c>
      <c r="H932" s="7">
        <f t="shared" si="553"/>
        <v>2111</v>
      </c>
      <c r="I932" s="7">
        <f t="shared" si="553"/>
        <v>2111</v>
      </c>
      <c r="J932" s="7">
        <f t="shared" si="553"/>
        <v>2111</v>
      </c>
      <c r="K932" s="7">
        <f t="shared" si="553"/>
        <v>1611</v>
      </c>
      <c r="L932" s="7">
        <f t="shared" si="553"/>
        <v>864.5</v>
      </c>
      <c r="M932" s="7">
        <f t="shared" si="542"/>
        <v>53.66232153941651</v>
      </c>
    </row>
    <row r="933" spans="1:13" ht="31.5">
      <c r="A933" s="26" t="s">
        <v>181</v>
      </c>
      <c r="B933" s="42" t="s">
        <v>544</v>
      </c>
      <c r="C933" s="42" t="s">
        <v>286</v>
      </c>
      <c r="D933" s="42" t="s">
        <v>556</v>
      </c>
      <c r="E933" s="42" t="s">
        <v>182</v>
      </c>
      <c r="F933" s="7">
        <f>'Прил.№4 ведомств.'!G846</f>
        <v>2111</v>
      </c>
      <c r="G933" s="7">
        <f>'Прил.№4 ведомств.'!I846</f>
        <v>2111</v>
      </c>
      <c r="H933" s="7">
        <f>'Прил.№4 ведомств.'!J846</f>
        <v>2111</v>
      </c>
      <c r="I933" s="7">
        <f>'Прил.№4 ведомств.'!K846</f>
        <v>2111</v>
      </c>
      <c r="J933" s="7">
        <f>'Прил.№4 ведомств.'!L846</f>
        <v>2111</v>
      </c>
      <c r="K933" s="7">
        <f>'Прил.№4 ведомств.'!M846</f>
        <v>1611</v>
      </c>
      <c r="L933" s="7">
        <f>'Прил.№4 ведомств.'!N846</f>
        <v>864.5</v>
      </c>
      <c r="M933" s="7">
        <f t="shared" si="542"/>
        <v>53.66232153941651</v>
      </c>
    </row>
    <row r="934" spans="1:13" ht="31.5">
      <c r="A934" s="31" t="s">
        <v>183</v>
      </c>
      <c r="B934" s="42" t="s">
        <v>544</v>
      </c>
      <c r="C934" s="42" t="s">
        <v>286</v>
      </c>
      <c r="D934" s="42" t="s">
        <v>556</v>
      </c>
      <c r="E934" s="42" t="s">
        <v>184</v>
      </c>
      <c r="F934" s="7">
        <f>F935</f>
        <v>936</v>
      </c>
      <c r="G934" s="7">
        <f aca="true" t="shared" si="554" ref="G934:L934">G935</f>
        <v>936</v>
      </c>
      <c r="H934" s="7">
        <f t="shared" si="554"/>
        <v>1066.9</v>
      </c>
      <c r="I934" s="7">
        <f t="shared" si="554"/>
        <v>1203.6</v>
      </c>
      <c r="J934" s="7">
        <f t="shared" si="554"/>
        <v>1346.1</v>
      </c>
      <c r="K934" s="7">
        <f t="shared" si="554"/>
        <v>789</v>
      </c>
      <c r="L934" s="7">
        <f t="shared" si="554"/>
        <v>402.3</v>
      </c>
      <c r="M934" s="7">
        <f t="shared" si="542"/>
        <v>50.98859315589353</v>
      </c>
    </row>
    <row r="935" spans="1:13" ht="47.25">
      <c r="A935" s="31" t="s">
        <v>185</v>
      </c>
      <c r="B935" s="42" t="s">
        <v>544</v>
      </c>
      <c r="C935" s="42" t="s">
        <v>286</v>
      </c>
      <c r="D935" s="42" t="s">
        <v>556</v>
      </c>
      <c r="E935" s="42" t="s">
        <v>186</v>
      </c>
      <c r="F935" s="7">
        <f>'Прил.№4 ведомств.'!G848</f>
        <v>936</v>
      </c>
      <c r="G935" s="7">
        <f>'Прил.№4 ведомств.'!I848</f>
        <v>936</v>
      </c>
      <c r="H935" s="7">
        <f>'Прил.№4 ведомств.'!J848</f>
        <v>1066.9</v>
      </c>
      <c r="I935" s="7">
        <f>'Прил.№4 ведомств.'!K848</f>
        <v>1203.6</v>
      </c>
      <c r="J935" s="7">
        <f>'Прил.№4 ведомств.'!L848</f>
        <v>1346.1</v>
      </c>
      <c r="K935" s="7">
        <f>'Прил.№4 ведомств.'!M848</f>
        <v>789</v>
      </c>
      <c r="L935" s="7">
        <f>'Прил.№4 ведомств.'!N848</f>
        <v>402.3</v>
      </c>
      <c r="M935" s="7">
        <f t="shared" si="542"/>
        <v>50.98859315589353</v>
      </c>
    </row>
    <row r="936" spans="1:13" ht="15.75">
      <c r="A936" s="31" t="s">
        <v>173</v>
      </c>
      <c r="B936" s="42" t="s">
        <v>544</v>
      </c>
      <c r="C936" s="42" t="s">
        <v>286</v>
      </c>
      <c r="D936" s="42" t="s">
        <v>174</v>
      </c>
      <c r="E936" s="42"/>
      <c r="F936" s="7">
        <f>F943+F937</f>
        <v>8481.8</v>
      </c>
      <c r="G936" s="7">
        <f aca="true" t="shared" si="555" ref="G936:K936">G943+G937</f>
        <v>9372.8</v>
      </c>
      <c r="H936" s="7">
        <f t="shared" si="555"/>
        <v>8114.700000000001</v>
      </c>
      <c r="I936" s="7">
        <f t="shared" si="555"/>
        <v>8145</v>
      </c>
      <c r="J936" s="7">
        <f t="shared" si="555"/>
        <v>8175.700000000001</v>
      </c>
      <c r="K936" s="7">
        <f t="shared" si="555"/>
        <v>8412.3</v>
      </c>
      <c r="L936" s="7">
        <f aca="true" t="shared" si="556" ref="L936">L943+L937</f>
        <v>4126.799999999999</v>
      </c>
      <c r="M936" s="7">
        <f t="shared" si="542"/>
        <v>49.056738347419845</v>
      </c>
    </row>
    <row r="937" spans="1:13" ht="31.5">
      <c r="A937" s="31" t="s">
        <v>175</v>
      </c>
      <c r="B937" s="42" t="s">
        <v>544</v>
      </c>
      <c r="C937" s="42" t="s">
        <v>286</v>
      </c>
      <c r="D937" s="42" t="s">
        <v>176</v>
      </c>
      <c r="E937" s="42"/>
      <c r="F937" s="7">
        <f>F938</f>
        <v>3599.8</v>
      </c>
      <c r="G937" s="7">
        <f aca="true" t="shared" si="557" ref="G937:L937">G938</f>
        <v>4307.9</v>
      </c>
      <c r="H937" s="7">
        <f t="shared" si="557"/>
        <v>3788.6</v>
      </c>
      <c r="I937" s="7">
        <f t="shared" si="557"/>
        <v>3788.6</v>
      </c>
      <c r="J937" s="7">
        <f t="shared" si="557"/>
        <v>3788.6</v>
      </c>
      <c r="K937" s="7">
        <f t="shared" si="557"/>
        <v>3829.8</v>
      </c>
      <c r="L937" s="7">
        <f t="shared" si="557"/>
        <v>2332.2</v>
      </c>
      <c r="M937" s="7">
        <f t="shared" si="542"/>
        <v>60.89613034623217</v>
      </c>
    </row>
    <row r="938" spans="1:13" ht="33.75" customHeight="1">
      <c r="A938" s="31" t="s">
        <v>177</v>
      </c>
      <c r="B938" s="42" t="s">
        <v>544</v>
      </c>
      <c r="C938" s="42" t="s">
        <v>286</v>
      </c>
      <c r="D938" s="42" t="s">
        <v>178</v>
      </c>
      <c r="E938" s="42"/>
      <c r="F938" s="7">
        <f>F939+F941</f>
        <v>3599.8</v>
      </c>
      <c r="G938" s="7">
        <f aca="true" t="shared" si="558" ref="G938:K938">G939+G941</f>
        <v>4307.9</v>
      </c>
      <c r="H938" s="7">
        <f t="shared" si="558"/>
        <v>3788.6</v>
      </c>
      <c r="I938" s="7">
        <f t="shared" si="558"/>
        <v>3788.6</v>
      </c>
      <c r="J938" s="7">
        <f t="shared" si="558"/>
        <v>3788.6</v>
      </c>
      <c r="K938" s="7">
        <f t="shared" si="558"/>
        <v>3829.8</v>
      </c>
      <c r="L938" s="7">
        <f aca="true" t="shared" si="559" ref="L938">L939+L941</f>
        <v>2332.2</v>
      </c>
      <c r="M938" s="7">
        <f t="shared" si="542"/>
        <v>60.89613034623217</v>
      </c>
    </row>
    <row r="939" spans="1:13" ht="78.75">
      <c r="A939" s="31" t="s">
        <v>179</v>
      </c>
      <c r="B939" s="42" t="s">
        <v>544</v>
      </c>
      <c r="C939" s="42" t="s">
        <v>286</v>
      </c>
      <c r="D939" s="42" t="s">
        <v>178</v>
      </c>
      <c r="E939" s="42" t="s">
        <v>180</v>
      </c>
      <c r="F939" s="63">
        <f>F940</f>
        <v>3599.8</v>
      </c>
      <c r="G939" s="63">
        <f aca="true" t="shared" si="560" ref="G939:L939">G940</f>
        <v>4307.9</v>
      </c>
      <c r="H939" s="63">
        <f t="shared" si="560"/>
        <v>3135.5</v>
      </c>
      <c r="I939" s="63">
        <f t="shared" si="560"/>
        <v>3135.5</v>
      </c>
      <c r="J939" s="63">
        <f t="shared" si="560"/>
        <v>3135.5</v>
      </c>
      <c r="K939" s="63">
        <f t="shared" si="560"/>
        <v>3829.8</v>
      </c>
      <c r="L939" s="63">
        <f t="shared" si="560"/>
        <v>2332.2</v>
      </c>
      <c r="M939" s="7">
        <f t="shared" si="542"/>
        <v>60.89613034623217</v>
      </c>
    </row>
    <row r="940" spans="1:13" ht="31.5">
      <c r="A940" s="31" t="s">
        <v>181</v>
      </c>
      <c r="B940" s="42" t="s">
        <v>544</v>
      </c>
      <c r="C940" s="42" t="s">
        <v>286</v>
      </c>
      <c r="D940" s="42" t="s">
        <v>178</v>
      </c>
      <c r="E940" s="42" t="s">
        <v>182</v>
      </c>
      <c r="F940" s="63">
        <f>'Прил.№4 ведомств.'!G853</f>
        <v>3599.8</v>
      </c>
      <c r="G940" s="63">
        <f>'Прил.№4 ведомств.'!I853</f>
        <v>4307.9</v>
      </c>
      <c r="H940" s="63">
        <f>'Прил.№4 ведомств.'!J853</f>
        <v>3135.5</v>
      </c>
      <c r="I940" s="63">
        <f>'Прил.№4 ведомств.'!K853</f>
        <v>3135.5</v>
      </c>
      <c r="J940" s="63">
        <f>'Прил.№4 ведомств.'!L853</f>
        <v>3135.5</v>
      </c>
      <c r="K940" s="63">
        <f>'Прил.№4 ведомств.'!M853</f>
        <v>3829.8</v>
      </c>
      <c r="L940" s="63">
        <f>'Прил.№4 ведомств.'!N853</f>
        <v>2332.2</v>
      </c>
      <c r="M940" s="7">
        <f t="shared" si="542"/>
        <v>60.89613034623217</v>
      </c>
    </row>
    <row r="941" spans="1:13" ht="31.5" customHeight="1" hidden="1">
      <c r="A941" s="31" t="s">
        <v>183</v>
      </c>
      <c r="B941" s="42" t="s">
        <v>544</v>
      </c>
      <c r="C941" s="42" t="s">
        <v>286</v>
      </c>
      <c r="D941" s="42" t="s">
        <v>178</v>
      </c>
      <c r="E941" s="42" t="s">
        <v>184</v>
      </c>
      <c r="F941" s="63">
        <f>F942</f>
        <v>0</v>
      </c>
      <c r="G941" s="63">
        <f aca="true" t="shared" si="561" ref="G941:L941">G942</f>
        <v>0</v>
      </c>
      <c r="H941" s="63">
        <f t="shared" si="561"/>
        <v>653.1</v>
      </c>
      <c r="I941" s="63">
        <f t="shared" si="561"/>
        <v>653.1</v>
      </c>
      <c r="J941" s="63">
        <f t="shared" si="561"/>
        <v>653.1</v>
      </c>
      <c r="K941" s="63">
        <f t="shared" si="561"/>
        <v>0</v>
      </c>
      <c r="L941" s="63">
        <f t="shared" si="561"/>
        <v>0</v>
      </c>
      <c r="M941" s="7" t="e">
        <f t="shared" si="542"/>
        <v>#DIV/0!</v>
      </c>
    </row>
    <row r="942" spans="1:13" ht="47.25" customHeight="1" hidden="1">
      <c r="A942" s="31" t="s">
        <v>185</v>
      </c>
      <c r="B942" s="42" t="s">
        <v>544</v>
      </c>
      <c r="C942" s="42" t="s">
        <v>286</v>
      </c>
      <c r="D942" s="42" t="s">
        <v>178</v>
      </c>
      <c r="E942" s="42" t="s">
        <v>186</v>
      </c>
      <c r="F942" s="63">
        <v>0</v>
      </c>
      <c r="G942" s="63">
        <v>0</v>
      </c>
      <c r="H942" s="63">
        <f>'Прил.№4 ведомств.'!J855</f>
        <v>653.1</v>
      </c>
      <c r="I942" s="63">
        <f>'Прил.№4 ведомств.'!K855</f>
        <v>653.1</v>
      </c>
      <c r="J942" s="63">
        <f>'Прил.№4 ведомств.'!L855</f>
        <v>653.1</v>
      </c>
      <c r="K942" s="63">
        <f>'Прил.№4 ведомств.'!M855</f>
        <v>0</v>
      </c>
      <c r="L942" s="63">
        <f>'Прил.№4 ведомств.'!N855</f>
        <v>0</v>
      </c>
      <c r="M942" s="7" t="e">
        <f t="shared" si="542"/>
        <v>#DIV/0!</v>
      </c>
    </row>
    <row r="943" spans="1:13" ht="15.75">
      <c r="A943" s="31" t="s">
        <v>193</v>
      </c>
      <c r="B943" s="42" t="s">
        <v>544</v>
      </c>
      <c r="C943" s="42" t="s">
        <v>286</v>
      </c>
      <c r="D943" s="42" t="s">
        <v>194</v>
      </c>
      <c r="E943" s="42"/>
      <c r="F943" s="7">
        <f>F944</f>
        <v>4882</v>
      </c>
      <c r="G943" s="7">
        <f aca="true" t="shared" si="562" ref="G943:L943">G944</f>
        <v>5064.900000000001</v>
      </c>
      <c r="H943" s="7">
        <f t="shared" si="562"/>
        <v>4326.1</v>
      </c>
      <c r="I943" s="7">
        <f t="shared" si="562"/>
        <v>4356.400000000001</v>
      </c>
      <c r="J943" s="7">
        <f t="shared" si="562"/>
        <v>4387.1</v>
      </c>
      <c r="K943" s="7">
        <f t="shared" si="562"/>
        <v>4582.499999999999</v>
      </c>
      <c r="L943" s="7">
        <f t="shared" si="562"/>
        <v>1794.6</v>
      </c>
      <c r="M943" s="7">
        <f t="shared" si="542"/>
        <v>39.1620294599018</v>
      </c>
    </row>
    <row r="944" spans="1:13" ht="31.5">
      <c r="A944" s="26" t="s">
        <v>392</v>
      </c>
      <c r="B944" s="42" t="s">
        <v>544</v>
      </c>
      <c r="C944" s="42" t="s">
        <v>286</v>
      </c>
      <c r="D944" s="42" t="s">
        <v>393</v>
      </c>
      <c r="E944" s="42"/>
      <c r="F944" s="7">
        <f>F945+F947+F949</f>
        <v>4882</v>
      </c>
      <c r="G944" s="7">
        <f aca="true" t="shared" si="563" ref="G944:K944">G945+G947+G949</f>
        <v>5064.900000000001</v>
      </c>
      <c r="H944" s="7">
        <f t="shared" si="563"/>
        <v>4326.1</v>
      </c>
      <c r="I944" s="7">
        <f t="shared" si="563"/>
        <v>4356.400000000001</v>
      </c>
      <c r="J944" s="7">
        <f t="shared" si="563"/>
        <v>4387.1</v>
      </c>
      <c r="K944" s="7">
        <f t="shared" si="563"/>
        <v>4582.499999999999</v>
      </c>
      <c r="L944" s="7">
        <f aca="true" t="shared" si="564" ref="L944">L945+L947+L949</f>
        <v>1794.6</v>
      </c>
      <c r="M944" s="7">
        <f t="shared" si="542"/>
        <v>39.1620294599018</v>
      </c>
    </row>
    <row r="945" spans="1:13" ht="78.75">
      <c r="A945" s="31" t="s">
        <v>179</v>
      </c>
      <c r="B945" s="42" t="s">
        <v>544</v>
      </c>
      <c r="C945" s="42" t="s">
        <v>286</v>
      </c>
      <c r="D945" s="42" t="s">
        <v>393</v>
      </c>
      <c r="E945" s="42" t="s">
        <v>180</v>
      </c>
      <c r="F945" s="63">
        <f>F946</f>
        <v>3660.7</v>
      </c>
      <c r="G945" s="63">
        <f aca="true" t="shared" si="565" ref="G945:L945">G946</f>
        <v>3779.8</v>
      </c>
      <c r="H945" s="63">
        <f t="shared" si="565"/>
        <v>3033</v>
      </c>
      <c r="I945" s="63">
        <f t="shared" si="565"/>
        <v>3063.3</v>
      </c>
      <c r="J945" s="63">
        <f t="shared" si="565"/>
        <v>3094</v>
      </c>
      <c r="K945" s="63">
        <f t="shared" si="565"/>
        <v>3767.1</v>
      </c>
      <c r="L945" s="63">
        <f t="shared" si="565"/>
        <v>1568.7</v>
      </c>
      <c r="M945" s="7">
        <f t="shared" si="542"/>
        <v>41.642111969419446</v>
      </c>
    </row>
    <row r="946" spans="1:13" ht="31.5">
      <c r="A946" s="31" t="s">
        <v>394</v>
      </c>
      <c r="B946" s="42" t="s">
        <v>544</v>
      </c>
      <c r="C946" s="42" t="s">
        <v>286</v>
      </c>
      <c r="D946" s="42" t="s">
        <v>393</v>
      </c>
      <c r="E946" s="42" t="s">
        <v>261</v>
      </c>
      <c r="F946" s="63">
        <f>'Прил.№4 ведомств.'!G859</f>
        <v>3660.7</v>
      </c>
      <c r="G946" s="63">
        <f>'Прил.№4 ведомств.'!I859</f>
        <v>3779.8</v>
      </c>
      <c r="H946" s="63">
        <f>'Прил.№4 ведомств.'!J859</f>
        <v>3033</v>
      </c>
      <c r="I946" s="63">
        <f>'Прил.№4 ведомств.'!K859</f>
        <v>3063.3</v>
      </c>
      <c r="J946" s="63">
        <f>'Прил.№4 ведомств.'!L859</f>
        <v>3094</v>
      </c>
      <c r="K946" s="63">
        <f>'Прил.№4 ведомств.'!M859</f>
        <v>3767.1</v>
      </c>
      <c r="L946" s="63">
        <f>'Прил.№4 ведомств.'!N859</f>
        <v>1568.7</v>
      </c>
      <c r="M946" s="7">
        <f t="shared" si="542"/>
        <v>41.642111969419446</v>
      </c>
    </row>
    <row r="947" spans="1:13" ht="31.5">
      <c r="A947" s="31" t="s">
        <v>183</v>
      </c>
      <c r="B947" s="42" t="s">
        <v>544</v>
      </c>
      <c r="C947" s="42" t="s">
        <v>286</v>
      </c>
      <c r="D947" s="42" t="s">
        <v>393</v>
      </c>
      <c r="E947" s="42" t="s">
        <v>184</v>
      </c>
      <c r="F947" s="63">
        <f>F948</f>
        <v>1194.1999999999998</v>
      </c>
      <c r="G947" s="63">
        <f aca="true" t="shared" si="566" ref="G947:L947">G948</f>
        <v>1258</v>
      </c>
      <c r="H947" s="63">
        <f t="shared" si="566"/>
        <v>1266</v>
      </c>
      <c r="I947" s="63">
        <f t="shared" si="566"/>
        <v>1266</v>
      </c>
      <c r="J947" s="63">
        <f t="shared" si="566"/>
        <v>1266</v>
      </c>
      <c r="K947" s="63">
        <f t="shared" si="566"/>
        <v>764.1999999999998</v>
      </c>
      <c r="L947" s="63">
        <f t="shared" si="566"/>
        <v>221.8</v>
      </c>
      <c r="M947" s="7">
        <f t="shared" si="542"/>
        <v>29.02381575503796</v>
      </c>
    </row>
    <row r="948" spans="1:13" ht="47.25">
      <c r="A948" s="31" t="s">
        <v>185</v>
      </c>
      <c r="B948" s="42" t="s">
        <v>544</v>
      </c>
      <c r="C948" s="42" t="s">
        <v>286</v>
      </c>
      <c r="D948" s="42" t="s">
        <v>393</v>
      </c>
      <c r="E948" s="42" t="s">
        <v>186</v>
      </c>
      <c r="F948" s="63">
        <f>'Прил.№4 ведомств.'!G861</f>
        <v>1194.1999999999998</v>
      </c>
      <c r="G948" s="63">
        <f>'Прил.№4 ведомств.'!I861</f>
        <v>1258</v>
      </c>
      <c r="H948" s="63">
        <f>'Прил.№4 ведомств.'!J861</f>
        <v>1266</v>
      </c>
      <c r="I948" s="63">
        <f>'Прил.№4 ведомств.'!K861</f>
        <v>1266</v>
      </c>
      <c r="J948" s="63">
        <f>'Прил.№4 ведомств.'!L861</f>
        <v>1266</v>
      </c>
      <c r="K948" s="63">
        <f>'Прил.№4 ведомств.'!M861</f>
        <v>764.1999999999998</v>
      </c>
      <c r="L948" s="63">
        <f>'Прил.№4 ведомств.'!N861</f>
        <v>221.8</v>
      </c>
      <c r="M948" s="7">
        <f t="shared" si="542"/>
        <v>29.02381575503796</v>
      </c>
    </row>
    <row r="949" spans="1:13" ht="15.75">
      <c r="A949" s="31" t="s">
        <v>187</v>
      </c>
      <c r="B949" s="42" t="s">
        <v>544</v>
      </c>
      <c r="C949" s="42" t="s">
        <v>286</v>
      </c>
      <c r="D949" s="42" t="s">
        <v>393</v>
      </c>
      <c r="E949" s="42" t="s">
        <v>197</v>
      </c>
      <c r="F949" s="7">
        <f>F950</f>
        <v>27.1</v>
      </c>
      <c r="G949" s="7">
        <f aca="true" t="shared" si="567" ref="G949:L949">G950</f>
        <v>27.1</v>
      </c>
      <c r="H949" s="7">
        <f t="shared" si="567"/>
        <v>27.1</v>
      </c>
      <c r="I949" s="7">
        <f t="shared" si="567"/>
        <v>27.1</v>
      </c>
      <c r="J949" s="7">
        <f t="shared" si="567"/>
        <v>27.1</v>
      </c>
      <c r="K949" s="7">
        <f t="shared" si="567"/>
        <v>51.2</v>
      </c>
      <c r="L949" s="7">
        <f t="shared" si="567"/>
        <v>4.1</v>
      </c>
      <c r="M949" s="7">
        <f t="shared" si="542"/>
        <v>8.007812499999998</v>
      </c>
    </row>
    <row r="950" spans="1:13" ht="15.75">
      <c r="A950" s="31" t="s">
        <v>189</v>
      </c>
      <c r="B950" s="42" t="s">
        <v>544</v>
      </c>
      <c r="C950" s="42" t="s">
        <v>286</v>
      </c>
      <c r="D950" s="42" t="s">
        <v>393</v>
      </c>
      <c r="E950" s="42" t="s">
        <v>190</v>
      </c>
      <c r="F950" s="7">
        <f>'Прил.№4 ведомств.'!G863</f>
        <v>27.1</v>
      </c>
      <c r="G950" s="7">
        <f>'Прил.№4 ведомств.'!I863</f>
        <v>27.1</v>
      </c>
      <c r="H950" s="7">
        <f>'Прил.№4 ведомств.'!J863</f>
        <v>27.1</v>
      </c>
      <c r="I950" s="7">
        <f>'Прил.№4 ведомств.'!K863</f>
        <v>27.1</v>
      </c>
      <c r="J950" s="7">
        <f>'Прил.№4 ведомств.'!L863</f>
        <v>27.1</v>
      </c>
      <c r="K950" s="7">
        <f>'Прил.№4 ведомств.'!M863</f>
        <v>51.2</v>
      </c>
      <c r="L950" s="7">
        <f>'Прил.№4 ведомств.'!N863</f>
        <v>4.1</v>
      </c>
      <c r="M950" s="7">
        <f t="shared" si="542"/>
        <v>8.007812499999998</v>
      </c>
    </row>
    <row r="951" spans="1:13" ht="15.75">
      <c r="A951" s="43" t="s">
        <v>635</v>
      </c>
      <c r="B951" s="8" t="s">
        <v>290</v>
      </c>
      <c r="C951" s="42"/>
      <c r="D951" s="42"/>
      <c r="E951" s="42"/>
      <c r="F951" s="4">
        <f>F952</f>
        <v>6309.8</v>
      </c>
      <c r="G951" s="4">
        <f aca="true" t="shared" si="568" ref="G951:L954">G952</f>
        <v>6309.8</v>
      </c>
      <c r="H951" s="4">
        <f t="shared" si="568"/>
        <v>8181.700000000001</v>
      </c>
      <c r="I951" s="4">
        <f t="shared" si="568"/>
        <v>8258.7</v>
      </c>
      <c r="J951" s="4">
        <f t="shared" si="568"/>
        <v>8332.7</v>
      </c>
      <c r="K951" s="4">
        <f t="shared" si="568"/>
        <v>6283.5</v>
      </c>
      <c r="L951" s="4">
        <f t="shared" si="568"/>
        <v>2876.6000000000004</v>
      </c>
      <c r="M951" s="4">
        <f t="shared" si="542"/>
        <v>45.78021803135196</v>
      </c>
    </row>
    <row r="952" spans="1:13" ht="15.75">
      <c r="A952" s="43" t="s">
        <v>636</v>
      </c>
      <c r="B952" s="8" t="s">
        <v>290</v>
      </c>
      <c r="C952" s="8" t="s">
        <v>265</v>
      </c>
      <c r="D952" s="8"/>
      <c r="E952" s="8"/>
      <c r="F952" s="4">
        <f>F953</f>
        <v>6309.8</v>
      </c>
      <c r="G952" s="4">
        <f t="shared" si="568"/>
        <v>6309.8</v>
      </c>
      <c r="H952" s="4">
        <f t="shared" si="568"/>
        <v>8181.700000000001</v>
      </c>
      <c r="I952" s="4">
        <f t="shared" si="568"/>
        <v>8258.7</v>
      </c>
      <c r="J952" s="4">
        <f t="shared" si="568"/>
        <v>8332.7</v>
      </c>
      <c r="K952" s="4">
        <f t="shared" si="568"/>
        <v>6283.5</v>
      </c>
      <c r="L952" s="4">
        <f t="shared" si="568"/>
        <v>2876.6000000000004</v>
      </c>
      <c r="M952" s="4">
        <f t="shared" si="542"/>
        <v>45.78021803135196</v>
      </c>
    </row>
    <row r="953" spans="1:13" ht="15.75">
      <c r="A953" s="31" t="s">
        <v>173</v>
      </c>
      <c r="B953" s="42" t="s">
        <v>290</v>
      </c>
      <c r="C953" s="42" t="s">
        <v>265</v>
      </c>
      <c r="D953" s="42" t="s">
        <v>174</v>
      </c>
      <c r="E953" s="42"/>
      <c r="F953" s="7">
        <f>F954</f>
        <v>6309.8</v>
      </c>
      <c r="G953" s="7">
        <f t="shared" si="568"/>
        <v>6309.8</v>
      </c>
      <c r="H953" s="7">
        <f t="shared" si="568"/>
        <v>8181.700000000001</v>
      </c>
      <c r="I953" s="7">
        <f t="shared" si="568"/>
        <v>8258.7</v>
      </c>
      <c r="J953" s="7">
        <f t="shared" si="568"/>
        <v>8332.7</v>
      </c>
      <c r="K953" s="7">
        <f t="shared" si="568"/>
        <v>6283.5</v>
      </c>
      <c r="L953" s="7">
        <f t="shared" si="568"/>
        <v>2876.6000000000004</v>
      </c>
      <c r="M953" s="7">
        <f t="shared" si="542"/>
        <v>45.78021803135196</v>
      </c>
    </row>
    <row r="954" spans="1:13" ht="31.5">
      <c r="A954" s="31" t="s">
        <v>637</v>
      </c>
      <c r="B954" s="42" t="s">
        <v>290</v>
      </c>
      <c r="C954" s="42" t="s">
        <v>265</v>
      </c>
      <c r="D954" s="42" t="s">
        <v>638</v>
      </c>
      <c r="E954" s="42"/>
      <c r="F954" s="7">
        <f>F955</f>
        <v>6309.8</v>
      </c>
      <c r="G954" s="7">
        <f t="shared" si="568"/>
        <v>6309.8</v>
      </c>
      <c r="H954" s="7">
        <f t="shared" si="568"/>
        <v>8181.700000000001</v>
      </c>
      <c r="I954" s="7">
        <f t="shared" si="568"/>
        <v>8258.7</v>
      </c>
      <c r="J954" s="7">
        <f t="shared" si="568"/>
        <v>8332.7</v>
      </c>
      <c r="K954" s="7">
        <f t="shared" si="568"/>
        <v>6283.5</v>
      </c>
      <c r="L954" s="7">
        <f t="shared" si="568"/>
        <v>2876.6000000000004</v>
      </c>
      <c r="M954" s="7">
        <f t="shared" si="542"/>
        <v>45.78021803135196</v>
      </c>
    </row>
    <row r="955" spans="1:13" ht="31.5">
      <c r="A955" s="31" t="s">
        <v>693</v>
      </c>
      <c r="B955" s="42" t="s">
        <v>290</v>
      </c>
      <c r="C955" s="42" t="s">
        <v>265</v>
      </c>
      <c r="D955" s="42" t="s">
        <v>639</v>
      </c>
      <c r="E955" s="42"/>
      <c r="F955" s="7">
        <f>F956+F958+F960</f>
        <v>6309.8</v>
      </c>
      <c r="G955" s="7">
        <f aca="true" t="shared" si="569" ref="G955:K955">G956+G958+G960</f>
        <v>6309.8</v>
      </c>
      <c r="H955" s="7">
        <f t="shared" si="569"/>
        <v>8181.700000000001</v>
      </c>
      <c r="I955" s="7">
        <f t="shared" si="569"/>
        <v>8258.7</v>
      </c>
      <c r="J955" s="7">
        <f t="shared" si="569"/>
        <v>8332.7</v>
      </c>
      <c r="K955" s="7">
        <f t="shared" si="569"/>
        <v>6283.5</v>
      </c>
      <c r="L955" s="7">
        <f aca="true" t="shared" si="570" ref="L955">L956+L958+L960</f>
        <v>2876.6000000000004</v>
      </c>
      <c r="M955" s="7">
        <f t="shared" si="542"/>
        <v>45.78021803135196</v>
      </c>
    </row>
    <row r="956" spans="1:13" ht="78.75">
      <c r="A956" s="31" t="s">
        <v>179</v>
      </c>
      <c r="B956" s="42" t="s">
        <v>290</v>
      </c>
      <c r="C956" s="42" t="s">
        <v>265</v>
      </c>
      <c r="D956" s="42" t="s">
        <v>639</v>
      </c>
      <c r="E956" s="42" t="s">
        <v>180</v>
      </c>
      <c r="F956" s="63">
        <f>F957</f>
        <v>5371.7</v>
      </c>
      <c r="G956" s="63">
        <f aca="true" t="shared" si="571" ref="G956:L956">G957</f>
        <v>5371.7</v>
      </c>
      <c r="H956" s="63">
        <f t="shared" si="571"/>
        <v>5696.1</v>
      </c>
      <c r="I956" s="63">
        <f t="shared" si="571"/>
        <v>5753.1</v>
      </c>
      <c r="J956" s="63">
        <f t="shared" si="571"/>
        <v>5810.7</v>
      </c>
      <c r="K956" s="63">
        <f t="shared" si="571"/>
        <v>5371.7</v>
      </c>
      <c r="L956" s="63">
        <f t="shared" si="571"/>
        <v>2551</v>
      </c>
      <c r="M956" s="7">
        <f t="shared" si="542"/>
        <v>47.48962153508201</v>
      </c>
    </row>
    <row r="957" spans="1:13" ht="31.5">
      <c r="A957" s="31" t="s">
        <v>260</v>
      </c>
      <c r="B957" s="42" t="s">
        <v>290</v>
      </c>
      <c r="C957" s="42" t="s">
        <v>265</v>
      </c>
      <c r="D957" s="42" t="s">
        <v>639</v>
      </c>
      <c r="E957" s="42" t="s">
        <v>261</v>
      </c>
      <c r="F957" s="63">
        <f>'Прил.№4 ведомств.'!G1115</f>
        <v>5371.7</v>
      </c>
      <c r="G957" s="63">
        <f>'Прил.№4 ведомств.'!I1115</f>
        <v>5371.7</v>
      </c>
      <c r="H957" s="63">
        <f>'Прил.№4 ведомств.'!J1115</f>
        <v>5696.1</v>
      </c>
      <c r="I957" s="63">
        <f>'Прил.№4 ведомств.'!K1115</f>
        <v>5753.1</v>
      </c>
      <c r="J957" s="63">
        <f>'Прил.№4 ведомств.'!L1115</f>
        <v>5810.7</v>
      </c>
      <c r="K957" s="63">
        <f>'Прил.№4 ведомств.'!M1115</f>
        <v>5371.7</v>
      </c>
      <c r="L957" s="63">
        <f>'Прил.№4 ведомств.'!N1115</f>
        <v>2551</v>
      </c>
      <c r="M957" s="7">
        <f t="shared" si="542"/>
        <v>47.48962153508201</v>
      </c>
    </row>
    <row r="958" spans="1:13" ht="31.5">
      <c r="A958" s="31" t="s">
        <v>183</v>
      </c>
      <c r="B958" s="42" t="s">
        <v>290</v>
      </c>
      <c r="C958" s="42" t="s">
        <v>265</v>
      </c>
      <c r="D958" s="42" t="s">
        <v>639</v>
      </c>
      <c r="E958" s="42" t="s">
        <v>184</v>
      </c>
      <c r="F958" s="7">
        <f>F959</f>
        <v>928.1</v>
      </c>
      <c r="G958" s="7">
        <f aca="true" t="shared" si="572" ref="G958:L958">G959</f>
        <v>928.1</v>
      </c>
      <c r="H958" s="7">
        <f t="shared" si="572"/>
        <v>2475.6</v>
      </c>
      <c r="I958" s="7">
        <f t="shared" si="572"/>
        <v>2495.6</v>
      </c>
      <c r="J958" s="7">
        <f t="shared" si="572"/>
        <v>2512</v>
      </c>
      <c r="K958" s="7">
        <f t="shared" si="572"/>
        <v>901.8</v>
      </c>
      <c r="L958" s="7">
        <f t="shared" si="572"/>
        <v>324.8</v>
      </c>
      <c r="M958" s="7">
        <f t="shared" si="542"/>
        <v>36.01685517853183</v>
      </c>
    </row>
    <row r="959" spans="1:13" ht="47.25">
      <c r="A959" s="31" t="s">
        <v>185</v>
      </c>
      <c r="B959" s="42" t="s">
        <v>290</v>
      </c>
      <c r="C959" s="42" t="s">
        <v>265</v>
      </c>
      <c r="D959" s="42" t="s">
        <v>639</v>
      </c>
      <c r="E959" s="42" t="s">
        <v>186</v>
      </c>
      <c r="F959" s="7">
        <f>'Прил.№4 ведомств.'!G1117</f>
        <v>928.1</v>
      </c>
      <c r="G959" s="7">
        <f>'Прил.№4 ведомств.'!I1117</f>
        <v>928.1</v>
      </c>
      <c r="H959" s="7">
        <f>'Прил.№4 ведомств.'!J1117</f>
        <v>2475.6</v>
      </c>
      <c r="I959" s="7">
        <f>'Прил.№4 ведомств.'!K1117</f>
        <v>2495.6</v>
      </c>
      <c r="J959" s="7">
        <f>'Прил.№4 ведомств.'!L1117</f>
        <v>2512</v>
      </c>
      <c r="K959" s="7">
        <f>'Прил.№4 ведомств.'!M1117</f>
        <v>901.8</v>
      </c>
      <c r="L959" s="7">
        <f>'Прил.№4 ведомств.'!N1117</f>
        <v>324.8</v>
      </c>
      <c r="M959" s="7">
        <f t="shared" si="542"/>
        <v>36.01685517853183</v>
      </c>
    </row>
    <row r="960" spans="1:13" ht="15.75">
      <c r="A960" s="31" t="s">
        <v>187</v>
      </c>
      <c r="B960" s="42" t="s">
        <v>290</v>
      </c>
      <c r="C960" s="42" t="s">
        <v>265</v>
      </c>
      <c r="D960" s="42" t="s">
        <v>639</v>
      </c>
      <c r="E960" s="42" t="s">
        <v>197</v>
      </c>
      <c r="F960" s="7">
        <f>F961</f>
        <v>10</v>
      </c>
      <c r="G960" s="7">
        <f aca="true" t="shared" si="573" ref="G960:L960">G961</f>
        <v>10</v>
      </c>
      <c r="H960" s="7">
        <f t="shared" si="573"/>
        <v>10</v>
      </c>
      <c r="I960" s="7">
        <f t="shared" si="573"/>
        <v>10</v>
      </c>
      <c r="J960" s="7">
        <f t="shared" si="573"/>
        <v>10</v>
      </c>
      <c r="K960" s="7">
        <f t="shared" si="573"/>
        <v>10</v>
      </c>
      <c r="L960" s="7">
        <f t="shared" si="573"/>
        <v>0.8</v>
      </c>
      <c r="M960" s="7">
        <f t="shared" si="542"/>
        <v>8</v>
      </c>
    </row>
    <row r="961" spans="1:13" ht="15.75">
      <c r="A961" s="31" t="s">
        <v>189</v>
      </c>
      <c r="B961" s="42" t="s">
        <v>290</v>
      </c>
      <c r="C961" s="42" t="s">
        <v>265</v>
      </c>
      <c r="D961" s="42" t="s">
        <v>639</v>
      </c>
      <c r="E961" s="42" t="s">
        <v>190</v>
      </c>
      <c r="F961" s="7">
        <f>'Прил.№4 ведомств.'!G1119</f>
        <v>10</v>
      </c>
      <c r="G961" s="7">
        <f>'Прил.№4 ведомств.'!I1119</f>
        <v>10</v>
      </c>
      <c r="H961" s="7">
        <f>'Прил.№4 ведомств.'!J1119</f>
        <v>10</v>
      </c>
      <c r="I961" s="7">
        <f>'Прил.№4 ведомств.'!K1119</f>
        <v>10</v>
      </c>
      <c r="J961" s="7">
        <f>'Прил.№4 ведомств.'!L1119</f>
        <v>10</v>
      </c>
      <c r="K961" s="7">
        <f>'Прил.№4 ведомств.'!M1119</f>
        <v>10</v>
      </c>
      <c r="L961" s="7">
        <f>'Прил.№4 ведомств.'!N1119</f>
        <v>0.8</v>
      </c>
      <c r="M961" s="7">
        <f t="shared" si="542"/>
        <v>8</v>
      </c>
    </row>
    <row r="962" spans="1:13" ht="15.75">
      <c r="A962" s="71" t="s">
        <v>640</v>
      </c>
      <c r="B962" s="8"/>
      <c r="C962" s="8"/>
      <c r="D962" s="8"/>
      <c r="E962" s="8"/>
      <c r="F962" s="72">
        <f aca="true" t="shared" si="574" ref="F962:K962">F12+F214+F232+F277+F437+F673+F795+F900+F951+F207</f>
        <v>665442.2000000001</v>
      </c>
      <c r="G962" s="72">
        <f t="shared" si="574"/>
        <v>638134.3364705883</v>
      </c>
      <c r="H962" s="72">
        <f t="shared" si="574"/>
        <v>747288</v>
      </c>
      <c r="I962" s="72">
        <f t="shared" si="574"/>
        <v>743098.7000000001</v>
      </c>
      <c r="J962" s="72">
        <f t="shared" si="574"/>
        <v>741645.1000000001</v>
      </c>
      <c r="K962" s="72">
        <f t="shared" si="574"/>
        <v>707272.18</v>
      </c>
      <c r="L962" s="72">
        <f aca="true" t="shared" si="575" ref="L962">L12+L214+L232+L277+L437+L673+L795+L900+L951+L207</f>
        <v>368007.99999999994</v>
      </c>
      <c r="M962" s="4">
        <f t="shared" si="542"/>
        <v>52.03201969572731</v>
      </c>
    </row>
    <row r="963" spans="8:13" ht="15" hidden="1">
      <c r="H963">
        <f>'Прил.№4 ведомств.'!J1120</f>
        <v>747927.9999999999</v>
      </c>
      <c r="I963">
        <f>'Прил.№4 ведомств.'!K1120</f>
        <v>743098.7000000001</v>
      </c>
      <c r="J963">
        <f>'Прил.№4 ведомств.'!L1120</f>
        <v>741645.1</v>
      </c>
      <c r="K963">
        <f>'Прил.№4 ведомств.'!M1120</f>
        <v>707272.18</v>
      </c>
      <c r="L963">
        <f>'Прил.№4 ведомств.'!N1120</f>
        <v>368007.99999999994</v>
      </c>
      <c r="M963">
        <f>'Прил.№4 ведомств.'!O1120</f>
        <v>52.03201969572731</v>
      </c>
    </row>
    <row r="964" spans="8:13" ht="15" hidden="1">
      <c r="H964" s="23">
        <f>H963-H962</f>
        <v>639.9999999998836</v>
      </c>
      <c r="I964" s="23">
        <f aca="true" t="shared" si="576" ref="I964:K964">I963-I962</f>
        <v>0</v>
      </c>
      <c r="J964" s="23">
        <f t="shared" si="576"/>
        <v>0</v>
      </c>
      <c r="K964" s="23">
        <f t="shared" si="576"/>
        <v>0</v>
      </c>
      <c r="L964" s="23">
        <f aca="true" t="shared" si="577" ref="L964:M964">L963-L962</f>
        <v>0</v>
      </c>
      <c r="M964" s="23">
        <f t="shared" si="577"/>
        <v>0</v>
      </c>
    </row>
  </sheetData>
  <mergeCells count="14">
    <mergeCell ref="A7:M7"/>
    <mergeCell ref="A9:A10"/>
    <mergeCell ref="B9:B10"/>
    <mergeCell ref="C9:C10"/>
    <mergeCell ref="D9:D10"/>
    <mergeCell ref="E9:E10"/>
    <mergeCell ref="L9:L10"/>
    <mergeCell ref="M9:M10"/>
    <mergeCell ref="F9:F10"/>
    <mergeCell ref="G9:G10"/>
    <mergeCell ref="H9:H10"/>
    <mergeCell ref="I9:I10"/>
    <mergeCell ref="J9:J10"/>
    <mergeCell ref="K9:K10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73"/>
  <sheetViews>
    <sheetView view="pageBreakPreview" zoomScaleSheetLayoutView="100" workbookViewId="0" topLeftCell="A1">
      <selection activeCell="N9" sqref="N9"/>
    </sheetView>
  </sheetViews>
  <sheetFormatPr defaultColWidth="9.140625" defaultRowHeight="15"/>
  <cols>
    <col min="1" max="1" width="48.421875" style="1" customWidth="1"/>
    <col min="2" max="2" width="7.00390625" style="1" customWidth="1"/>
    <col min="3" max="3" width="4.28125" style="1" customWidth="1"/>
    <col min="4" max="4" width="4.8515625" style="1" customWidth="1"/>
    <col min="5" max="5" width="12.421875" style="1" customWidth="1"/>
    <col min="6" max="6" width="5.7109375" style="1" customWidth="1"/>
    <col min="7" max="8" width="13.8515625" style="1" hidden="1" customWidth="1"/>
    <col min="9" max="9" width="13.7109375" style="1" hidden="1" customWidth="1"/>
    <col min="10" max="10" width="13.421875" style="1" hidden="1" customWidth="1"/>
    <col min="11" max="11" width="14.140625" style="1" hidden="1" customWidth="1"/>
    <col min="12" max="12" width="14.00390625" style="1" hidden="1" customWidth="1"/>
    <col min="13" max="13" width="12.421875" style="1" customWidth="1"/>
    <col min="14" max="14" width="15.28125" style="1" customWidth="1"/>
    <col min="15" max="15" width="13.8515625" style="1" customWidth="1"/>
    <col min="16" max="16384" width="9.140625" style="1" customWidth="1"/>
  </cols>
  <sheetData>
    <row r="1" ht="18.75">
      <c r="N1" s="343" t="s">
        <v>644</v>
      </c>
    </row>
    <row r="2" ht="18.75">
      <c r="N2" s="343" t="s">
        <v>1045</v>
      </c>
    </row>
    <row r="3" ht="18.75">
      <c r="N3" s="343" t="s">
        <v>1026</v>
      </c>
    </row>
    <row r="4" spans="1:14" ht="18.75">
      <c r="A4" s="74"/>
      <c r="B4" s="74"/>
      <c r="C4" s="74"/>
      <c r="D4" s="74"/>
      <c r="E4" s="291"/>
      <c r="G4" s="74"/>
      <c r="H4" s="74"/>
      <c r="I4" s="204"/>
      <c r="N4" s="343" t="s">
        <v>1046</v>
      </c>
    </row>
    <row r="5" spans="1:14" ht="18.75">
      <c r="A5" s="74"/>
      <c r="B5" s="74"/>
      <c r="C5" s="74"/>
      <c r="D5" s="74"/>
      <c r="E5" s="294"/>
      <c r="G5" s="74"/>
      <c r="H5" s="74"/>
      <c r="I5" s="204"/>
      <c r="N5" s="343" t="s">
        <v>1047</v>
      </c>
    </row>
    <row r="6" spans="1:13" ht="18.75">
      <c r="A6" s="74"/>
      <c r="B6" s="74"/>
      <c r="C6" s="74"/>
      <c r="D6" s="74"/>
      <c r="E6" s="294"/>
      <c r="G6" s="74"/>
      <c r="H6" s="74"/>
      <c r="I6" s="204"/>
      <c r="M6" s="343"/>
    </row>
    <row r="7" spans="1:9" ht="18.75">
      <c r="A7" s="74"/>
      <c r="B7" s="74"/>
      <c r="C7" s="74"/>
      <c r="D7" s="74"/>
      <c r="E7" s="291"/>
      <c r="G7" s="74"/>
      <c r="H7" s="74"/>
      <c r="I7" s="204"/>
    </row>
    <row r="8" spans="1:15" ht="30" customHeight="1">
      <c r="A8" s="327" t="s">
        <v>1049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</row>
    <row r="9" spans="1:15" ht="15.75">
      <c r="A9" s="14"/>
      <c r="B9" s="14"/>
      <c r="C9" s="14"/>
      <c r="D9" s="14"/>
      <c r="E9" s="14"/>
      <c r="F9" s="14"/>
      <c r="G9" s="124" t="s">
        <v>1</v>
      </c>
      <c r="H9" s="124"/>
      <c r="I9" s="204"/>
      <c r="M9" s="259"/>
      <c r="N9" s="259"/>
      <c r="O9" s="259"/>
    </row>
    <row r="10" spans="1:15" ht="63">
      <c r="A10" s="289" t="s">
        <v>162</v>
      </c>
      <c r="B10" s="289" t="s">
        <v>163</v>
      </c>
      <c r="C10" s="16" t="s">
        <v>164</v>
      </c>
      <c r="D10" s="16" t="s">
        <v>165</v>
      </c>
      <c r="E10" s="16" t="s">
        <v>166</v>
      </c>
      <c r="F10" s="16" t="s">
        <v>167</v>
      </c>
      <c r="G10" s="289" t="s">
        <v>4</v>
      </c>
      <c r="H10" s="289" t="s">
        <v>886</v>
      </c>
      <c r="I10" s="210" t="s">
        <v>864</v>
      </c>
      <c r="J10" s="211" t="s">
        <v>875</v>
      </c>
      <c r="K10" s="211" t="s">
        <v>876</v>
      </c>
      <c r="L10" s="211" t="s">
        <v>877</v>
      </c>
      <c r="M10" s="298" t="s">
        <v>1023</v>
      </c>
      <c r="N10" s="298" t="s">
        <v>1028</v>
      </c>
      <c r="O10" s="298" t="s">
        <v>1024</v>
      </c>
    </row>
    <row r="11" spans="1:15" ht="15.75">
      <c r="A11" s="17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299">
        <v>7</v>
      </c>
      <c r="N11" s="299">
        <v>8</v>
      </c>
      <c r="O11" s="299">
        <v>9</v>
      </c>
    </row>
    <row r="12" spans="1:15" ht="31.5">
      <c r="A12" s="20" t="s">
        <v>168</v>
      </c>
      <c r="B12" s="212">
        <v>901</v>
      </c>
      <c r="C12" s="213"/>
      <c r="D12" s="213"/>
      <c r="E12" s="213"/>
      <c r="F12" s="213"/>
      <c r="G12" s="22">
        <f>G13</f>
        <v>14164.460000000001</v>
      </c>
      <c r="H12" s="22">
        <f>H13</f>
        <v>7737.9</v>
      </c>
      <c r="I12" s="22">
        <f aca="true" t="shared" si="0" ref="I12:L12">I13</f>
        <v>13445.199999999999</v>
      </c>
      <c r="J12" s="22">
        <f t="shared" si="0"/>
        <v>14362</v>
      </c>
      <c r="K12" s="22">
        <f t="shared" si="0"/>
        <v>14362</v>
      </c>
      <c r="L12" s="22">
        <f t="shared" si="0"/>
        <v>14362</v>
      </c>
      <c r="M12" s="22">
        <f aca="true" t="shared" si="1" ref="M12:N12">M13</f>
        <v>14362</v>
      </c>
      <c r="N12" s="22">
        <f t="shared" si="1"/>
        <v>5740.4</v>
      </c>
      <c r="O12" s="22">
        <f>N12/M12*100</f>
        <v>39.969363598384625</v>
      </c>
    </row>
    <row r="13" spans="1:15" ht="15.75">
      <c r="A13" s="24" t="s">
        <v>169</v>
      </c>
      <c r="B13" s="212">
        <v>901</v>
      </c>
      <c r="C13" s="214" t="s">
        <v>170</v>
      </c>
      <c r="D13" s="213"/>
      <c r="E13" s="213"/>
      <c r="F13" s="213"/>
      <c r="G13" s="22">
        <f>G14+G24</f>
        <v>14164.460000000001</v>
      </c>
      <c r="H13" s="22">
        <f>H14+H24</f>
        <v>7737.9</v>
      </c>
      <c r="I13" s="22">
        <f aca="true" t="shared" si="2" ref="I13:L13">I14+I24</f>
        <v>13445.199999999999</v>
      </c>
      <c r="J13" s="22">
        <f t="shared" si="2"/>
        <v>14362</v>
      </c>
      <c r="K13" s="22">
        <f t="shared" si="2"/>
        <v>14362</v>
      </c>
      <c r="L13" s="22">
        <f t="shared" si="2"/>
        <v>14362</v>
      </c>
      <c r="M13" s="22">
        <f aca="true" t="shared" si="3" ref="M13:N13">M14+M24</f>
        <v>14362</v>
      </c>
      <c r="N13" s="22">
        <f t="shared" si="3"/>
        <v>5740.4</v>
      </c>
      <c r="O13" s="22">
        <f aca="true" t="shared" si="4" ref="O13:O76">N13/M13*100</f>
        <v>39.969363598384625</v>
      </c>
    </row>
    <row r="14" spans="1:15" ht="63">
      <c r="A14" s="24" t="s">
        <v>171</v>
      </c>
      <c r="B14" s="212">
        <v>901</v>
      </c>
      <c r="C14" s="214" t="s">
        <v>170</v>
      </c>
      <c r="D14" s="214" t="s">
        <v>172</v>
      </c>
      <c r="E14" s="214"/>
      <c r="F14" s="214"/>
      <c r="G14" s="22">
        <f>G15</f>
        <v>14114.460000000001</v>
      </c>
      <c r="H14" s="22">
        <f aca="true" t="shared" si="5" ref="H14:H16">H15</f>
        <v>7687.9</v>
      </c>
      <c r="I14" s="22">
        <f aca="true" t="shared" si="6" ref="I14:L16">I15</f>
        <v>13395.199999999999</v>
      </c>
      <c r="J14" s="22">
        <f t="shared" si="6"/>
        <v>14362</v>
      </c>
      <c r="K14" s="22">
        <f t="shared" si="6"/>
        <v>14362</v>
      </c>
      <c r="L14" s="22">
        <f t="shared" si="6"/>
        <v>14362</v>
      </c>
      <c r="M14" s="22">
        <f aca="true" t="shared" si="7" ref="M14:N16">M15</f>
        <v>14362</v>
      </c>
      <c r="N14" s="22">
        <f t="shared" si="7"/>
        <v>5740.4</v>
      </c>
      <c r="O14" s="22">
        <f t="shared" si="4"/>
        <v>39.969363598384625</v>
      </c>
    </row>
    <row r="15" spans="1:15" ht="15.75">
      <c r="A15" s="26" t="s">
        <v>173</v>
      </c>
      <c r="B15" s="215">
        <v>901</v>
      </c>
      <c r="C15" s="213" t="s">
        <v>170</v>
      </c>
      <c r="D15" s="213" t="s">
        <v>172</v>
      </c>
      <c r="E15" s="213" t="s">
        <v>174</v>
      </c>
      <c r="F15" s="213"/>
      <c r="G15" s="27">
        <f>G16</f>
        <v>14114.460000000001</v>
      </c>
      <c r="H15" s="27">
        <f t="shared" si="5"/>
        <v>7687.9</v>
      </c>
      <c r="I15" s="27">
        <f t="shared" si="6"/>
        <v>13395.199999999999</v>
      </c>
      <c r="J15" s="27">
        <f t="shared" si="6"/>
        <v>14362</v>
      </c>
      <c r="K15" s="27">
        <f t="shared" si="6"/>
        <v>14362</v>
      </c>
      <c r="L15" s="27">
        <f t="shared" si="6"/>
        <v>14362</v>
      </c>
      <c r="M15" s="27">
        <f t="shared" si="7"/>
        <v>14362</v>
      </c>
      <c r="N15" s="27">
        <f t="shared" si="7"/>
        <v>5740.4</v>
      </c>
      <c r="O15" s="27">
        <f t="shared" si="4"/>
        <v>39.969363598384625</v>
      </c>
    </row>
    <row r="16" spans="1:15" ht="31.5">
      <c r="A16" s="26" t="s">
        <v>175</v>
      </c>
      <c r="B16" s="215">
        <v>901</v>
      </c>
      <c r="C16" s="213" t="s">
        <v>170</v>
      </c>
      <c r="D16" s="213" t="s">
        <v>172</v>
      </c>
      <c r="E16" s="213" t="s">
        <v>176</v>
      </c>
      <c r="F16" s="213"/>
      <c r="G16" s="27">
        <f>G17</f>
        <v>14114.460000000001</v>
      </c>
      <c r="H16" s="27">
        <f t="shared" si="5"/>
        <v>7687.9</v>
      </c>
      <c r="I16" s="27">
        <f t="shared" si="6"/>
        <v>13395.199999999999</v>
      </c>
      <c r="J16" s="27">
        <f t="shared" si="6"/>
        <v>14362</v>
      </c>
      <c r="K16" s="27">
        <f t="shared" si="6"/>
        <v>14362</v>
      </c>
      <c r="L16" s="27">
        <f t="shared" si="6"/>
        <v>14362</v>
      </c>
      <c r="M16" s="27">
        <f t="shared" si="7"/>
        <v>14362</v>
      </c>
      <c r="N16" s="27">
        <f t="shared" si="7"/>
        <v>5740.4</v>
      </c>
      <c r="O16" s="27">
        <f t="shared" si="4"/>
        <v>39.969363598384625</v>
      </c>
    </row>
    <row r="17" spans="1:15" ht="47.25">
      <c r="A17" s="26" t="s">
        <v>177</v>
      </c>
      <c r="B17" s="215">
        <v>901</v>
      </c>
      <c r="C17" s="213" t="s">
        <v>170</v>
      </c>
      <c r="D17" s="213" t="s">
        <v>172</v>
      </c>
      <c r="E17" s="213" t="s">
        <v>178</v>
      </c>
      <c r="F17" s="213"/>
      <c r="G17" s="27">
        <f>G18+G20+G22</f>
        <v>14114.460000000001</v>
      </c>
      <c r="H17" s="27">
        <f>H18+H20+H22</f>
        <v>7687.9</v>
      </c>
      <c r="I17" s="27">
        <f aca="true" t="shared" si="8" ref="I17:L17">I18+I20+I22</f>
        <v>13395.199999999999</v>
      </c>
      <c r="J17" s="27">
        <f t="shared" si="8"/>
        <v>14362</v>
      </c>
      <c r="K17" s="27">
        <f t="shared" si="8"/>
        <v>14362</v>
      </c>
      <c r="L17" s="27">
        <f t="shared" si="8"/>
        <v>14362</v>
      </c>
      <c r="M17" s="27">
        <f aca="true" t="shared" si="9" ref="M17:N17">M18+M20+M22</f>
        <v>14362</v>
      </c>
      <c r="N17" s="27">
        <f t="shared" si="9"/>
        <v>5740.4</v>
      </c>
      <c r="O17" s="27">
        <f t="shared" si="4"/>
        <v>39.969363598384625</v>
      </c>
    </row>
    <row r="18" spans="1:15" ht="94.5">
      <c r="A18" s="26" t="s">
        <v>179</v>
      </c>
      <c r="B18" s="215">
        <v>901</v>
      </c>
      <c r="C18" s="213" t="s">
        <v>170</v>
      </c>
      <c r="D18" s="213" t="s">
        <v>172</v>
      </c>
      <c r="E18" s="213" t="s">
        <v>178</v>
      </c>
      <c r="F18" s="213" t="s">
        <v>180</v>
      </c>
      <c r="G18" s="27">
        <f>G19</f>
        <v>12784.1</v>
      </c>
      <c r="H18" s="27">
        <f>H19</f>
        <v>7262.8</v>
      </c>
      <c r="I18" s="27">
        <f aca="true" t="shared" si="10" ref="I18:L18">I19</f>
        <v>12053.8</v>
      </c>
      <c r="J18" s="27">
        <f t="shared" si="10"/>
        <v>12470</v>
      </c>
      <c r="K18" s="27">
        <f t="shared" si="10"/>
        <v>12470</v>
      </c>
      <c r="L18" s="27">
        <f t="shared" si="10"/>
        <v>12470</v>
      </c>
      <c r="M18" s="27">
        <f aca="true" t="shared" si="11" ref="M18:N18">M19</f>
        <v>12801.6</v>
      </c>
      <c r="N18" s="27">
        <f t="shared" si="11"/>
        <v>5514.2</v>
      </c>
      <c r="O18" s="27">
        <f t="shared" si="4"/>
        <v>43.074303212098485</v>
      </c>
    </row>
    <row r="19" spans="1:15" ht="31.5">
      <c r="A19" s="26" t="s">
        <v>181</v>
      </c>
      <c r="B19" s="215">
        <v>901</v>
      </c>
      <c r="C19" s="213" t="s">
        <v>170</v>
      </c>
      <c r="D19" s="213" t="s">
        <v>172</v>
      </c>
      <c r="E19" s="213" t="s">
        <v>178</v>
      </c>
      <c r="F19" s="213" t="s">
        <v>182</v>
      </c>
      <c r="G19" s="28">
        <v>12784.1</v>
      </c>
      <c r="H19" s="28">
        <v>7262.8</v>
      </c>
      <c r="I19" s="28">
        <v>12053.8</v>
      </c>
      <c r="J19" s="28">
        <v>12470</v>
      </c>
      <c r="K19" s="28">
        <f>J19</f>
        <v>12470</v>
      </c>
      <c r="L19" s="28">
        <f>K19</f>
        <v>12470</v>
      </c>
      <c r="M19" s="28">
        <f>12926-124.4</f>
        <v>12801.6</v>
      </c>
      <c r="N19" s="28">
        <v>5514.2</v>
      </c>
      <c r="O19" s="27">
        <f t="shared" si="4"/>
        <v>43.074303212098485</v>
      </c>
    </row>
    <row r="20" spans="1:15" ht="31.5">
      <c r="A20" s="26" t="s">
        <v>183</v>
      </c>
      <c r="B20" s="215">
        <v>901</v>
      </c>
      <c r="C20" s="213" t="s">
        <v>170</v>
      </c>
      <c r="D20" s="213" t="s">
        <v>172</v>
      </c>
      <c r="E20" s="213" t="s">
        <v>178</v>
      </c>
      <c r="F20" s="213" t="s">
        <v>184</v>
      </c>
      <c r="G20" s="27">
        <f>G21</f>
        <v>1302.36</v>
      </c>
      <c r="H20" s="27">
        <f>H21</f>
        <v>424.2</v>
      </c>
      <c r="I20" s="27">
        <f aca="true" t="shared" si="12" ref="I20:L20">I21</f>
        <v>1302.4</v>
      </c>
      <c r="J20" s="27">
        <f t="shared" si="12"/>
        <v>1864</v>
      </c>
      <c r="K20" s="27">
        <f t="shared" si="12"/>
        <v>1864</v>
      </c>
      <c r="L20" s="27">
        <f t="shared" si="12"/>
        <v>1864</v>
      </c>
      <c r="M20" s="27">
        <f aca="true" t="shared" si="13" ref="M20:N20">M21</f>
        <v>1532.4</v>
      </c>
      <c r="N20" s="27">
        <f t="shared" si="13"/>
        <v>225.7</v>
      </c>
      <c r="O20" s="27">
        <f t="shared" si="4"/>
        <v>14.728530409814669</v>
      </c>
    </row>
    <row r="21" spans="1:15" ht="47.25">
      <c r="A21" s="26" t="s">
        <v>185</v>
      </c>
      <c r="B21" s="215">
        <v>901</v>
      </c>
      <c r="C21" s="213" t="s">
        <v>170</v>
      </c>
      <c r="D21" s="213" t="s">
        <v>172</v>
      </c>
      <c r="E21" s="213" t="s">
        <v>178</v>
      </c>
      <c r="F21" s="213" t="s">
        <v>186</v>
      </c>
      <c r="G21" s="28">
        <v>1302.36</v>
      </c>
      <c r="H21" s="28">
        <v>424.2</v>
      </c>
      <c r="I21" s="28">
        <v>1302.4</v>
      </c>
      <c r="J21" s="28">
        <f>1892-J23</f>
        <v>1864</v>
      </c>
      <c r="K21" s="28">
        <f>J21</f>
        <v>1864</v>
      </c>
      <c r="L21" s="28">
        <f>K21</f>
        <v>1864</v>
      </c>
      <c r="M21" s="28">
        <f>1408+124.4</f>
        <v>1532.4</v>
      </c>
      <c r="N21" s="28">
        <v>225.7</v>
      </c>
      <c r="O21" s="27">
        <f t="shared" si="4"/>
        <v>14.728530409814669</v>
      </c>
    </row>
    <row r="22" spans="1:15" ht="15.75">
      <c r="A22" s="26" t="s">
        <v>187</v>
      </c>
      <c r="B22" s="215">
        <v>901</v>
      </c>
      <c r="C22" s="213" t="s">
        <v>170</v>
      </c>
      <c r="D22" s="213" t="s">
        <v>172</v>
      </c>
      <c r="E22" s="213" t="s">
        <v>178</v>
      </c>
      <c r="F22" s="213" t="s">
        <v>188</v>
      </c>
      <c r="G22" s="27">
        <f>G23</f>
        <v>28</v>
      </c>
      <c r="H22" s="27">
        <f>H23</f>
        <v>0.9</v>
      </c>
      <c r="I22" s="27">
        <f aca="true" t="shared" si="14" ref="I22:L22">I23</f>
        <v>39</v>
      </c>
      <c r="J22" s="27">
        <f t="shared" si="14"/>
        <v>28</v>
      </c>
      <c r="K22" s="27">
        <f t="shared" si="14"/>
        <v>28</v>
      </c>
      <c r="L22" s="27">
        <f t="shared" si="14"/>
        <v>28</v>
      </c>
      <c r="M22" s="27">
        <f aca="true" t="shared" si="15" ref="M22:N22">M23</f>
        <v>28</v>
      </c>
      <c r="N22" s="27">
        <f t="shared" si="15"/>
        <v>0.5</v>
      </c>
      <c r="O22" s="27">
        <f t="shared" si="4"/>
        <v>1.7857142857142856</v>
      </c>
    </row>
    <row r="23" spans="1:15" ht="15.75">
      <c r="A23" s="26" t="s">
        <v>621</v>
      </c>
      <c r="B23" s="215">
        <v>901</v>
      </c>
      <c r="C23" s="213" t="s">
        <v>170</v>
      </c>
      <c r="D23" s="213" t="s">
        <v>172</v>
      </c>
      <c r="E23" s="213" t="s">
        <v>178</v>
      </c>
      <c r="F23" s="213" t="s">
        <v>190</v>
      </c>
      <c r="G23" s="27">
        <v>28</v>
      </c>
      <c r="H23" s="27">
        <v>0.9</v>
      </c>
      <c r="I23" s="27">
        <v>39</v>
      </c>
      <c r="J23" s="27">
        <v>28</v>
      </c>
      <c r="K23" s="27">
        <v>28</v>
      </c>
      <c r="L23" s="27">
        <v>28</v>
      </c>
      <c r="M23" s="27">
        <v>28</v>
      </c>
      <c r="N23" s="27">
        <v>0.5</v>
      </c>
      <c r="O23" s="27">
        <f t="shared" si="4"/>
        <v>1.7857142857142856</v>
      </c>
    </row>
    <row r="24" spans="1:15" ht="18.75" customHeight="1" hidden="1">
      <c r="A24" s="24" t="s">
        <v>191</v>
      </c>
      <c r="B24" s="212">
        <v>901</v>
      </c>
      <c r="C24" s="214" t="s">
        <v>170</v>
      </c>
      <c r="D24" s="214" t="s">
        <v>192</v>
      </c>
      <c r="E24" s="214"/>
      <c r="F24" s="214"/>
      <c r="G24" s="22">
        <f>G25</f>
        <v>50</v>
      </c>
      <c r="H24" s="22">
        <f aca="true" t="shared" si="16" ref="H24:H27">H25</f>
        <v>50</v>
      </c>
      <c r="I24" s="22">
        <f aca="true" t="shared" si="17" ref="I24:L27">I25</f>
        <v>50</v>
      </c>
      <c r="J24" s="22">
        <f t="shared" si="17"/>
        <v>0</v>
      </c>
      <c r="K24" s="22">
        <f t="shared" si="17"/>
        <v>0</v>
      </c>
      <c r="L24" s="22">
        <f t="shared" si="17"/>
        <v>0</v>
      </c>
      <c r="M24" s="22">
        <f aca="true" t="shared" si="18" ref="M24:N27">M25</f>
        <v>0</v>
      </c>
      <c r="N24" s="22">
        <f t="shared" si="18"/>
        <v>0</v>
      </c>
      <c r="O24" s="22" t="e">
        <f t="shared" si="4"/>
        <v>#DIV/0!</v>
      </c>
    </row>
    <row r="25" spans="1:15" ht="15.75" hidden="1">
      <c r="A25" s="26" t="s">
        <v>193</v>
      </c>
      <c r="B25" s="215">
        <v>901</v>
      </c>
      <c r="C25" s="213" t="s">
        <v>170</v>
      </c>
      <c r="D25" s="213" t="s">
        <v>192</v>
      </c>
      <c r="E25" s="213" t="s">
        <v>194</v>
      </c>
      <c r="F25" s="213"/>
      <c r="G25" s="27">
        <f>G26</f>
        <v>50</v>
      </c>
      <c r="H25" s="27">
        <f t="shared" si="16"/>
        <v>50</v>
      </c>
      <c r="I25" s="27">
        <f t="shared" si="17"/>
        <v>50</v>
      </c>
      <c r="J25" s="27">
        <f t="shared" si="17"/>
        <v>0</v>
      </c>
      <c r="K25" s="27">
        <f t="shared" si="17"/>
        <v>0</v>
      </c>
      <c r="L25" s="27">
        <f t="shared" si="17"/>
        <v>0</v>
      </c>
      <c r="M25" s="27">
        <f t="shared" si="18"/>
        <v>0</v>
      </c>
      <c r="N25" s="27">
        <f t="shared" si="18"/>
        <v>0</v>
      </c>
      <c r="O25" s="22" t="e">
        <f t="shared" si="4"/>
        <v>#DIV/0!</v>
      </c>
    </row>
    <row r="26" spans="1:15" ht="15.75" hidden="1">
      <c r="A26" s="26" t="s">
        <v>195</v>
      </c>
      <c r="B26" s="215">
        <v>901</v>
      </c>
      <c r="C26" s="213" t="s">
        <v>170</v>
      </c>
      <c r="D26" s="213" t="s">
        <v>192</v>
      </c>
      <c r="E26" s="213" t="s">
        <v>196</v>
      </c>
      <c r="F26" s="213"/>
      <c r="G26" s="27">
        <f>G27</f>
        <v>50</v>
      </c>
      <c r="H26" s="27">
        <f t="shared" si="16"/>
        <v>50</v>
      </c>
      <c r="I26" s="27">
        <f t="shared" si="17"/>
        <v>50</v>
      </c>
      <c r="J26" s="27">
        <f t="shared" si="17"/>
        <v>0</v>
      </c>
      <c r="K26" s="27">
        <f t="shared" si="17"/>
        <v>0</v>
      </c>
      <c r="L26" s="27">
        <f t="shared" si="17"/>
        <v>0</v>
      </c>
      <c r="M26" s="27">
        <f t="shared" si="18"/>
        <v>0</v>
      </c>
      <c r="N26" s="27">
        <f t="shared" si="18"/>
        <v>0</v>
      </c>
      <c r="O26" s="22" t="e">
        <f t="shared" si="4"/>
        <v>#DIV/0!</v>
      </c>
    </row>
    <row r="27" spans="1:15" ht="15.75" hidden="1">
      <c r="A27" s="26" t="s">
        <v>187</v>
      </c>
      <c r="B27" s="215">
        <v>901</v>
      </c>
      <c r="C27" s="213" t="s">
        <v>170</v>
      </c>
      <c r="D27" s="213" t="s">
        <v>192</v>
      </c>
      <c r="E27" s="213" t="s">
        <v>196</v>
      </c>
      <c r="F27" s="213" t="s">
        <v>197</v>
      </c>
      <c r="G27" s="27">
        <f>G28</f>
        <v>50</v>
      </c>
      <c r="H27" s="27">
        <f t="shared" si="16"/>
        <v>50</v>
      </c>
      <c r="I27" s="27">
        <f t="shared" si="17"/>
        <v>50</v>
      </c>
      <c r="J27" s="27">
        <f t="shared" si="17"/>
        <v>0</v>
      </c>
      <c r="K27" s="27">
        <f t="shared" si="17"/>
        <v>0</v>
      </c>
      <c r="L27" s="27">
        <f t="shared" si="17"/>
        <v>0</v>
      </c>
      <c r="M27" s="27">
        <f t="shared" si="18"/>
        <v>0</v>
      </c>
      <c r="N27" s="27">
        <f t="shared" si="18"/>
        <v>0</v>
      </c>
      <c r="O27" s="22" t="e">
        <f t="shared" si="4"/>
        <v>#DIV/0!</v>
      </c>
    </row>
    <row r="28" spans="1:15" ht="15.75" hidden="1">
      <c r="A28" s="26" t="s">
        <v>198</v>
      </c>
      <c r="B28" s="215">
        <v>901</v>
      </c>
      <c r="C28" s="213" t="s">
        <v>170</v>
      </c>
      <c r="D28" s="213" t="s">
        <v>192</v>
      </c>
      <c r="E28" s="213" t="s">
        <v>196</v>
      </c>
      <c r="F28" s="213" t="s">
        <v>199</v>
      </c>
      <c r="G28" s="27">
        <v>50</v>
      </c>
      <c r="H28" s="27">
        <v>50</v>
      </c>
      <c r="I28" s="27">
        <v>50</v>
      </c>
      <c r="J28" s="27">
        <v>0</v>
      </c>
      <c r="K28" s="27">
        <v>0</v>
      </c>
      <c r="L28" s="27">
        <v>0</v>
      </c>
      <c r="M28" s="27"/>
      <c r="N28" s="27"/>
      <c r="O28" s="22" t="e">
        <f t="shared" si="4"/>
        <v>#DIV/0!</v>
      </c>
    </row>
    <row r="29" spans="1:15" ht="31.5">
      <c r="A29" s="20" t="s">
        <v>200</v>
      </c>
      <c r="B29" s="212">
        <v>902</v>
      </c>
      <c r="C29" s="213"/>
      <c r="D29" s="213"/>
      <c r="E29" s="213"/>
      <c r="F29" s="213"/>
      <c r="G29" s="22">
        <f>G30+G168+G186+G218+G161</f>
        <v>87268.39999999998</v>
      </c>
      <c r="H29" s="22">
        <f>H30+H168+H186+H218</f>
        <v>59953.899999999994</v>
      </c>
      <c r="I29" s="22">
        <f aca="true" t="shared" si="19" ref="I29:N29">I30+I168+I186+I218+I161</f>
        <v>83261.00392156861</v>
      </c>
      <c r="J29" s="22">
        <f t="shared" si="19"/>
        <v>92033.59999999999</v>
      </c>
      <c r="K29" s="22">
        <f t="shared" si="19"/>
        <v>90820.50000000001</v>
      </c>
      <c r="L29" s="22">
        <f t="shared" si="19"/>
        <v>91204.6</v>
      </c>
      <c r="M29" s="22">
        <f t="shared" si="19"/>
        <v>87665.9</v>
      </c>
      <c r="N29" s="22">
        <f t="shared" si="19"/>
        <v>39843.8</v>
      </c>
      <c r="O29" s="22">
        <f t="shared" si="4"/>
        <v>45.4495989888885</v>
      </c>
    </row>
    <row r="30" spans="1:15" ht="15.75">
      <c r="A30" s="24" t="s">
        <v>169</v>
      </c>
      <c r="B30" s="212">
        <v>902</v>
      </c>
      <c r="C30" s="214" t="s">
        <v>170</v>
      </c>
      <c r="D30" s="213"/>
      <c r="E30" s="213"/>
      <c r="F30" s="213"/>
      <c r="G30" s="22">
        <f aca="true" t="shared" si="20" ref="G30:M30">G31+G55+G63</f>
        <v>66062.7</v>
      </c>
      <c r="H30" s="22">
        <f t="shared" si="20"/>
        <v>46256</v>
      </c>
      <c r="I30" s="22">
        <f t="shared" si="20"/>
        <v>63684.337254901955</v>
      </c>
      <c r="J30" s="22">
        <f t="shared" si="20"/>
        <v>66693.40000000001</v>
      </c>
      <c r="K30" s="22">
        <f t="shared" si="20"/>
        <v>67188.20000000001</v>
      </c>
      <c r="L30" s="22">
        <f t="shared" si="20"/>
        <v>67525.8</v>
      </c>
      <c r="M30" s="22">
        <f t="shared" si="20"/>
        <v>64135.5</v>
      </c>
      <c r="N30" s="22">
        <f aca="true" t="shared" si="21" ref="N30">N31+N55+N63</f>
        <v>30435.300000000003</v>
      </c>
      <c r="O30" s="22">
        <f t="shared" si="4"/>
        <v>47.45468578244498</v>
      </c>
    </row>
    <row r="31" spans="1:15" ht="78.75">
      <c r="A31" s="24" t="s">
        <v>201</v>
      </c>
      <c r="B31" s="212">
        <v>902</v>
      </c>
      <c r="C31" s="214" t="s">
        <v>170</v>
      </c>
      <c r="D31" s="214" t="s">
        <v>202</v>
      </c>
      <c r="E31" s="214"/>
      <c r="F31" s="214"/>
      <c r="G31" s="22">
        <f>G32</f>
        <v>51508.2</v>
      </c>
      <c r="H31" s="22">
        <f>H32</f>
        <v>36342.1</v>
      </c>
      <c r="I31" s="22">
        <f aca="true" t="shared" si="22" ref="I31:L31">I32</f>
        <v>49198.93725490196</v>
      </c>
      <c r="J31" s="22">
        <f t="shared" si="22"/>
        <v>49603.8</v>
      </c>
      <c r="K31" s="22">
        <f t="shared" si="22"/>
        <v>49952.700000000004</v>
      </c>
      <c r="L31" s="22">
        <f t="shared" si="22"/>
        <v>50164</v>
      </c>
      <c r="M31" s="22">
        <f aca="true" t="shared" si="23" ref="M31:N31">M32</f>
        <v>52193.9</v>
      </c>
      <c r="N31" s="22">
        <f t="shared" si="23"/>
        <v>25102.800000000003</v>
      </c>
      <c r="O31" s="22">
        <f t="shared" si="4"/>
        <v>48.09527550154329</v>
      </c>
    </row>
    <row r="32" spans="1:15" ht="15.75">
      <c r="A32" s="26" t="s">
        <v>173</v>
      </c>
      <c r="B32" s="215">
        <v>902</v>
      </c>
      <c r="C32" s="213" t="s">
        <v>170</v>
      </c>
      <c r="D32" s="213" t="s">
        <v>202</v>
      </c>
      <c r="E32" s="213" t="s">
        <v>174</v>
      </c>
      <c r="F32" s="213"/>
      <c r="G32" s="28">
        <f aca="true" t="shared" si="24" ref="G32:M32">G33+G49</f>
        <v>51508.2</v>
      </c>
      <c r="H32" s="28">
        <f t="shared" si="24"/>
        <v>36342.1</v>
      </c>
      <c r="I32" s="28">
        <f t="shared" si="24"/>
        <v>49198.93725490196</v>
      </c>
      <c r="J32" s="28">
        <f t="shared" si="24"/>
        <v>49603.8</v>
      </c>
      <c r="K32" s="28">
        <f t="shared" si="24"/>
        <v>49952.700000000004</v>
      </c>
      <c r="L32" s="28">
        <f t="shared" si="24"/>
        <v>50164</v>
      </c>
      <c r="M32" s="28">
        <f t="shared" si="24"/>
        <v>52193.9</v>
      </c>
      <c r="N32" s="28">
        <f aca="true" t="shared" si="25" ref="N32">N33+N49</f>
        <v>25102.800000000003</v>
      </c>
      <c r="O32" s="27">
        <f t="shared" si="4"/>
        <v>48.09527550154329</v>
      </c>
    </row>
    <row r="33" spans="1:15" ht="31.5">
      <c r="A33" s="26" t="s">
        <v>175</v>
      </c>
      <c r="B33" s="215">
        <v>902</v>
      </c>
      <c r="C33" s="213" t="s">
        <v>170</v>
      </c>
      <c r="D33" s="213" t="s">
        <v>202</v>
      </c>
      <c r="E33" s="213" t="s">
        <v>176</v>
      </c>
      <c r="F33" s="213"/>
      <c r="G33" s="28">
        <f>G34+G41</f>
        <v>43429.2</v>
      </c>
      <c r="H33" s="28">
        <f>H34+H41</f>
        <v>29295.199999999997</v>
      </c>
      <c r="I33" s="28">
        <f aca="true" t="shared" si="26" ref="I33:L33">I34+I41</f>
        <v>41163.33725490196</v>
      </c>
      <c r="J33" s="28">
        <f t="shared" si="26"/>
        <v>47263.9</v>
      </c>
      <c r="K33" s="28">
        <f t="shared" si="26"/>
        <v>47612.8</v>
      </c>
      <c r="L33" s="28">
        <f t="shared" si="26"/>
        <v>47824.1</v>
      </c>
      <c r="M33" s="28">
        <f>M34+M41+M44</f>
        <v>49640.4</v>
      </c>
      <c r="N33" s="28">
        <f aca="true" t="shared" si="27" ref="N33">N34+N41+N44</f>
        <v>24078.4</v>
      </c>
      <c r="O33" s="27">
        <f t="shared" si="4"/>
        <v>48.505652653886756</v>
      </c>
    </row>
    <row r="34" spans="1:15" ht="47.25">
      <c r="A34" s="26" t="s">
        <v>177</v>
      </c>
      <c r="B34" s="215">
        <v>902</v>
      </c>
      <c r="C34" s="213" t="s">
        <v>170</v>
      </c>
      <c r="D34" s="213" t="s">
        <v>202</v>
      </c>
      <c r="E34" s="213" t="s">
        <v>178</v>
      </c>
      <c r="F34" s="213"/>
      <c r="G34" s="27">
        <f>G35+G37+G39</f>
        <v>39883.6</v>
      </c>
      <c r="H34" s="27">
        <f>H35+H37+H39</f>
        <v>26835.6</v>
      </c>
      <c r="I34" s="27">
        <f aca="true" t="shared" si="28" ref="I34:L34">I35+I37+I39</f>
        <v>37617.737254901964</v>
      </c>
      <c r="J34" s="27">
        <f t="shared" si="28"/>
        <v>44031.1</v>
      </c>
      <c r="K34" s="27">
        <f t="shared" si="28"/>
        <v>44380</v>
      </c>
      <c r="L34" s="27">
        <f t="shared" si="28"/>
        <v>44591.299999999996</v>
      </c>
      <c r="M34" s="27">
        <f aca="true" t="shared" si="29" ref="M34:N34">M35+M37+M39</f>
        <v>43597</v>
      </c>
      <c r="N34" s="27">
        <f t="shared" si="29"/>
        <v>21413.6</v>
      </c>
      <c r="O34" s="27">
        <f t="shared" si="4"/>
        <v>49.11714108768951</v>
      </c>
    </row>
    <row r="35" spans="1:15" ht="94.5">
      <c r="A35" s="26" t="s">
        <v>179</v>
      </c>
      <c r="B35" s="215">
        <v>902</v>
      </c>
      <c r="C35" s="213" t="s">
        <v>170</v>
      </c>
      <c r="D35" s="213" t="s">
        <v>202</v>
      </c>
      <c r="E35" s="213" t="s">
        <v>178</v>
      </c>
      <c r="F35" s="213" t="s">
        <v>180</v>
      </c>
      <c r="G35" s="27">
        <f>G36</f>
        <v>34170.5</v>
      </c>
      <c r="H35" s="27">
        <f>H36</f>
        <v>23843.4</v>
      </c>
      <c r="I35" s="27">
        <f aca="true" t="shared" si="30" ref="I35:L35">I36</f>
        <v>33661.2705882353</v>
      </c>
      <c r="J35" s="27">
        <f t="shared" si="30"/>
        <v>36671.5</v>
      </c>
      <c r="K35" s="27">
        <f t="shared" si="30"/>
        <v>36671.5</v>
      </c>
      <c r="L35" s="27">
        <f t="shared" si="30"/>
        <v>36671.5</v>
      </c>
      <c r="M35" s="27">
        <f aca="true" t="shared" si="31" ref="M35:N35">M36</f>
        <v>36418</v>
      </c>
      <c r="N35" s="27">
        <f t="shared" si="31"/>
        <v>19133.3</v>
      </c>
      <c r="O35" s="27">
        <f t="shared" si="4"/>
        <v>52.53803064418694</v>
      </c>
    </row>
    <row r="36" spans="1:15" ht="31.5">
      <c r="A36" s="26" t="s">
        <v>181</v>
      </c>
      <c r="B36" s="215">
        <v>902</v>
      </c>
      <c r="C36" s="213" t="s">
        <v>170</v>
      </c>
      <c r="D36" s="213" t="s">
        <v>202</v>
      </c>
      <c r="E36" s="213" t="s">
        <v>178</v>
      </c>
      <c r="F36" s="213" t="s">
        <v>182</v>
      </c>
      <c r="G36" s="28">
        <f>36517.7-553.5-1733.7-60</f>
        <v>34170.5</v>
      </c>
      <c r="H36" s="28">
        <v>23843.4</v>
      </c>
      <c r="I36" s="28">
        <f>H36/8.5*12</f>
        <v>33661.2705882353</v>
      </c>
      <c r="J36" s="28">
        <v>36671.5</v>
      </c>
      <c r="K36" s="28">
        <f>J36</f>
        <v>36671.5</v>
      </c>
      <c r="L36" s="28">
        <f>K36</f>
        <v>36671.5</v>
      </c>
      <c r="M36" s="28">
        <f>36671.5-253.5</f>
        <v>36418</v>
      </c>
      <c r="N36" s="28">
        <v>19133.3</v>
      </c>
      <c r="O36" s="27">
        <f t="shared" si="4"/>
        <v>52.53803064418694</v>
      </c>
    </row>
    <row r="37" spans="1:15" ht="31.5">
      <c r="A37" s="26" t="s">
        <v>183</v>
      </c>
      <c r="B37" s="215">
        <v>902</v>
      </c>
      <c r="C37" s="213" t="s">
        <v>170</v>
      </c>
      <c r="D37" s="213" t="s">
        <v>202</v>
      </c>
      <c r="E37" s="213" t="s">
        <v>178</v>
      </c>
      <c r="F37" s="213" t="s">
        <v>184</v>
      </c>
      <c r="G37" s="27">
        <f>G38</f>
        <v>5592.4</v>
      </c>
      <c r="H37" s="27">
        <f>H38</f>
        <v>2765.6</v>
      </c>
      <c r="I37" s="27">
        <f aca="true" t="shared" si="32" ref="I37:L37">I38</f>
        <v>3687.4666666666667</v>
      </c>
      <c r="J37" s="27">
        <f t="shared" si="32"/>
        <v>7238.900000000001</v>
      </c>
      <c r="K37" s="27">
        <f t="shared" si="32"/>
        <v>7587.8</v>
      </c>
      <c r="L37" s="27">
        <f t="shared" si="32"/>
        <v>7799.1</v>
      </c>
      <c r="M37" s="27">
        <f aca="true" t="shared" si="33" ref="M37:N37">M38</f>
        <v>6959.7</v>
      </c>
      <c r="N37" s="27">
        <f t="shared" si="33"/>
        <v>2239</v>
      </c>
      <c r="O37" s="27">
        <f t="shared" si="4"/>
        <v>32.170926907769015</v>
      </c>
    </row>
    <row r="38" spans="1:15" ht="47.25">
      <c r="A38" s="26" t="s">
        <v>185</v>
      </c>
      <c r="B38" s="215">
        <v>902</v>
      </c>
      <c r="C38" s="213" t="s">
        <v>170</v>
      </c>
      <c r="D38" s="213" t="s">
        <v>202</v>
      </c>
      <c r="E38" s="213" t="s">
        <v>178</v>
      </c>
      <c r="F38" s="213" t="s">
        <v>186</v>
      </c>
      <c r="G38" s="28">
        <f>3962.7+1800-140.3-30</f>
        <v>5592.4</v>
      </c>
      <c r="H38" s="28">
        <v>2765.6</v>
      </c>
      <c r="I38" s="28">
        <f>H38/9*12</f>
        <v>3687.4666666666667</v>
      </c>
      <c r="J38" s="28">
        <f>7179-J40+180.6</f>
        <v>7238.900000000001</v>
      </c>
      <c r="K38" s="28">
        <f>7527.9-K40+180.6</f>
        <v>7587.8</v>
      </c>
      <c r="L38" s="28">
        <f>7739.2-L40+180.6</f>
        <v>7799.1</v>
      </c>
      <c r="M38" s="28">
        <v>6959.7</v>
      </c>
      <c r="N38" s="28">
        <v>2239</v>
      </c>
      <c r="O38" s="27">
        <f t="shared" si="4"/>
        <v>32.170926907769015</v>
      </c>
    </row>
    <row r="39" spans="1:15" ht="15.75">
      <c r="A39" s="26" t="s">
        <v>187</v>
      </c>
      <c r="B39" s="215">
        <v>902</v>
      </c>
      <c r="C39" s="213" t="s">
        <v>170</v>
      </c>
      <c r="D39" s="213" t="s">
        <v>202</v>
      </c>
      <c r="E39" s="213" t="s">
        <v>178</v>
      </c>
      <c r="F39" s="213" t="s">
        <v>197</v>
      </c>
      <c r="G39" s="27">
        <f>G40</f>
        <v>120.7</v>
      </c>
      <c r="H39" s="27">
        <f>H40</f>
        <v>226.6</v>
      </c>
      <c r="I39" s="27">
        <f aca="true" t="shared" si="34" ref="I39:L39">I40</f>
        <v>269</v>
      </c>
      <c r="J39" s="27">
        <f t="shared" si="34"/>
        <v>120.7</v>
      </c>
      <c r="K39" s="27">
        <f t="shared" si="34"/>
        <v>120.7</v>
      </c>
      <c r="L39" s="27">
        <f t="shared" si="34"/>
        <v>120.7</v>
      </c>
      <c r="M39" s="27">
        <f aca="true" t="shared" si="35" ref="M39:N39">M40</f>
        <v>219.3</v>
      </c>
      <c r="N39" s="27">
        <f t="shared" si="35"/>
        <v>41.3</v>
      </c>
      <c r="O39" s="27">
        <f t="shared" si="4"/>
        <v>18.83264933880529</v>
      </c>
    </row>
    <row r="40" spans="1:15" ht="15.75">
      <c r="A40" s="26" t="s">
        <v>621</v>
      </c>
      <c r="B40" s="215">
        <v>902</v>
      </c>
      <c r="C40" s="213" t="s">
        <v>170</v>
      </c>
      <c r="D40" s="213" t="s">
        <v>202</v>
      </c>
      <c r="E40" s="213" t="s">
        <v>178</v>
      </c>
      <c r="F40" s="213" t="s">
        <v>190</v>
      </c>
      <c r="G40" s="28">
        <f>90.7+30</f>
        <v>120.7</v>
      </c>
      <c r="H40" s="28">
        <v>226.6</v>
      </c>
      <c r="I40" s="28">
        <v>269</v>
      </c>
      <c r="J40" s="28">
        <f aca="true" t="shared" si="36" ref="J40:L40">90.7+30</f>
        <v>120.7</v>
      </c>
      <c r="K40" s="28">
        <f t="shared" si="36"/>
        <v>120.7</v>
      </c>
      <c r="L40" s="28">
        <f t="shared" si="36"/>
        <v>120.7</v>
      </c>
      <c r="M40" s="28">
        <f>90.7+30+98.6</f>
        <v>219.3</v>
      </c>
      <c r="N40" s="28">
        <v>41.3</v>
      </c>
      <c r="O40" s="27">
        <f t="shared" si="4"/>
        <v>18.83264933880529</v>
      </c>
    </row>
    <row r="41" spans="1:15" ht="31.5">
      <c r="A41" s="26" t="s">
        <v>203</v>
      </c>
      <c r="B41" s="215">
        <v>902</v>
      </c>
      <c r="C41" s="213" t="s">
        <v>170</v>
      </c>
      <c r="D41" s="213" t="s">
        <v>202</v>
      </c>
      <c r="E41" s="213" t="s">
        <v>204</v>
      </c>
      <c r="F41" s="213"/>
      <c r="G41" s="27">
        <f aca="true" t="shared" si="37" ref="G41:L42">G42</f>
        <v>3545.6</v>
      </c>
      <c r="H41" s="27">
        <f t="shared" si="37"/>
        <v>2459.6</v>
      </c>
      <c r="I41" s="27">
        <f t="shared" si="37"/>
        <v>3545.6</v>
      </c>
      <c r="J41" s="27">
        <f t="shared" si="37"/>
        <v>3232.8</v>
      </c>
      <c r="K41" s="27">
        <f t="shared" si="37"/>
        <v>3232.8</v>
      </c>
      <c r="L41" s="27">
        <f t="shared" si="37"/>
        <v>3232.8</v>
      </c>
      <c r="M41" s="27">
        <f aca="true" t="shared" si="38" ref="M41:N42">M42</f>
        <v>3545.6</v>
      </c>
      <c r="N41" s="27">
        <f t="shared" si="38"/>
        <v>1137.9</v>
      </c>
      <c r="O41" s="27">
        <f t="shared" si="4"/>
        <v>32.093298736462096</v>
      </c>
    </row>
    <row r="42" spans="1:15" ht="94.5">
      <c r="A42" s="26" t="s">
        <v>179</v>
      </c>
      <c r="B42" s="215">
        <v>902</v>
      </c>
      <c r="C42" s="213" t="s">
        <v>170</v>
      </c>
      <c r="D42" s="213" t="s">
        <v>202</v>
      </c>
      <c r="E42" s="213" t="s">
        <v>204</v>
      </c>
      <c r="F42" s="213" t="s">
        <v>180</v>
      </c>
      <c r="G42" s="27">
        <f>G43</f>
        <v>3545.6</v>
      </c>
      <c r="H42" s="27">
        <f>H43</f>
        <v>2459.6</v>
      </c>
      <c r="I42" s="27">
        <f t="shared" si="37"/>
        <v>3545.6</v>
      </c>
      <c r="J42" s="27">
        <f t="shared" si="37"/>
        <v>3232.8</v>
      </c>
      <c r="K42" s="27">
        <f t="shared" si="37"/>
        <v>3232.8</v>
      </c>
      <c r="L42" s="27">
        <f t="shared" si="37"/>
        <v>3232.8</v>
      </c>
      <c r="M42" s="27">
        <f t="shared" si="38"/>
        <v>3545.6</v>
      </c>
      <c r="N42" s="27">
        <f t="shared" si="38"/>
        <v>1137.9</v>
      </c>
      <c r="O42" s="27">
        <f t="shared" si="4"/>
        <v>32.093298736462096</v>
      </c>
    </row>
    <row r="43" spans="1:15" ht="31.5">
      <c r="A43" s="26" t="s">
        <v>181</v>
      </c>
      <c r="B43" s="215">
        <v>902</v>
      </c>
      <c r="C43" s="213" t="s">
        <v>170</v>
      </c>
      <c r="D43" s="213" t="s">
        <v>202</v>
      </c>
      <c r="E43" s="213" t="s">
        <v>204</v>
      </c>
      <c r="F43" s="213" t="s">
        <v>182</v>
      </c>
      <c r="G43" s="28">
        <v>3545.6</v>
      </c>
      <c r="H43" s="28">
        <v>2459.6</v>
      </c>
      <c r="I43" s="28">
        <v>3545.6</v>
      </c>
      <c r="J43" s="28">
        <v>3232.8</v>
      </c>
      <c r="K43" s="28">
        <f>J43</f>
        <v>3232.8</v>
      </c>
      <c r="L43" s="28">
        <f>K43</f>
        <v>3232.8</v>
      </c>
      <c r="M43" s="28">
        <v>3545.6</v>
      </c>
      <c r="N43" s="28">
        <v>1137.9</v>
      </c>
      <c r="O43" s="27">
        <f t="shared" si="4"/>
        <v>32.093298736462096</v>
      </c>
    </row>
    <row r="44" spans="1:15" ht="47.25">
      <c r="A44" s="26" t="s">
        <v>262</v>
      </c>
      <c r="B44" s="215">
        <v>902</v>
      </c>
      <c r="C44" s="213" t="s">
        <v>170</v>
      </c>
      <c r="D44" s="213" t="s">
        <v>202</v>
      </c>
      <c r="E44" s="213" t="s">
        <v>967</v>
      </c>
      <c r="F44" s="213"/>
      <c r="G44" s="28"/>
      <c r="H44" s="28"/>
      <c r="I44" s="28"/>
      <c r="J44" s="28"/>
      <c r="K44" s="28"/>
      <c r="L44" s="28"/>
      <c r="M44" s="28">
        <f>M45+M47</f>
        <v>2497.8</v>
      </c>
      <c r="N44" s="28">
        <f aca="true" t="shared" si="39" ref="N44">N45+N47</f>
        <v>1526.9</v>
      </c>
      <c r="O44" s="27">
        <f t="shared" si="4"/>
        <v>61.12979421891265</v>
      </c>
    </row>
    <row r="45" spans="1:15" ht="94.5">
      <c r="A45" s="26" t="s">
        <v>179</v>
      </c>
      <c r="B45" s="215">
        <v>902</v>
      </c>
      <c r="C45" s="213" t="s">
        <v>170</v>
      </c>
      <c r="D45" s="213" t="s">
        <v>202</v>
      </c>
      <c r="E45" s="213" t="s">
        <v>967</v>
      </c>
      <c r="F45" s="213" t="s">
        <v>180</v>
      </c>
      <c r="G45" s="28"/>
      <c r="H45" s="28"/>
      <c r="I45" s="28"/>
      <c r="J45" s="28"/>
      <c r="K45" s="28"/>
      <c r="L45" s="28"/>
      <c r="M45" s="28">
        <f>M46</f>
        <v>1872.4</v>
      </c>
      <c r="N45" s="28">
        <f aca="true" t="shared" si="40" ref="N45">N46</f>
        <v>1283.5</v>
      </c>
      <c r="O45" s="27">
        <f t="shared" si="4"/>
        <v>68.54838709677419</v>
      </c>
    </row>
    <row r="46" spans="1:15" ht="31.5">
      <c r="A46" s="26" t="s">
        <v>181</v>
      </c>
      <c r="B46" s="215">
        <v>902</v>
      </c>
      <c r="C46" s="213" t="s">
        <v>170</v>
      </c>
      <c r="D46" s="213" t="s">
        <v>202</v>
      </c>
      <c r="E46" s="213" t="s">
        <v>967</v>
      </c>
      <c r="F46" s="213" t="s">
        <v>182</v>
      </c>
      <c r="G46" s="28">
        <f>1952.2-57.2</f>
        <v>1895</v>
      </c>
      <c r="H46" s="28">
        <v>1551.3</v>
      </c>
      <c r="I46" s="28">
        <f aca="true" t="shared" si="41" ref="I46">1952.2-57.2</f>
        <v>1895</v>
      </c>
      <c r="J46" s="28">
        <v>1777</v>
      </c>
      <c r="K46" s="28">
        <v>1777</v>
      </c>
      <c r="L46" s="28">
        <v>1777</v>
      </c>
      <c r="M46" s="28">
        <f>1777+95.4</f>
        <v>1872.4</v>
      </c>
      <c r="N46" s="28">
        <v>1283.5</v>
      </c>
      <c r="O46" s="27">
        <f t="shared" si="4"/>
        <v>68.54838709677419</v>
      </c>
    </row>
    <row r="47" spans="1:15" ht="47.25">
      <c r="A47" s="26" t="s">
        <v>250</v>
      </c>
      <c r="B47" s="215">
        <v>902</v>
      </c>
      <c r="C47" s="213" t="s">
        <v>170</v>
      </c>
      <c r="D47" s="213" t="s">
        <v>202</v>
      </c>
      <c r="E47" s="213" t="s">
        <v>967</v>
      </c>
      <c r="F47" s="213" t="s">
        <v>184</v>
      </c>
      <c r="G47" s="27">
        <f>G48</f>
        <v>625.4</v>
      </c>
      <c r="H47" s="27">
        <f>H48</f>
        <v>322.5</v>
      </c>
      <c r="I47" s="27">
        <f aca="true" t="shared" si="42" ref="I47:N47">I48</f>
        <v>597.5</v>
      </c>
      <c r="J47" s="27">
        <f t="shared" si="42"/>
        <v>669.3</v>
      </c>
      <c r="K47" s="27">
        <f t="shared" si="42"/>
        <v>700.3</v>
      </c>
      <c r="L47" s="27">
        <f t="shared" si="42"/>
        <v>721.3</v>
      </c>
      <c r="M47" s="27">
        <f t="shared" si="42"/>
        <v>625.4</v>
      </c>
      <c r="N47" s="27">
        <f t="shared" si="42"/>
        <v>243.4</v>
      </c>
      <c r="O47" s="27">
        <f t="shared" si="4"/>
        <v>38.91909178125999</v>
      </c>
    </row>
    <row r="48" spans="1:15" ht="47.25">
      <c r="A48" s="26" t="s">
        <v>185</v>
      </c>
      <c r="B48" s="215">
        <v>902</v>
      </c>
      <c r="C48" s="213" t="s">
        <v>170</v>
      </c>
      <c r="D48" s="213" t="s">
        <v>202</v>
      </c>
      <c r="E48" s="213" t="s">
        <v>967</v>
      </c>
      <c r="F48" s="213" t="s">
        <v>186</v>
      </c>
      <c r="G48" s="27">
        <f>821.9-196.5</f>
        <v>625.4</v>
      </c>
      <c r="H48" s="27">
        <v>322.5</v>
      </c>
      <c r="I48" s="27">
        <v>597.5</v>
      </c>
      <c r="J48" s="27">
        <v>669.3</v>
      </c>
      <c r="K48" s="27">
        <v>700.3</v>
      </c>
      <c r="L48" s="27">
        <v>721.3</v>
      </c>
      <c r="M48" s="27">
        <f aca="true" t="shared" si="43" ref="M48">821.9-196.5</f>
        <v>625.4</v>
      </c>
      <c r="N48" s="27">
        <v>243.4</v>
      </c>
      <c r="O48" s="27">
        <f t="shared" si="4"/>
        <v>38.91909178125999</v>
      </c>
    </row>
    <row r="49" spans="1:15" ht="15.75">
      <c r="A49" s="26" t="s">
        <v>193</v>
      </c>
      <c r="B49" s="215">
        <v>902</v>
      </c>
      <c r="C49" s="213" t="s">
        <v>170</v>
      </c>
      <c r="D49" s="213" t="s">
        <v>202</v>
      </c>
      <c r="E49" s="213" t="s">
        <v>194</v>
      </c>
      <c r="F49" s="213"/>
      <c r="G49" s="30">
        <f>G50</f>
        <v>8079</v>
      </c>
      <c r="H49" s="30">
        <f>H50</f>
        <v>7046.900000000001</v>
      </c>
      <c r="I49" s="30">
        <f aca="true" t="shared" si="44" ref="I49:L49">I50</f>
        <v>8035.6</v>
      </c>
      <c r="J49" s="30">
        <f t="shared" si="44"/>
        <v>2339.9</v>
      </c>
      <c r="K49" s="30">
        <f t="shared" si="44"/>
        <v>2339.9</v>
      </c>
      <c r="L49" s="30">
        <f t="shared" si="44"/>
        <v>2339.9</v>
      </c>
      <c r="M49" s="30">
        <f aca="true" t="shared" si="45" ref="M49:N49">M50</f>
        <v>2553.5</v>
      </c>
      <c r="N49" s="30">
        <f t="shared" si="45"/>
        <v>1024.4</v>
      </c>
      <c r="O49" s="27">
        <f t="shared" si="4"/>
        <v>40.117485803798715</v>
      </c>
    </row>
    <row r="50" spans="1:15" ht="31.5">
      <c r="A50" s="26" t="s">
        <v>205</v>
      </c>
      <c r="B50" s="215">
        <v>902</v>
      </c>
      <c r="C50" s="213" t="s">
        <v>170</v>
      </c>
      <c r="D50" s="213" t="s">
        <v>202</v>
      </c>
      <c r="E50" s="213" t="s">
        <v>206</v>
      </c>
      <c r="F50" s="213"/>
      <c r="G50" s="27">
        <f>G51+G53</f>
        <v>8079</v>
      </c>
      <c r="H50" s="27">
        <f>H51+H53</f>
        <v>7046.900000000001</v>
      </c>
      <c r="I50" s="27">
        <f aca="true" t="shared" si="46" ref="I50:L50">I51+I53</f>
        <v>8035.6</v>
      </c>
      <c r="J50" s="27">
        <f t="shared" si="46"/>
        <v>2339.9</v>
      </c>
      <c r="K50" s="27">
        <f t="shared" si="46"/>
        <v>2339.9</v>
      </c>
      <c r="L50" s="27">
        <f t="shared" si="46"/>
        <v>2339.9</v>
      </c>
      <c r="M50" s="27">
        <f aca="true" t="shared" si="47" ref="M50:N50">M51+M53</f>
        <v>2553.5</v>
      </c>
      <c r="N50" s="27">
        <f t="shared" si="47"/>
        <v>1024.4</v>
      </c>
      <c r="O50" s="27">
        <f t="shared" si="4"/>
        <v>40.117485803798715</v>
      </c>
    </row>
    <row r="51" spans="1:15" ht="94.5">
      <c r="A51" s="26" t="s">
        <v>179</v>
      </c>
      <c r="B51" s="215">
        <v>902</v>
      </c>
      <c r="C51" s="213" t="s">
        <v>170</v>
      </c>
      <c r="D51" s="213" t="s">
        <v>202</v>
      </c>
      <c r="E51" s="213" t="s">
        <v>206</v>
      </c>
      <c r="F51" s="213" t="s">
        <v>180</v>
      </c>
      <c r="G51" s="27">
        <f>G52</f>
        <v>5821.2</v>
      </c>
      <c r="H51" s="27">
        <f>H52</f>
        <v>5210.1</v>
      </c>
      <c r="I51" s="27">
        <f aca="true" t="shared" si="48" ref="I51:L51">I52</f>
        <v>5817.2</v>
      </c>
      <c r="J51" s="27">
        <f t="shared" si="48"/>
        <v>2339.9</v>
      </c>
      <c r="K51" s="27">
        <f t="shared" si="48"/>
        <v>2339.9</v>
      </c>
      <c r="L51" s="27">
        <f t="shared" si="48"/>
        <v>2339.9</v>
      </c>
      <c r="M51" s="27">
        <f aca="true" t="shared" si="49" ref="M51:N51">M52</f>
        <v>2553.5</v>
      </c>
      <c r="N51" s="27">
        <f t="shared" si="49"/>
        <v>1024.4</v>
      </c>
      <c r="O51" s="27">
        <f t="shared" si="4"/>
        <v>40.117485803798715</v>
      </c>
    </row>
    <row r="52" spans="1:15" ht="31.5">
      <c r="A52" s="26" t="s">
        <v>181</v>
      </c>
      <c r="B52" s="215">
        <v>902</v>
      </c>
      <c r="C52" s="213" t="s">
        <v>170</v>
      </c>
      <c r="D52" s="213" t="s">
        <v>202</v>
      </c>
      <c r="E52" s="213" t="s">
        <v>206</v>
      </c>
      <c r="F52" s="213" t="s">
        <v>182</v>
      </c>
      <c r="G52" s="28">
        <f>6958.6+88.4-2398.3+1112.5+60</f>
        <v>5821.2</v>
      </c>
      <c r="H52" s="28">
        <v>5210.1</v>
      </c>
      <c r="I52" s="28">
        <v>5817.2</v>
      </c>
      <c r="J52" s="28">
        <v>2339.9</v>
      </c>
      <c r="K52" s="28">
        <v>2339.9</v>
      </c>
      <c r="L52" s="28">
        <v>2339.9</v>
      </c>
      <c r="M52" s="28">
        <f>2339.9+250-36.4</f>
        <v>2553.5</v>
      </c>
      <c r="N52" s="28">
        <v>1024.4</v>
      </c>
      <c r="O52" s="27">
        <f t="shared" si="4"/>
        <v>40.117485803798715</v>
      </c>
    </row>
    <row r="53" spans="1:15" ht="31.5" hidden="1">
      <c r="A53" s="26" t="s">
        <v>183</v>
      </c>
      <c r="B53" s="215">
        <v>902</v>
      </c>
      <c r="C53" s="213" t="s">
        <v>170</v>
      </c>
      <c r="D53" s="213" t="s">
        <v>202</v>
      </c>
      <c r="E53" s="213" t="s">
        <v>206</v>
      </c>
      <c r="F53" s="213" t="s">
        <v>184</v>
      </c>
      <c r="G53" s="27">
        <f>G54</f>
        <v>2257.8</v>
      </c>
      <c r="H53" s="27">
        <f>H54</f>
        <v>1836.8</v>
      </c>
      <c r="I53" s="27">
        <f aca="true" t="shared" si="50" ref="I53:L53">I54</f>
        <v>2218.4</v>
      </c>
      <c r="J53" s="27">
        <f t="shared" si="50"/>
        <v>0</v>
      </c>
      <c r="K53" s="27">
        <f t="shared" si="50"/>
        <v>0</v>
      </c>
      <c r="L53" s="27">
        <f t="shared" si="50"/>
        <v>0</v>
      </c>
      <c r="M53" s="27">
        <f aca="true" t="shared" si="51" ref="M53:N53">M54</f>
        <v>0</v>
      </c>
      <c r="N53" s="27">
        <f t="shared" si="51"/>
        <v>0</v>
      </c>
      <c r="O53" s="22" t="e">
        <f t="shared" si="4"/>
        <v>#DIV/0!</v>
      </c>
    </row>
    <row r="54" spans="1:15" ht="47.25" hidden="1">
      <c r="A54" s="26" t="s">
        <v>185</v>
      </c>
      <c r="B54" s="215">
        <v>902</v>
      </c>
      <c r="C54" s="213" t="s">
        <v>170</v>
      </c>
      <c r="D54" s="213" t="s">
        <v>202</v>
      </c>
      <c r="E54" s="213" t="s">
        <v>206</v>
      </c>
      <c r="F54" s="213" t="s">
        <v>186</v>
      </c>
      <c r="G54" s="28">
        <f>2109.3+129.9+835.5-1438.1+621.2</f>
        <v>2257.8</v>
      </c>
      <c r="H54" s="28">
        <v>1836.8</v>
      </c>
      <c r="I54" s="28">
        <v>2218.4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2" t="e">
        <f t="shared" si="4"/>
        <v>#DIV/0!</v>
      </c>
    </row>
    <row r="55" spans="1:15" ht="63">
      <c r="A55" s="24" t="s">
        <v>171</v>
      </c>
      <c r="B55" s="212">
        <v>902</v>
      </c>
      <c r="C55" s="214" t="s">
        <v>170</v>
      </c>
      <c r="D55" s="214" t="s">
        <v>172</v>
      </c>
      <c r="E55" s="214"/>
      <c r="F55" s="213"/>
      <c r="G55" s="22">
        <f>G56</f>
        <v>1081.7</v>
      </c>
      <c r="H55" s="22">
        <f>H56</f>
        <v>917.4</v>
      </c>
      <c r="I55" s="22">
        <f aca="true" t="shared" si="52" ref="I55:L55">I56</f>
        <v>1081.7</v>
      </c>
      <c r="J55" s="22">
        <f t="shared" si="52"/>
        <v>2634.4</v>
      </c>
      <c r="K55" s="22">
        <f t="shared" si="52"/>
        <v>2634.4</v>
      </c>
      <c r="L55" s="22">
        <f t="shared" si="52"/>
        <v>2634.4</v>
      </c>
      <c r="M55" s="22">
        <f aca="true" t="shared" si="53" ref="M55:N57">M56</f>
        <v>1081.7</v>
      </c>
      <c r="N55" s="22">
        <f t="shared" si="53"/>
        <v>518.2</v>
      </c>
      <c r="O55" s="22">
        <f t="shared" si="4"/>
        <v>47.9060737727651</v>
      </c>
    </row>
    <row r="56" spans="1:15" ht="21" customHeight="1">
      <c r="A56" s="26" t="s">
        <v>173</v>
      </c>
      <c r="B56" s="215">
        <v>902</v>
      </c>
      <c r="C56" s="213" t="s">
        <v>170</v>
      </c>
      <c r="D56" s="213" t="s">
        <v>172</v>
      </c>
      <c r="E56" s="213" t="s">
        <v>174</v>
      </c>
      <c r="F56" s="213"/>
      <c r="G56" s="27">
        <f aca="true" t="shared" si="54" ref="G56:L57">G57</f>
        <v>1081.7</v>
      </c>
      <c r="H56" s="27">
        <f t="shared" si="54"/>
        <v>917.4</v>
      </c>
      <c r="I56" s="27">
        <f t="shared" si="54"/>
        <v>1081.7</v>
      </c>
      <c r="J56" s="27">
        <f t="shared" si="54"/>
        <v>2634.4</v>
      </c>
      <c r="K56" s="27">
        <f t="shared" si="54"/>
        <v>2634.4</v>
      </c>
      <c r="L56" s="27">
        <f t="shared" si="54"/>
        <v>2634.4</v>
      </c>
      <c r="M56" s="27">
        <f t="shared" si="53"/>
        <v>1081.7</v>
      </c>
      <c r="N56" s="27">
        <f t="shared" si="53"/>
        <v>518.2</v>
      </c>
      <c r="O56" s="27">
        <f t="shared" si="4"/>
        <v>47.9060737727651</v>
      </c>
    </row>
    <row r="57" spans="1:15" ht="31.5">
      <c r="A57" s="26" t="s">
        <v>175</v>
      </c>
      <c r="B57" s="215">
        <v>902</v>
      </c>
      <c r="C57" s="213" t="s">
        <v>170</v>
      </c>
      <c r="D57" s="213" t="s">
        <v>172</v>
      </c>
      <c r="E57" s="213" t="s">
        <v>176</v>
      </c>
      <c r="F57" s="213"/>
      <c r="G57" s="27">
        <f>G58</f>
        <v>1081.7</v>
      </c>
      <c r="H57" s="27">
        <f>H58</f>
        <v>917.4</v>
      </c>
      <c r="I57" s="27">
        <f t="shared" si="54"/>
        <v>1081.7</v>
      </c>
      <c r="J57" s="27">
        <f t="shared" si="54"/>
        <v>2634.4</v>
      </c>
      <c r="K57" s="27">
        <f t="shared" si="54"/>
        <v>2634.4</v>
      </c>
      <c r="L57" s="27">
        <f t="shared" si="54"/>
        <v>2634.4</v>
      </c>
      <c r="M57" s="27">
        <f t="shared" si="53"/>
        <v>1081.7</v>
      </c>
      <c r="N57" s="27">
        <f t="shared" si="53"/>
        <v>518.2</v>
      </c>
      <c r="O57" s="27">
        <f t="shared" si="4"/>
        <v>47.9060737727651</v>
      </c>
    </row>
    <row r="58" spans="1:15" ht="47.25">
      <c r="A58" s="26" t="s">
        <v>177</v>
      </c>
      <c r="B58" s="215">
        <v>902</v>
      </c>
      <c r="C58" s="213" t="s">
        <v>170</v>
      </c>
      <c r="D58" s="213" t="s">
        <v>172</v>
      </c>
      <c r="E58" s="213" t="s">
        <v>178</v>
      </c>
      <c r="F58" s="213"/>
      <c r="G58" s="27">
        <f>G59+G61</f>
        <v>1081.7</v>
      </c>
      <c r="H58" s="27">
        <f>H59+H61</f>
        <v>917.4</v>
      </c>
      <c r="I58" s="27">
        <f aca="true" t="shared" si="55" ref="I58:L58">I59+I61</f>
        <v>1081.7</v>
      </c>
      <c r="J58" s="27">
        <f t="shared" si="55"/>
        <v>2634.4</v>
      </c>
      <c r="K58" s="27">
        <f t="shared" si="55"/>
        <v>2634.4</v>
      </c>
      <c r="L58" s="27">
        <f t="shared" si="55"/>
        <v>2634.4</v>
      </c>
      <c r="M58" s="27">
        <f aca="true" t="shared" si="56" ref="M58:N58">M59+M61</f>
        <v>1081.7</v>
      </c>
      <c r="N58" s="27">
        <f t="shared" si="56"/>
        <v>518.2</v>
      </c>
      <c r="O58" s="27">
        <f t="shared" si="4"/>
        <v>47.9060737727651</v>
      </c>
    </row>
    <row r="59" spans="1:15" ht="94.5">
      <c r="A59" s="26" t="s">
        <v>179</v>
      </c>
      <c r="B59" s="215">
        <v>902</v>
      </c>
      <c r="C59" s="213" t="s">
        <v>170</v>
      </c>
      <c r="D59" s="213" t="s">
        <v>172</v>
      </c>
      <c r="E59" s="213" t="s">
        <v>178</v>
      </c>
      <c r="F59" s="213" t="s">
        <v>180</v>
      </c>
      <c r="G59" s="27">
        <f>G60</f>
        <v>1081.7</v>
      </c>
      <c r="H59" s="27">
        <f>H60</f>
        <v>917.4</v>
      </c>
      <c r="I59" s="27">
        <f aca="true" t="shared" si="57" ref="I59:L59">I60</f>
        <v>1081.7</v>
      </c>
      <c r="J59" s="27">
        <f t="shared" si="57"/>
        <v>2634.4</v>
      </c>
      <c r="K59" s="27">
        <f t="shared" si="57"/>
        <v>2634.4</v>
      </c>
      <c r="L59" s="27">
        <f t="shared" si="57"/>
        <v>2634.4</v>
      </c>
      <c r="M59" s="27">
        <f aca="true" t="shared" si="58" ref="M59:N59">M60</f>
        <v>1081.7</v>
      </c>
      <c r="N59" s="27">
        <f t="shared" si="58"/>
        <v>518.2</v>
      </c>
      <c r="O59" s="27">
        <f t="shared" si="4"/>
        <v>47.9060737727651</v>
      </c>
    </row>
    <row r="60" spans="1:15" ht="31.5">
      <c r="A60" s="26" t="s">
        <v>181</v>
      </c>
      <c r="B60" s="215">
        <v>902</v>
      </c>
      <c r="C60" s="213" t="s">
        <v>170</v>
      </c>
      <c r="D60" s="213" t="s">
        <v>172</v>
      </c>
      <c r="E60" s="213" t="s">
        <v>178</v>
      </c>
      <c r="F60" s="213" t="s">
        <v>182</v>
      </c>
      <c r="G60" s="28">
        <f>1081.7</f>
        <v>1081.7</v>
      </c>
      <c r="H60" s="28">
        <v>917.4</v>
      </c>
      <c r="I60" s="28">
        <v>1081.7</v>
      </c>
      <c r="J60" s="28">
        <v>2634.4</v>
      </c>
      <c r="K60" s="28">
        <v>2634.4</v>
      </c>
      <c r="L60" s="28">
        <v>2634.4</v>
      </c>
      <c r="M60" s="28">
        <f aca="true" t="shared" si="59" ref="M60">1081.7</f>
        <v>1081.7</v>
      </c>
      <c r="N60" s="28">
        <v>518.2</v>
      </c>
      <c r="O60" s="27">
        <f t="shared" si="4"/>
        <v>47.9060737727651</v>
      </c>
    </row>
    <row r="61" spans="1:15" ht="31.5" customHeight="1" hidden="1">
      <c r="A61" s="26" t="s">
        <v>183</v>
      </c>
      <c r="B61" s="215">
        <v>902</v>
      </c>
      <c r="C61" s="213" t="s">
        <v>170</v>
      </c>
      <c r="D61" s="213" t="s">
        <v>172</v>
      </c>
      <c r="E61" s="213" t="s">
        <v>178</v>
      </c>
      <c r="F61" s="213" t="s">
        <v>184</v>
      </c>
      <c r="G61" s="28">
        <f>G62</f>
        <v>0</v>
      </c>
      <c r="H61" s="28">
        <f>H62</f>
        <v>0</v>
      </c>
      <c r="I61" s="28">
        <f aca="true" t="shared" si="60" ref="I61:L61">I62</f>
        <v>0</v>
      </c>
      <c r="J61" s="28">
        <f t="shared" si="60"/>
        <v>0</v>
      </c>
      <c r="K61" s="28">
        <f t="shared" si="60"/>
        <v>0</v>
      </c>
      <c r="L61" s="28">
        <f t="shared" si="60"/>
        <v>0</v>
      </c>
      <c r="M61" s="28">
        <f aca="true" t="shared" si="61" ref="M61:N61">M62</f>
        <v>0</v>
      </c>
      <c r="N61" s="28">
        <f t="shared" si="61"/>
        <v>0</v>
      </c>
      <c r="O61" s="22" t="e">
        <f t="shared" si="4"/>
        <v>#DIV/0!</v>
      </c>
    </row>
    <row r="62" spans="1:15" ht="47.25" customHeight="1" hidden="1">
      <c r="A62" s="26" t="s">
        <v>185</v>
      </c>
      <c r="B62" s="215">
        <v>902</v>
      </c>
      <c r="C62" s="213" t="s">
        <v>170</v>
      </c>
      <c r="D62" s="213" t="s">
        <v>172</v>
      </c>
      <c r="E62" s="213" t="s">
        <v>178</v>
      </c>
      <c r="F62" s="213" t="s">
        <v>186</v>
      </c>
      <c r="G62" s="28"/>
      <c r="H62" s="28"/>
      <c r="I62" s="28"/>
      <c r="J62" s="28"/>
      <c r="K62" s="28"/>
      <c r="L62" s="28"/>
      <c r="M62" s="28"/>
      <c r="N62" s="28"/>
      <c r="O62" s="22" t="e">
        <f t="shared" si="4"/>
        <v>#DIV/0!</v>
      </c>
    </row>
    <row r="63" spans="1:16" ht="15.75">
      <c r="A63" s="24" t="s">
        <v>191</v>
      </c>
      <c r="B63" s="212">
        <v>902</v>
      </c>
      <c r="C63" s="214" t="s">
        <v>170</v>
      </c>
      <c r="D63" s="214" t="s">
        <v>192</v>
      </c>
      <c r="E63" s="214"/>
      <c r="F63" s="214"/>
      <c r="G63" s="22">
        <f>G64+G68+G80+G93+G107+G97</f>
        <v>13472.8</v>
      </c>
      <c r="H63" s="22">
        <f>H64+H68+H80+H93+H107+H97</f>
        <v>8996.5</v>
      </c>
      <c r="I63" s="22">
        <f>I64+I68+I80+I93+I107+I97</f>
        <v>13403.699999999999</v>
      </c>
      <c r="J63" s="22">
        <f aca="true" t="shared" si="62" ref="J63:L63">J64+J68+J80+J93+J107+J97</f>
        <v>14455.199999999999</v>
      </c>
      <c r="K63" s="22">
        <f t="shared" si="62"/>
        <v>14601.1</v>
      </c>
      <c r="L63" s="22">
        <f t="shared" si="62"/>
        <v>14727.4</v>
      </c>
      <c r="M63" s="22">
        <f>M64+M68+M80+M93+M107+M97</f>
        <v>10859.9</v>
      </c>
      <c r="N63" s="22">
        <f aca="true" t="shared" si="63" ref="N63">N64+N68+N80+N93+N107+N97</f>
        <v>4814.3</v>
      </c>
      <c r="O63" s="22">
        <f t="shared" si="4"/>
        <v>44.33097910662161</v>
      </c>
      <c r="P63" s="139"/>
    </row>
    <row r="64" spans="1:15" ht="51" customHeight="1" hidden="1">
      <c r="A64" s="26" t="s">
        <v>207</v>
      </c>
      <c r="B64" s="215">
        <v>902</v>
      </c>
      <c r="C64" s="213" t="s">
        <v>170</v>
      </c>
      <c r="D64" s="213" t="s">
        <v>192</v>
      </c>
      <c r="E64" s="213" t="s">
        <v>208</v>
      </c>
      <c r="F64" s="213"/>
      <c r="G64" s="27">
        <f>G65</f>
        <v>250</v>
      </c>
      <c r="H64" s="27">
        <f aca="true" t="shared" si="64" ref="H64:H66">H65</f>
        <v>0</v>
      </c>
      <c r="I64" s="27">
        <f aca="true" t="shared" si="65" ref="I64:L66">I65</f>
        <v>250</v>
      </c>
      <c r="J64" s="27">
        <f t="shared" si="65"/>
        <v>0</v>
      </c>
      <c r="K64" s="27">
        <f t="shared" si="65"/>
        <v>0</v>
      </c>
      <c r="L64" s="27">
        <f t="shared" si="65"/>
        <v>0</v>
      </c>
      <c r="M64" s="27">
        <f aca="true" t="shared" si="66" ref="M64:N66">M65</f>
        <v>0</v>
      </c>
      <c r="N64" s="27">
        <f t="shared" si="66"/>
        <v>0</v>
      </c>
      <c r="O64" s="22" t="e">
        <f t="shared" si="4"/>
        <v>#DIV/0!</v>
      </c>
    </row>
    <row r="65" spans="1:15" ht="31.5" hidden="1">
      <c r="A65" s="26" t="s">
        <v>209</v>
      </c>
      <c r="B65" s="215">
        <v>902</v>
      </c>
      <c r="C65" s="213" t="s">
        <v>170</v>
      </c>
      <c r="D65" s="213" t="s">
        <v>192</v>
      </c>
      <c r="E65" s="213" t="s">
        <v>210</v>
      </c>
      <c r="F65" s="213"/>
      <c r="G65" s="27">
        <f>G66</f>
        <v>250</v>
      </c>
      <c r="H65" s="27">
        <f t="shared" si="64"/>
        <v>0</v>
      </c>
      <c r="I65" s="27">
        <f t="shared" si="65"/>
        <v>250</v>
      </c>
      <c r="J65" s="27">
        <f t="shared" si="65"/>
        <v>0</v>
      </c>
      <c r="K65" s="27">
        <f t="shared" si="65"/>
        <v>0</v>
      </c>
      <c r="L65" s="27">
        <f t="shared" si="65"/>
        <v>0</v>
      </c>
      <c r="M65" s="27">
        <f t="shared" si="66"/>
        <v>0</v>
      </c>
      <c r="N65" s="27">
        <f t="shared" si="66"/>
        <v>0</v>
      </c>
      <c r="O65" s="22" t="e">
        <f t="shared" si="4"/>
        <v>#DIV/0!</v>
      </c>
    </row>
    <row r="66" spans="1:15" ht="15.75" hidden="1">
      <c r="A66" s="26" t="s">
        <v>187</v>
      </c>
      <c r="B66" s="215">
        <v>902</v>
      </c>
      <c r="C66" s="213" t="s">
        <v>170</v>
      </c>
      <c r="D66" s="213" t="s">
        <v>192</v>
      </c>
      <c r="E66" s="213" t="s">
        <v>210</v>
      </c>
      <c r="F66" s="213" t="s">
        <v>197</v>
      </c>
      <c r="G66" s="27">
        <f>G67</f>
        <v>250</v>
      </c>
      <c r="H66" s="27">
        <f t="shared" si="64"/>
        <v>0</v>
      </c>
      <c r="I66" s="27">
        <f t="shared" si="65"/>
        <v>250</v>
      </c>
      <c r="J66" s="27">
        <f t="shared" si="65"/>
        <v>0</v>
      </c>
      <c r="K66" s="27">
        <f t="shared" si="65"/>
        <v>0</v>
      </c>
      <c r="L66" s="27">
        <f t="shared" si="65"/>
        <v>0</v>
      </c>
      <c r="M66" s="27">
        <f t="shared" si="66"/>
        <v>0</v>
      </c>
      <c r="N66" s="27">
        <f t="shared" si="66"/>
        <v>0</v>
      </c>
      <c r="O66" s="22" t="e">
        <f t="shared" si="4"/>
        <v>#DIV/0!</v>
      </c>
    </row>
    <row r="67" spans="1:15" ht="66.75" customHeight="1" hidden="1">
      <c r="A67" s="26" t="s">
        <v>211</v>
      </c>
      <c r="B67" s="215">
        <v>902</v>
      </c>
      <c r="C67" s="213" t="s">
        <v>170</v>
      </c>
      <c r="D67" s="213" t="s">
        <v>192</v>
      </c>
      <c r="E67" s="213" t="s">
        <v>210</v>
      </c>
      <c r="F67" s="213" t="s">
        <v>212</v>
      </c>
      <c r="G67" s="27">
        <f>100+150</f>
        <v>250</v>
      </c>
      <c r="H67" s="27">
        <v>0</v>
      </c>
      <c r="I67" s="27">
        <f aca="true" t="shared" si="67" ref="I67">100+150</f>
        <v>250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2" t="e">
        <f t="shared" si="4"/>
        <v>#DIV/0!</v>
      </c>
    </row>
    <row r="68" spans="1:15" ht="47.25">
      <c r="A68" s="26" t="s">
        <v>1014</v>
      </c>
      <c r="B68" s="215">
        <v>902</v>
      </c>
      <c r="C68" s="213" t="s">
        <v>170</v>
      </c>
      <c r="D68" s="213" t="s">
        <v>192</v>
      </c>
      <c r="E68" s="213" t="s">
        <v>214</v>
      </c>
      <c r="F68" s="213"/>
      <c r="G68" s="27">
        <f>G69+G72+G77</f>
        <v>653.5</v>
      </c>
      <c r="H68" s="27">
        <f>H69+H72+H77</f>
        <v>412.49999999999994</v>
      </c>
      <c r="I68" s="27">
        <f aca="true" t="shared" si="68" ref="I68:L68">I69+I72+I77</f>
        <v>653.5</v>
      </c>
      <c r="J68" s="27">
        <f t="shared" si="68"/>
        <v>668.5</v>
      </c>
      <c r="K68" s="27">
        <f t="shared" si="68"/>
        <v>668.5</v>
      </c>
      <c r="L68" s="27">
        <f t="shared" si="68"/>
        <v>668.5</v>
      </c>
      <c r="M68" s="27">
        <f aca="true" t="shared" si="69" ref="M68:N68">M69+M72+M77</f>
        <v>740.5</v>
      </c>
      <c r="N68" s="27">
        <f t="shared" si="69"/>
        <v>313.8</v>
      </c>
      <c r="O68" s="27">
        <f t="shared" si="4"/>
        <v>42.37677245104659</v>
      </c>
    </row>
    <row r="69" spans="1:15" ht="31.5">
      <c r="A69" s="31" t="s">
        <v>215</v>
      </c>
      <c r="B69" s="215">
        <v>902</v>
      </c>
      <c r="C69" s="213" t="s">
        <v>170</v>
      </c>
      <c r="D69" s="213" t="s">
        <v>192</v>
      </c>
      <c r="E69" s="216" t="s">
        <v>216</v>
      </c>
      <c r="F69" s="213"/>
      <c r="G69" s="27">
        <f>G70</f>
        <v>428.1</v>
      </c>
      <c r="H69" s="27">
        <f>H70</f>
        <v>269.9</v>
      </c>
      <c r="I69" s="27">
        <f aca="true" t="shared" si="70" ref="I69:L70">I70</f>
        <v>428.1</v>
      </c>
      <c r="J69" s="27">
        <f t="shared" si="70"/>
        <v>428.1</v>
      </c>
      <c r="K69" s="27">
        <f t="shared" si="70"/>
        <v>428.1</v>
      </c>
      <c r="L69" s="27">
        <f t="shared" si="70"/>
        <v>428.1</v>
      </c>
      <c r="M69" s="27">
        <f aca="true" t="shared" si="71" ref="M69:N70">M70</f>
        <v>491</v>
      </c>
      <c r="N69" s="27">
        <f t="shared" si="71"/>
        <v>201.9</v>
      </c>
      <c r="O69" s="27">
        <f t="shared" si="4"/>
        <v>41.12016293279023</v>
      </c>
    </row>
    <row r="70" spans="1:15" ht="31.5">
      <c r="A70" s="26" t="s">
        <v>183</v>
      </c>
      <c r="B70" s="215">
        <v>902</v>
      </c>
      <c r="C70" s="213" t="s">
        <v>170</v>
      </c>
      <c r="D70" s="213" t="s">
        <v>192</v>
      </c>
      <c r="E70" s="216" t="s">
        <v>216</v>
      </c>
      <c r="F70" s="213" t="s">
        <v>184</v>
      </c>
      <c r="G70" s="27">
        <f>G71</f>
        <v>428.1</v>
      </c>
      <c r="H70" s="27">
        <f>H71</f>
        <v>269.9</v>
      </c>
      <c r="I70" s="27">
        <f t="shared" si="70"/>
        <v>428.1</v>
      </c>
      <c r="J70" s="27">
        <f t="shared" si="70"/>
        <v>428.1</v>
      </c>
      <c r="K70" s="27">
        <f t="shared" si="70"/>
        <v>428.1</v>
      </c>
      <c r="L70" s="27">
        <f t="shared" si="70"/>
        <v>428.1</v>
      </c>
      <c r="M70" s="27">
        <f t="shared" si="71"/>
        <v>491</v>
      </c>
      <c r="N70" s="27">
        <f t="shared" si="71"/>
        <v>201.9</v>
      </c>
      <c r="O70" s="27">
        <f t="shared" si="4"/>
        <v>41.12016293279023</v>
      </c>
    </row>
    <row r="71" spans="1:15" ht="47.25">
      <c r="A71" s="26" t="s">
        <v>185</v>
      </c>
      <c r="B71" s="215">
        <v>902</v>
      </c>
      <c r="C71" s="213" t="s">
        <v>170</v>
      </c>
      <c r="D71" s="213" t="s">
        <v>192</v>
      </c>
      <c r="E71" s="216" t="s">
        <v>216</v>
      </c>
      <c r="F71" s="213" t="s">
        <v>186</v>
      </c>
      <c r="G71" s="27">
        <f>494.3-66.2</f>
        <v>428.1</v>
      </c>
      <c r="H71" s="27">
        <v>269.9</v>
      </c>
      <c r="I71" s="27">
        <f aca="true" t="shared" si="72" ref="I71:L71">494.3-66.2</f>
        <v>428.1</v>
      </c>
      <c r="J71" s="27">
        <f t="shared" si="72"/>
        <v>428.1</v>
      </c>
      <c r="K71" s="27">
        <f t="shared" si="72"/>
        <v>428.1</v>
      </c>
      <c r="L71" s="27">
        <f t="shared" si="72"/>
        <v>428.1</v>
      </c>
      <c r="M71" s="27">
        <f>428.1+62.9</f>
        <v>491</v>
      </c>
      <c r="N71" s="27">
        <v>201.9</v>
      </c>
      <c r="O71" s="27">
        <f t="shared" si="4"/>
        <v>41.12016293279023</v>
      </c>
    </row>
    <row r="72" spans="1:15" ht="63">
      <c r="A72" s="205" t="s">
        <v>217</v>
      </c>
      <c r="B72" s="215">
        <v>902</v>
      </c>
      <c r="C72" s="213" t="s">
        <v>170</v>
      </c>
      <c r="D72" s="213" t="s">
        <v>192</v>
      </c>
      <c r="E72" s="216" t="s">
        <v>218</v>
      </c>
      <c r="F72" s="213"/>
      <c r="G72" s="27">
        <f>G73+G75</f>
        <v>224.89999999999998</v>
      </c>
      <c r="H72" s="27">
        <f>H73+H75</f>
        <v>142.4</v>
      </c>
      <c r="I72" s="27">
        <f aca="true" t="shared" si="73" ref="I72:L72">I73+I75</f>
        <v>224.89999999999998</v>
      </c>
      <c r="J72" s="27">
        <f t="shared" si="73"/>
        <v>239.89999999999998</v>
      </c>
      <c r="K72" s="27">
        <f t="shared" si="73"/>
        <v>239.89999999999998</v>
      </c>
      <c r="L72" s="27">
        <f t="shared" si="73"/>
        <v>239.89999999999998</v>
      </c>
      <c r="M72" s="27">
        <f aca="true" t="shared" si="74" ref="M72:N72">M73+M75</f>
        <v>249.5</v>
      </c>
      <c r="N72" s="27">
        <f t="shared" si="74"/>
        <v>111.9</v>
      </c>
      <c r="O72" s="27">
        <f t="shared" si="4"/>
        <v>44.8496993987976</v>
      </c>
    </row>
    <row r="73" spans="1:15" ht="94.5">
      <c r="A73" s="26" t="s">
        <v>179</v>
      </c>
      <c r="B73" s="215">
        <v>902</v>
      </c>
      <c r="C73" s="213" t="s">
        <v>170</v>
      </c>
      <c r="D73" s="213" t="s">
        <v>192</v>
      </c>
      <c r="E73" s="216" t="s">
        <v>218</v>
      </c>
      <c r="F73" s="213" t="s">
        <v>180</v>
      </c>
      <c r="G73" s="27">
        <f>G74</f>
        <v>159.7</v>
      </c>
      <c r="H73" s="27">
        <f>H74</f>
        <v>79.9</v>
      </c>
      <c r="I73" s="27">
        <f aca="true" t="shared" si="75" ref="I73:L73">I74</f>
        <v>159.7</v>
      </c>
      <c r="J73" s="27">
        <f t="shared" si="75"/>
        <v>159.7</v>
      </c>
      <c r="K73" s="27">
        <f t="shared" si="75"/>
        <v>159.7</v>
      </c>
      <c r="L73" s="27">
        <f t="shared" si="75"/>
        <v>159.7</v>
      </c>
      <c r="M73" s="27">
        <f aca="true" t="shared" si="76" ref="M73:N73">M74</f>
        <v>159.7</v>
      </c>
      <c r="N73" s="27">
        <f t="shared" si="76"/>
        <v>86.4</v>
      </c>
      <c r="O73" s="27">
        <f t="shared" si="4"/>
        <v>54.10144020037572</v>
      </c>
    </row>
    <row r="74" spans="1:15" ht="31.5">
      <c r="A74" s="26" t="s">
        <v>181</v>
      </c>
      <c r="B74" s="215">
        <v>902</v>
      </c>
      <c r="C74" s="213" t="s">
        <v>170</v>
      </c>
      <c r="D74" s="213" t="s">
        <v>192</v>
      </c>
      <c r="E74" s="216" t="s">
        <v>218</v>
      </c>
      <c r="F74" s="213" t="s">
        <v>182</v>
      </c>
      <c r="G74" s="27">
        <v>159.7</v>
      </c>
      <c r="H74" s="27">
        <v>79.9</v>
      </c>
      <c r="I74" s="27">
        <v>159.7</v>
      </c>
      <c r="J74" s="27">
        <v>159.7</v>
      </c>
      <c r="K74" s="27">
        <v>159.7</v>
      </c>
      <c r="L74" s="27">
        <v>159.7</v>
      </c>
      <c r="M74" s="27">
        <v>159.7</v>
      </c>
      <c r="N74" s="27">
        <v>86.4</v>
      </c>
      <c r="O74" s="27">
        <f t="shared" si="4"/>
        <v>54.10144020037572</v>
      </c>
    </row>
    <row r="75" spans="1:15" ht="31.5">
      <c r="A75" s="26" t="s">
        <v>183</v>
      </c>
      <c r="B75" s="215">
        <v>902</v>
      </c>
      <c r="C75" s="213" t="s">
        <v>170</v>
      </c>
      <c r="D75" s="213" t="s">
        <v>192</v>
      </c>
      <c r="E75" s="216" t="s">
        <v>218</v>
      </c>
      <c r="F75" s="213" t="s">
        <v>184</v>
      </c>
      <c r="G75" s="27">
        <f>G76</f>
        <v>65.2</v>
      </c>
      <c r="H75" s="27">
        <f>H76</f>
        <v>62.5</v>
      </c>
      <c r="I75" s="27">
        <f aca="true" t="shared" si="77" ref="I75:L75">I76</f>
        <v>65.2</v>
      </c>
      <c r="J75" s="27">
        <f t="shared" si="77"/>
        <v>80.19999999999999</v>
      </c>
      <c r="K75" s="27">
        <f t="shared" si="77"/>
        <v>80.19999999999999</v>
      </c>
      <c r="L75" s="27">
        <f t="shared" si="77"/>
        <v>80.19999999999999</v>
      </c>
      <c r="M75" s="27">
        <f aca="true" t="shared" si="78" ref="M75:N75">M76</f>
        <v>89.80000000000001</v>
      </c>
      <c r="N75" s="27">
        <f t="shared" si="78"/>
        <v>25.5</v>
      </c>
      <c r="O75" s="27">
        <f t="shared" si="4"/>
        <v>28.39643652561247</v>
      </c>
    </row>
    <row r="76" spans="1:15" ht="47.25">
      <c r="A76" s="26" t="s">
        <v>185</v>
      </c>
      <c r="B76" s="215">
        <v>902</v>
      </c>
      <c r="C76" s="213" t="s">
        <v>170</v>
      </c>
      <c r="D76" s="213" t="s">
        <v>192</v>
      </c>
      <c r="E76" s="216" t="s">
        <v>218</v>
      </c>
      <c r="F76" s="213" t="s">
        <v>186</v>
      </c>
      <c r="G76" s="27">
        <f>66.2-0.5-0.5</f>
        <v>65.2</v>
      </c>
      <c r="H76" s="27">
        <v>62.5</v>
      </c>
      <c r="I76" s="27">
        <f aca="true" t="shared" si="79" ref="I76">66.2-0.5-0.5</f>
        <v>65.2</v>
      </c>
      <c r="J76" s="27">
        <f>669-J71-J74-J79-0.5</f>
        <v>80.19999999999999</v>
      </c>
      <c r="K76" s="27">
        <f>J76</f>
        <v>80.19999999999999</v>
      </c>
      <c r="L76" s="27">
        <f>K76</f>
        <v>80.19999999999999</v>
      </c>
      <c r="M76" s="27">
        <f>65.2+24.6</f>
        <v>89.80000000000001</v>
      </c>
      <c r="N76" s="27">
        <v>25.5</v>
      </c>
      <c r="O76" s="27">
        <f t="shared" si="4"/>
        <v>28.39643652561247</v>
      </c>
    </row>
    <row r="77" spans="1:15" ht="47.25" hidden="1">
      <c r="A77" s="35" t="s">
        <v>243</v>
      </c>
      <c r="B77" s="215">
        <v>902</v>
      </c>
      <c r="C77" s="213" t="s">
        <v>170</v>
      </c>
      <c r="D77" s="213" t="s">
        <v>192</v>
      </c>
      <c r="E77" s="216" t="s">
        <v>765</v>
      </c>
      <c r="F77" s="213"/>
      <c r="G77" s="27">
        <f>G78</f>
        <v>0.5</v>
      </c>
      <c r="H77" s="27">
        <f>H78</f>
        <v>0.2</v>
      </c>
      <c r="I77" s="27">
        <f aca="true" t="shared" si="80" ref="I77:L78">I78</f>
        <v>0.5</v>
      </c>
      <c r="J77" s="27">
        <f t="shared" si="80"/>
        <v>0.5</v>
      </c>
      <c r="K77" s="27">
        <f t="shared" si="80"/>
        <v>0.5</v>
      </c>
      <c r="L77" s="27">
        <f t="shared" si="80"/>
        <v>0.5</v>
      </c>
      <c r="M77" s="27">
        <f aca="true" t="shared" si="81" ref="M77:N78">M78</f>
        <v>0</v>
      </c>
      <c r="N77" s="27">
        <f t="shared" si="81"/>
        <v>0</v>
      </c>
      <c r="O77" s="27" t="e">
        <f aca="true" t="shared" si="82" ref="O77:O140">N77/M77*100</f>
        <v>#DIV/0!</v>
      </c>
    </row>
    <row r="78" spans="1:15" ht="31.5" hidden="1">
      <c r="A78" s="26" t="s">
        <v>183</v>
      </c>
      <c r="B78" s="215">
        <v>902</v>
      </c>
      <c r="C78" s="213" t="s">
        <v>170</v>
      </c>
      <c r="D78" s="213" t="s">
        <v>192</v>
      </c>
      <c r="E78" s="216" t="s">
        <v>765</v>
      </c>
      <c r="F78" s="213" t="s">
        <v>184</v>
      </c>
      <c r="G78" s="27">
        <f>G79</f>
        <v>0.5</v>
      </c>
      <c r="H78" s="27">
        <f>H79</f>
        <v>0.2</v>
      </c>
      <c r="I78" s="27">
        <f t="shared" si="80"/>
        <v>0.5</v>
      </c>
      <c r="J78" s="27">
        <f t="shared" si="80"/>
        <v>0.5</v>
      </c>
      <c r="K78" s="27">
        <f t="shared" si="80"/>
        <v>0.5</v>
      </c>
      <c r="L78" s="27">
        <f t="shared" si="80"/>
        <v>0.5</v>
      </c>
      <c r="M78" s="27">
        <f t="shared" si="81"/>
        <v>0</v>
      </c>
      <c r="N78" s="27">
        <f t="shared" si="81"/>
        <v>0</v>
      </c>
      <c r="O78" s="27" t="e">
        <f t="shared" si="82"/>
        <v>#DIV/0!</v>
      </c>
    </row>
    <row r="79" spans="1:15" ht="47.25" hidden="1">
      <c r="A79" s="26" t="s">
        <v>185</v>
      </c>
      <c r="B79" s="215">
        <v>902</v>
      </c>
      <c r="C79" s="213" t="s">
        <v>170</v>
      </c>
      <c r="D79" s="213" t="s">
        <v>192</v>
      </c>
      <c r="E79" s="216" t="s">
        <v>765</v>
      </c>
      <c r="F79" s="213" t="s">
        <v>186</v>
      </c>
      <c r="G79" s="27">
        <v>0.5</v>
      </c>
      <c r="H79" s="27">
        <v>0.2</v>
      </c>
      <c r="I79" s="27">
        <v>0.5</v>
      </c>
      <c r="J79" s="27">
        <v>0.5</v>
      </c>
      <c r="K79" s="27">
        <v>0.5</v>
      </c>
      <c r="L79" s="27">
        <v>0.5</v>
      </c>
      <c r="M79" s="27">
        <f>0.5-0.5</f>
        <v>0</v>
      </c>
      <c r="N79" s="27">
        <f aca="true" t="shared" si="83" ref="N79">0.5-0.5</f>
        <v>0</v>
      </c>
      <c r="O79" s="27" t="e">
        <f t="shared" si="82"/>
        <v>#DIV/0!</v>
      </c>
    </row>
    <row r="80" spans="1:15" ht="94.5">
      <c r="A80" s="31" t="s">
        <v>219</v>
      </c>
      <c r="B80" s="215">
        <v>902</v>
      </c>
      <c r="C80" s="217" t="s">
        <v>170</v>
      </c>
      <c r="D80" s="217" t="s">
        <v>192</v>
      </c>
      <c r="E80" s="218" t="s">
        <v>220</v>
      </c>
      <c r="F80" s="217"/>
      <c r="G80" s="27">
        <f>G81+G85+G89</f>
        <v>80</v>
      </c>
      <c r="H80" s="27">
        <f>H81+H85+H89</f>
        <v>14.6</v>
      </c>
      <c r="I80" s="27">
        <f>I81+I85+I89</f>
        <v>80</v>
      </c>
      <c r="J80" s="27">
        <f aca="true" t="shared" si="84" ref="J80:M80">J81+J85+J89</f>
        <v>120</v>
      </c>
      <c r="K80" s="27">
        <f t="shared" si="84"/>
        <v>120</v>
      </c>
      <c r="L80" s="27">
        <f t="shared" si="84"/>
        <v>120</v>
      </c>
      <c r="M80" s="27">
        <f t="shared" si="84"/>
        <v>95</v>
      </c>
      <c r="N80" s="27">
        <f aca="true" t="shared" si="85" ref="N80">N81+N85+N89</f>
        <v>0</v>
      </c>
      <c r="O80" s="27">
        <f t="shared" si="82"/>
        <v>0</v>
      </c>
    </row>
    <row r="81" spans="1:15" ht="78.75" hidden="1">
      <c r="A81" s="31" t="s">
        <v>221</v>
      </c>
      <c r="B81" s="215">
        <v>902</v>
      </c>
      <c r="C81" s="217" t="s">
        <v>170</v>
      </c>
      <c r="D81" s="217" t="s">
        <v>192</v>
      </c>
      <c r="E81" s="219" t="s">
        <v>222</v>
      </c>
      <c r="F81" s="217"/>
      <c r="G81" s="27">
        <f>G82</f>
        <v>15</v>
      </c>
      <c r="H81" s="27">
        <f aca="true" t="shared" si="86" ref="H81:H83">H82</f>
        <v>7.3</v>
      </c>
      <c r="I81" s="27">
        <f aca="true" t="shared" si="87" ref="I81:L83">I82</f>
        <v>15</v>
      </c>
      <c r="J81" s="27">
        <f t="shared" si="87"/>
        <v>25</v>
      </c>
      <c r="K81" s="27">
        <f t="shared" si="87"/>
        <v>25</v>
      </c>
      <c r="L81" s="27">
        <f t="shared" si="87"/>
        <v>25</v>
      </c>
      <c r="M81" s="27">
        <f aca="true" t="shared" si="88" ref="M81:N83">M82</f>
        <v>0</v>
      </c>
      <c r="N81" s="27">
        <f t="shared" si="88"/>
        <v>0</v>
      </c>
      <c r="O81" s="27" t="e">
        <f t="shared" si="82"/>
        <v>#DIV/0!</v>
      </c>
    </row>
    <row r="82" spans="1:15" ht="31.5" hidden="1">
      <c r="A82" s="205" t="s">
        <v>223</v>
      </c>
      <c r="B82" s="215">
        <v>902</v>
      </c>
      <c r="C82" s="217" t="s">
        <v>170</v>
      </c>
      <c r="D82" s="217" t="s">
        <v>192</v>
      </c>
      <c r="E82" s="218" t="s">
        <v>224</v>
      </c>
      <c r="F82" s="217"/>
      <c r="G82" s="27">
        <f>G83</f>
        <v>15</v>
      </c>
      <c r="H82" s="27">
        <f t="shared" si="86"/>
        <v>7.3</v>
      </c>
      <c r="I82" s="27">
        <f t="shared" si="87"/>
        <v>15</v>
      </c>
      <c r="J82" s="27">
        <f t="shared" si="87"/>
        <v>25</v>
      </c>
      <c r="K82" s="27">
        <f t="shared" si="87"/>
        <v>25</v>
      </c>
      <c r="L82" s="27">
        <f t="shared" si="87"/>
        <v>25</v>
      </c>
      <c r="M82" s="27">
        <f t="shared" si="88"/>
        <v>0</v>
      </c>
      <c r="N82" s="27">
        <f t="shared" si="88"/>
        <v>0</v>
      </c>
      <c r="O82" s="27" t="e">
        <f t="shared" si="82"/>
        <v>#DIV/0!</v>
      </c>
    </row>
    <row r="83" spans="1:15" ht="31.5" hidden="1">
      <c r="A83" s="26" t="s">
        <v>183</v>
      </c>
      <c r="B83" s="215">
        <v>902</v>
      </c>
      <c r="C83" s="217" t="s">
        <v>170</v>
      </c>
      <c r="D83" s="217" t="s">
        <v>192</v>
      </c>
      <c r="E83" s="218" t="s">
        <v>224</v>
      </c>
      <c r="F83" s="217" t="s">
        <v>184</v>
      </c>
      <c r="G83" s="27">
        <f>G84</f>
        <v>15</v>
      </c>
      <c r="H83" s="27">
        <f t="shared" si="86"/>
        <v>7.3</v>
      </c>
      <c r="I83" s="27">
        <f t="shared" si="87"/>
        <v>15</v>
      </c>
      <c r="J83" s="27">
        <f t="shared" si="87"/>
        <v>25</v>
      </c>
      <c r="K83" s="27">
        <f t="shared" si="87"/>
        <v>25</v>
      </c>
      <c r="L83" s="27">
        <f t="shared" si="87"/>
        <v>25</v>
      </c>
      <c r="M83" s="27">
        <f t="shared" si="88"/>
        <v>0</v>
      </c>
      <c r="N83" s="27">
        <f t="shared" si="88"/>
        <v>0</v>
      </c>
      <c r="O83" s="27" t="e">
        <f t="shared" si="82"/>
        <v>#DIV/0!</v>
      </c>
    </row>
    <row r="84" spans="1:15" ht="47.25" hidden="1">
      <c r="A84" s="26" t="s">
        <v>185</v>
      </c>
      <c r="B84" s="215">
        <v>902</v>
      </c>
      <c r="C84" s="217" t="s">
        <v>170</v>
      </c>
      <c r="D84" s="217" t="s">
        <v>192</v>
      </c>
      <c r="E84" s="218" t="s">
        <v>224</v>
      </c>
      <c r="F84" s="217" t="s">
        <v>186</v>
      </c>
      <c r="G84" s="27">
        <v>15</v>
      </c>
      <c r="H84" s="27">
        <v>7.3</v>
      </c>
      <c r="I84" s="27">
        <v>15</v>
      </c>
      <c r="J84" s="27">
        <v>25</v>
      </c>
      <c r="K84" s="27">
        <v>25</v>
      </c>
      <c r="L84" s="27">
        <v>25</v>
      </c>
      <c r="M84" s="27">
        <f>25-25</f>
        <v>0</v>
      </c>
      <c r="N84" s="27">
        <f aca="true" t="shared" si="89" ref="N84">25-25</f>
        <v>0</v>
      </c>
      <c r="O84" s="27" t="e">
        <f t="shared" si="82"/>
        <v>#DIV/0!</v>
      </c>
    </row>
    <row r="85" spans="1:15" ht="63">
      <c r="A85" s="31" t="s">
        <v>225</v>
      </c>
      <c r="B85" s="215">
        <v>902</v>
      </c>
      <c r="C85" s="217" t="s">
        <v>170</v>
      </c>
      <c r="D85" s="217" t="s">
        <v>192</v>
      </c>
      <c r="E85" s="219" t="s">
        <v>226</v>
      </c>
      <c r="F85" s="217"/>
      <c r="G85" s="27">
        <f>G86</f>
        <v>50</v>
      </c>
      <c r="H85" s="27">
        <f aca="true" t="shared" si="90" ref="H85:H87">H86</f>
        <v>7.3</v>
      </c>
      <c r="I85" s="27">
        <f aca="true" t="shared" si="91" ref="I85:L87">I86</f>
        <v>50</v>
      </c>
      <c r="J85" s="27">
        <f t="shared" si="91"/>
        <v>70</v>
      </c>
      <c r="K85" s="27">
        <f t="shared" si="91"/>
        <v>70</v>
      </c>
      <c r="L85" s="27">
        <f t="shared" si="91"/>
        <v>70</v>
      </c>
      <c r="M85" s="27">
        <f aca="true" t="shared" si="92" ref="M85:N87">M86</f>
        <v>70</v>
      </c>
      <c r="N85" s="27">
        <f t="shared" si="92"/>
        <v>0</v>
      </c>
      <c r="O85" s="27">
        <f t="shared" si="82"/>
        <v>0</v>
      </c>
    </row>
    <row r="86" spans="1:15" ht="31.5">
      <c r="A86" s="47" t="s">
        <v>227</v>
      </c>
      <c r="B86" s="215">
        <v>902</v>
      </c>
      <c r="C86" s="217" t="s">
        <v>170</v>
      </c>
      <c r="D86" s="217" t="s">
        <v>192</v>
      </c>
      <c r="E86" s="218" t="s">
        <v>228</v>
      </c>
      <c r="F86" s="217"/>
      <c r="G86" s="27">
        <f>G87</f>
        <v>50</v>
      </c>
      <c r="H86" s="27">
        <f t="shared" si="90"/>
        <v>7.3</v>
      </c>
      <c r="I86" s="27">
        <f t="shared" si="91"/>
        <v>50</v>
      </c>
      <c r="J86" s="27">
        <f t="shared" si="91"/>
        <v>70</v>
      </c>
      <c r="K86" s="27">
        <f t="shared" si="91"/>
        <v>70</v>
      </c>
      <c r="L86" s="27">
        <f t="shared" si="91"/>
        <v>70</v>
      </c>
      <c r="M86" s="27">
        <f t="shared" si="92"/>
        <v>70</v>
      </c>
      <c r="N86" s="27">
        <f t="shared" si="92"/>
        <v>0</v>
      </c>
      <c r="O86" s="27">
        <f t="shared" si="82"/>
        <v>0</v>
      </c>
    </row>
    <row r="87" spans="1:15" ht="31.5">
      <c r="A87" s="26" t="s">
        <v>183</v>
      </c>
      <c r="B87" s="215">
        <v>902</v>
      </c>
      <c r="C87" s="217" t="s">
        <v>170</v>
      </c>
      <c r="D87" s="217" t="s">
        <v>192</v>
      </c>
      <c r="E87" s="218" t="s">
        <v>228</v>
      </c>
      <c r="F87" s="217" t="s">
        <v>184</v>
      </c>
      <c r="G87" s="27">
        <f>G88</f>
        <v>50</v>
      </c>
      <c r="H87" s="27">
        <f t="shared" si="90"/>
        <v>7.3</v>
      </c>
      <c r="I87" s="27">
        <f t="shared" si="91"/>
        <v>50</v>
      </c>
      <c r="J87" s="27">
        <f t="shared" si="91"/>
        <v>70</v>
      </c>
      <c r="K87" s="27">
        <f t="shared" si="91"/>
        <v>70</v>
      </c>
      <c r="L87" s="27">
        <f t="shared" si="91"/>
        <v>70</v>
      </c>
      <c r="M87" s="27">
        <f t="shared" si="92"/>
        <v>70</v>
      </c>
      <c r="N87" s="27">
        <f t="shared" si="92"/>
        <v>0</v>
      </c>
      <c r="O87" s="27">
        <f t="shared" si="82"/>
        <v>0</v>
      </c>
    </row>
    <row r="88" spans="1:15" ht="47.25">
      <c r="A88" s="26" t="s">
        <v>185</v>
      </c>
      <c r="B88" s="215">
        <v>902</v>
      </c>
      <c r="C88" s="217" t="s">
        <v>170</v>
      </c>
      <c r="D88" s="217" t="s">
        <v>192</v>
      </c>
      <c r="E88" s="218" t="s">
        <v>228</v>
      </c>
      <c r="F88" s="217" t="s">
        <v>186</v>
      </c>
      <c r="G88" s="27">
        <v>50</v>
      </c>
      <c r="H88" s="27">
        <v>7.3</v>
      </c>
      <c r="I88" s="27">
        <v>50</v>
      </c>
      <c r="J88" s="27">
        <v>70</v>
      </c>
      <c r="K88" s="27">
        <v>70</v>
      </c>
      <c r="L88" s="27">
        <v>70</v>
      </c>
      <c r="M88" s="27">
        <v>70</v>
      </c>
      <c r="N88" s="27">
        <v>0</v>
      </c>
      <c r="O88" s="27">
        <f t="shared" si="82"/>
        <v>0</v>
      </c>
    </row>
    <row r="89" spans="1:15" ht="47.25">
      <c r="A89" s="26" t="s">
        <v>229</v>
      </c>
      <c r="B89" s="215">
        <v>902</v>
      </c>
      <c r="C89" s="217" t="s">
        <v>170</v>
      </c>
      <c r="D89" s="217" t="s">
        <v>192</v>
      </c>
      <c r="E89" s="218" t="s">
        <v>230</v>
      </c>
      <c r="F89" s="217"/>
      <c r="G89" s="27">
        <f>G90</f>
        <v>15</v>
      </c>
      <c r="H89" s="27">
        <f aca="true" t="shared" si="93" ref="H89:H91">H90</f>
        <v>0</v>
      </c>
      <c r="I89" s="27">
        <f aca="true" t="shared" si="94" ref="I89:L91">I90</f>
        <v>15</v>
      </c>
      <c r="J89" s="27">
        <f t="shared" si="94"/>
        <v>25</v>
      </c>
      <c r="K89" s="27">
        <f t="shared" si="94"/>
        <v>25</v>
      </c>
      <c r="L89" s="27">
        <f t="shared" si="94"/>
        <v>25</v>
      </c>
      <c r="M89" s="27">
        <f aca="true" t="shared" si="95" ref="M89:N91">M90</f>
        <v>25</v>
      </c>
      <c r="N89" s="27">
        <f t="shared" si="95"/>
        <v>0</v>
      </c>
      <c r="O89" s="27">
        <f t="shared" si="82"/>
        <v>0</v>
      </c>
    </row>
    <row r="90" spans="1:15" ht="15.75">
      <c r="A90" s="47" t="s">
        <v>231</v>
      </c>
      <c r="B90" s="215">
        <v>902</v>
      </c>
      <c r="C90" s="217" t="s">
        <v>170</v>
      </c>
      <c r="D90" s="217" t="s">
        <v>192</v>
      </c>
      <c r="E90" s="218" t="s">
        <v>232</v>
      </c>
      <c r="F90" s="217"/>
      <c r="G90" s="27">
        <f>G91</f>
        <v>15</v>
      </c>
      <c r="H90" s="27">
        <f t="shared" si="93"/>
        <v>0</v>
      </c>
      <c r="I90" s="27">
        <f t="shared" si="94"/>
        <v>15</v>
      </c>
      <c r="J90" s="27">
        <f t="shared" si="94"/>
        <v>25</v>
      </c>
      <c r="K90" s="27">
        <f t="shared" si="94"/>
        <v>25</v>
      </c>
      <c r="L90" s="27">
        <f t="shared" si="94"/>
        <v>25</v>
      </c>
      <c r="M90" s="27">
        <f t="shared" si="95"/>
        <v>25</v>
      </c>
      <c r="N90" s="27">
        <f t="shared" si="95"/>
        <v>0</v>
      </c>
      <c r="O90" s="27">
        <f t="shared" si="82"/>
        <v>0</v>
      </c>
    </row>
    <row r="91" spans="1:15" ht="31.5">
      <c r="A91" s="26" t="s">
        <v>183</v>
      </c>
      <c r="B91" s="215">
        <v>902</v>
      </c>
      <c r="C91" s="217" t="s">
        <v>170</v>
      </c>
      <c r="D91" s="217" t="s">
        <v>192</v>
      </c>
      <c r="E91" s="218" t="s">
        <v>232</v>
      </c>
      <c r="F91" s="217" t="s">
        <v>184</v>
      </c>
      <c r="G91" s="27">
        <f>G92</f>
        <v>15</v>
      </c>
      <c r="H91" s="27">
        <f t="shared" si="93"/>
        <v>0</v>
      </c>
      <c r="I91" s="27">
        <f t="shared" si="94"/>
        <v>15</v>
      </c>
      <c r="J91" s="27">
        <f t="shared" si="94"/>
        <v>25</v>
      </c>
      <c r="K91" s="27">
        <f t="shared" si="94"/>
        <v>25</v>
      </c>
      <c r="L91" s="27">
        <f t="shared" si="94"/>
        <v>25</v>
      </c>
      <c r="M91" s="27">
        <f t="shared" si="95"/>
        <v>25</v>
      </c>
      <c r="N91" s="27">
        <f t="shared" si="95"/>
        <v>0</v>
      </c>
      <c r="O91" s="27">
        <f t="shared" si="82"/>
        <v>0</v>
      </c>
    </row>
    <row r="92" spans="1:15" ht="47.25">
      <c r="A92" s="26" t="s">
        <v>185</v>
      </c>
      <c r="B92" s="215">
        <v>902</v>
      </c>
      <c r="C92" s="217" t="s">
        <v>170</v>
      </c>
      <c r="D92" s="217" t="s">
        <v>192</v>
      </c>
      <c r="E92" s="218" t="s">
        <v>232</v>
      </c>
      <c r="F92" s="217" t="s">
        <v>186</v>
      </c>
      <c r="G92" s="27">
        <v>15</v>
      </c>
      <c r="H92" s="27">
        <v>0</v>
      </c>
      <c r="I92" s="27">
        <v>15</v>
      </c>
      <c r="J92" s="27">
        <v>25</v>
      </c>
      <c r="K92" s="27">
        <v>25</v>
      </c>
      <c r="L92" s="27">
        <v>25</v>
      </c>
      <c r="M92" s="27">
        <v>25</v>
      </c>
      <c r="N92" s="27">
        <v>0</v>
      </c>
      <c r="O92" s="27">
        <f t="shared" si="82"/>
        <v>0</v>
      </c>
    </row>
    <row r="93" spans="1:15" ht="47.25" hidden="1">
      <c r="A93" s="33" t="s">
        <v>233</v>
      </c>
      <c r="B93" s="215">
        <v>902</v>
      </c>
      <c r="C93" s="213" t="s">
        <v>170</v>
      </c>
      <c r="D93" s="213" t="s">
        <v>192</v>
      </c>
      <c r="E93" s="219" t="s">
        <v>234</v>
      </c>
      <c r="F93" s="220"/>
      <c r="G93" s="27">
        <f>G94</f>
        <v>120</v>
      </c>
      <c r="H93" s="27">
        <f aca="true" t="shared" si="96" ref="H93:H95">H94</f>
        <v>30</v>
      </c>
      <c r="I93" s="27">
        <f aca="true" t="shared" si="97" ref="I93:L95">I94</f>
        <v>120</v>
      </c>
      <c r="J93" s="27">
        <f t="shared" si="97"/>
        <v>0</v>
      </c>
      <c r="K93" s="27">
        <f t="shared" si="97"/>
        <v>0</v>
      </c>
      <c r="L93" s="27">
        <f t="shared" si="97"/>
        <v>0</v>
      </c>
      <c r="M93" s="27">
        <f aca="true" t="shared" si="98" ref="M93:N95">M94</f>
        <v>0</v>
      </c>
      <c r="N93" s="27">
        <f t="shared" si="98"/>
        <v>0</v>
      </c>
      <c r="O93" s="27" t="e">
        <f t="shared" si="82"/>
        <v>#DIV/0!</v>
      </c>
    </row>
    <row r="94" spans="1:15" ht="31.5" hidden="1">
      <c r="A94" s="26" t="s">
        <v>209</v>
      </c>
      <c r="B94" s="215">
        <v>902</v>
      </c>
      <c r="C94" s="213" t="s">
        <v>170</v>
      </c>
      <c r="D94" s="213" t="s">
        <v>192</v>
      </c>
      <c r="E94" s="213" t="s">
        <v>235</v>
      </c>
      <c r="F94" s="220"/>
      <c r="G94" s="27">
        <f>G95</f>
        <v>120</v>
      </c>
      <c r="H94" s="27">
        <f t="shared" si="96"/>
        <v>30</v>
      </c>
      <c r="I94" s="27">
        <f t="shared" si="97"/>
        <v>120</v>
      </c>
      <c r="J94" s="27">
        <f t="shared" si="97"/>
        <v>0</v>
      </c>
      <c r="K94" s="27">
        <f t="shared" si="97"/>
        <v>0</v>
      </c>
      <c r="L94" s="27">
        <f t="shared" si="97"/>
        <v>0</v>
      </c>
      <c r="M94" s="27">
        <f t="shared" si="98"/>
        <v>0</v>
      </c>
      <c r="N94" s="27">
        <f t="shared" si="98"/>
        <v>0</v>
      </c>
      <c r="O94" s="27" t="e">
        <f t="shared" si="82"/>
        <v>#DIV/0!</v>
      </c>
    </row>
    <row r="95" spans="1:15" ht="15.75" hidden="1">
      <c r="A95" s="31" t="s">
        <v>187</v>
      </c>
      <c r="B95" s="215">
        <v>902</v>
      </c>
      <c r="C95" s="213" t="s">
        <v>170</v>
      </c>
      <c r="D95" s="213" t="s">
        <v>192</v>
      </c>
      <c r="E95" s="213" t="s">
        <v>235</v>
      </c>
      <c r="F95" s="220" t="s">
        <v>197</v>
      </c>
      <c r="G95" s="27">
        <f>G96</f>
        <v>120</v>
      </c>
      <c r="H95" s="27">
        <f t="shared" si="96"/>
        <v>30</v>
      </c>
      <c r="I95" s="27">
        <f>I96</f>
        <v>120</v>
      </c>
      <c r="J95" s="27">
        <f t="shared" si="97"/>
        <v>0</v>
      </c>
      <c r="K95" s="27">
        <f t="shared" si="97"/>
        <v>0</v>
      </c>
      <c r="L95" s="27">
        <f t="shared" si="97"/>
        <v>0</v>
      </c>
      <c r="M95" s="27">
        <f t="shared" si="98"/>
        <v>0</v>
      </c>
      <c r="N95" s="27">
        <f t="shared" si="98"/>
        <v>0</v>
      </c>
      <c r="O95" s="27" t="e">
        <f t="shared" si="82"/>
        <v>#DIV/0!</v>
      </c>
    </row>
    <row r="96" spans="1:15" ht="51.75" customHeight="1" hidden="1">
      <c r="A96" s="31" t="s">
        <v>236</v>
      </c>
      <c r="B96" s="215">
        <v>902</v>
      </c>
      <c r="C96" s="213" t="s">
        <v>170</v>
      </c>
      <c r="D96" s="213" t="s">
        <v>192</v>
      </c>
      <c r="E96" s="213" t="s">
        <v>235</v>
      </c>
      <c r="F96" s="220" t="s">
        <v>212</v>
      </c>
      <c r="G96" s="27">
        <f>100+20</f>
        <v>120</v>
      </c>
      <c r="H96" s="27">
        <v>30</v>
      </c>
      <c r="I96" s="27">
        <f aca="true" t="shared" si="99" ref="I96">100+20</f>
        <v>120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 t="e">
        <f t="shared" si="82"/>
        <v>#DIV/0!</v>
      </c>
    </row>
    <row r="97" spans="1:15" ht="63">
      <c r="A97" s="31" t="s">
        <v>947</v>
      </c>
      <c r="B97" s="215">
        <v>902</v>
      </c>
      <c r="C97" s="213" t="s">
        <v>170</v>
      </c>
      <c r="D97" s="213" t="s">
        <v>192</v>
      </c>
      <c r="E97" s="213" t="s">
        <v>803</v>
      </c>
      <c r="F97" s="220"/>
      <c r="G97" s="27">
        <f>G98</f>
        <v>29</v>
      </c>
      <c r="H97" s="27">
        <f aca="true" t="shared" si="100" ref="H97:H99">H98</f>
        <v>19.1</v>
      </c>
      <c r="I97" s="27">
        <f aca="true" t="shared" si="101" ref="I97:L99">I98</f>
        <v>29</v>
      </c>
      <c r="J97" s="27">
        <f t="shared" si="101"/>
        <v>0</v>
      </c>
      <c r="K97" s="27">
        <f t="shared" si="101"/>
        <v>0</v>
      </c>
      <c r="L97" s="27">
        <f t="shared" si="101"/>
        <v>0</v>
      </c>
      <c r="M97" s="27">
        <f>M98+M104</f>
        <v>38</v>
      </c>
      <c r="N97" s="27">
        <f aca="true" t="shared" si="102" ref="N97">N98+N104</f>
        <v>11</v>
      </c>
      <c r="O97" s="27">
        <f t="shared" si="82"/>
        <v>28.947368421052634</v>
      </c>
    </row>
    <row r="98" spans="1:15" ht="47.25">
      <c r="A98" s="122" t="s">
        <v>931</v>
      </c>
      <c r="B98" s="215">
        <v>902</v>
      </c>
      <c r="C98" s="213" t="s">
        <v>170</v>
      </c>
      <c r="D98" s="213" t="s">
        <v>192</v>
      </c>
      <c r="E98" s="213" t="s">
        <v>930</v>
      </c>
      <c r="F98" s="220"/>
      <c r="G98" s="27">
        <f>G99</f>
        <v>29</v>
      </c>
      <c r="H98" s="27">
        <f t="shared" si="100"/>
        <v>19.1</v>
      </c>
      <c r="I98" s="27">
        <f t="shared" si="101"/>
        <v>29</v>
      </c>
      <c r="J98" s="27">
        <f t="shared" si="101"/>
        <v>0</v>
      </c>
      <c r="K98" s="27">
        <f t="shared" si="101"/>
        <v>0</v>
      </c>
      <c r="L98" s="27">
        <f t="shared" si="101"/>
        <v>0</v>
      </c>
      <c r="M98" s="27">
        <f aca="true" t="shared" si="103" ref="M98:N99">M99</f>
        <v>23</v>
      </c>
      <c r="N98" s="27">
        <f t="shared" si="103"/>
        <v>0</v>
      </c>
      <c r="O98" s="27">
        <f t="shared" si="82"/>
        <v>0</v>
      </c>
    </row>
    <row r="99" spans="1:15" ht="31.5">
      <c r="A99" s="26" t="s">
        <v>183</v>
      </c>
      <c r="B99" s="215">
        <v>902</v>
      </c>
      <c r="C99" s="213" t="s">
        <v>170</v>
      </c>
      <c r="D99" s="213" t="s">
        <v>192</v>
      </c>
      <c r="E99" s="213" t="s">
        <v>930</v>
      </c>
      <c r="F99" s="220" t="s">
        <v>184</v>
      </c>
      <c r="G99" s="27">
        <f>G100</f>
        <v>29</v>
      </c>
      <c r="H99" s="27">
        <f t="shared" si="100"/>
        <v>19.1</v>
      </c>
      <c r="I99" s="27">
        <f t="shared" si="101"/>
        <v>29</v>
      </c>
      <c r="J99" s="27">
        <f t="shared" si="101"/>
        <v>0</v>
      </c>
      <c r="K99" s="27">
        <f t="shared" si="101"/>
        <v>0</v>
      </c>
      <c r="L99" s="27">
        <f t="shared" si="101"/>
        <v>0</v>
      </c>
      <c r="M99" s="27">
        <f t="shared" si="103"/>
        <v>23</v>
      </c>
      <c r="N99" s="27">
        <f t="shared" si="103"/>
        <v>0</v>
      </c>
      <c r="O99" s="27">
        <f t="shared" si="82"/>
        <v>0</v>
      </c>
    </row>
    <row r="100" spans="1:15" ht="47.25">
      <c r="A100" s="26" t="s">
        <v>185</v>
      </c>
      <c r="B100" s="215">
        <v>902</v>
      </c>
      <c r="C100" s="213" t="s">
        <v>170</v>
      </c>
      <c r="D100" s="213" t="s">
        <v>192</v>
      </c>
      <c r="E100" s="213" t="s">
        <v>930</v>
      </c>
      <c r="F100" s="220" t="s">
        <v>186</v>
      </c>
      <c r="G100" s="27">
        <v>29</v>
      </c>
      <c r="H100" s="27">
        <v>19.1</v>
      </c>
      <c r="I100" s="27">
        <v>29</v>
      </c>
      <c r="J100" s="27">
        <v>0</v>
      </c>
      <c r="K100" s="27">
        <v>0</v>
      </c>
      <c r="L100" s="27">
        <v>0</v>
      </c>
      <c r="M100" s="27">
        <v>23</v>
      </c>
      <c r="N100" s="27">
        <v>0</v>
      </c>
      <c r="O100" s="27">
        <f t="shared" si="82"/>
        <v>0</v>
      </c>
    </row>
    <row r="101" spans="1:15" ht="15.75" customHeight="1" hidden="1">
      <c r="A101" s="31"/>
      <c r="B101" s="215"/>
      <c r="C101" s="213"/>
      <c r="D101" s="213"/>
      <c r="E101" s="213"/>
      <c r="F101" s="220"/>
      <c r="G101" s="27"/>
      <c r="H101" s="27"/>
      <c r="I101" s="27"/>
      <c r="J101" s="27"/>
      <c r="K101" s="27"/>
      <c r="L101" s="27"/>
      <c r="M101" s="27"/>
      <c r="N101" s="27"/>
      <c r="O101" s="27" t="e">
        <f t="shared" si="82"/>
        <v>#DIV/0!</v>
      </c>
    </row>
    <row r="102" spans="1:15" ht="15.75" customHeight="1" hidden="1">
      <c r="A102" s="26"/>
      <c r="B102" s="215"/>
      <c r="C102" s="213"/>
      <c r="D102" s="213"/>
      <c r="E102" s="213"/>
      <c r="F102" s="220"/>
      <c r="G102" s="27"/>
      <c r="H102" s="27"/>
      <c r="I102" s="27"/>
      <c r="J102" s="27"/>
      <c r="K102" s="27"/>
      <c r="L102" s="27"/>
      <c r="M102" s="27"/>
      <c r="N102" s="27"/>
      <c r="O102" s="27" t="e">
        <f t="shared" si="82"/>
        <v>#DIV/0!</v>
      </c>
    </row>
    <row r="103" spans="1:15" ht="15.75" customHeight="1" hidden="1">
      <c r="A103" s="26"/>
      <c r="B103" s="215"/>
      <c r="C103" s="213"/>
      <c r="D103" s="213"/>
      <c r="E103" s="213"/>
      <c r="F103" s="220"/>
      <c r="G103" s="27"/>
      <c r="H103" s="27"/>
      <c r="I103" s="27"/>
      <c r="J103" s="27"/>
      <c r="K103" s="27"/>
      <c r="L103" s="27"/>
      <c r="M103" s="27"/>
      <c r="N103" s="27"/>
      <c r="O103" s="27" t="e">
        <f t="shared" si="82"/>
        <v>#DIV/0!</v>
      </c>
    </row>
    <row r="104" spans="1:15" ht="34.5" customHeight="1">
      <c r="A104" s="270" t="s">
        <v>933</v>
      </c>
      <c r="B104" s="215">
        <v>902</v>
      </c>
      <c r="C104" s="213" t="s">
        <v>170</v>
      </c>
      <c r="D104" s="213" t="s">
        <v>192</v>
      </c>
      <c r="E104" s="213" t="s">
        <v>932</v>
      </c>
      <c r="F104" s="220"/>
      <c r="G104" s="27">
        <f>G105</f>
        <v>29</v>
      </c>
      <c r="H104" s="27">
        <f aca="true" t="shared" si="104" ref="H104:N105">H105</f>
        <v>19.1</v>
      </c>
      <c r="I104" s="27">
        <f t="shared" si="104"/>
        <v>29</v>
      </c>
      <c r="J104" s="27">
        <f t="shared" si="104"/>
        <v>0</v>
      </c>
      <c r="K104" s="27">
        <f t="shared" si="104"/>
        <v>0</v>
      </c>
      <c r="L104" s="27">
        <f t="shared" si="104"/>
        <v>0</v>
      </c>
      <c r="M104" s="27">
        <f t="shared" si="104"/>
        <v>15</v>
      </c>
      <c r="N104" s="27">
        <f t="shared" si="104"/>
        <v>11</v>
      </c>
      <c r="O104" s="27">
        <f t="shared" si="82"/>
        <v>73.33333333333333</v>
      </c>
    </row>
    <row r="105" spans="1:15" ht="36" customHeight="1">
      <c r="A105" s="26" t="s">
        <v>183</v>
      </c>
      <c r="B105" s="215">
        <v>902</v>
      </c>
      <c r="C105" s="213" t="s">
        <v>170</v>
      </c>
      <c r="D105" s="213" t="s">
        <v>192</v>
      </c>
      <c r="E105" s="213" t="s">
        <v>932</v>
      </c>
      <c r="F105" s="220" t="s">
        <v>184</v>
      </c>
      <c r="G105" s="27">
        <f>G106</f>
        <v>29</v>
      </c>
      <c r="H105" s="27">
        <f t="shared" si="104"/>
        <v>19.1</v>
      </c>
      <c r="I105" s="27">
        <f t="shared" si="104"/>
        <v>29</v>
      </c>
      <c r="J105" s="27">
        <f t="shared" si="104"/>
        <v>0</v>
      </c>
      <c r="K105" s="27">
        <f t="shared" si="104"/>
        <v>0</v>
      </c>
      <c r="L105" s="27">
        <f t="shared" si="104"/>
        <v>0</v>
      </c>
      <c r="M105" s="27">
        <f t="shared" si="104"/>
        <v>15</v>
      </c>
      <c r="N105" s="27">
        <f t="shared" si="104"/>
        <v>11</v>
      </c>
      <c r="O105" s="27">
        <f t="shared" si="82"/>
        <v>73.33333333333333</v>
      </c>
    </row>
    <row r="106" spans="1:15" ht="49.5" customHeight="1">
      <c r="A106" s="26" t="s">
        <v>185</v>
      </c>
      <c r="B106" s="215">
        <v>902</v>
      </c>
      <c r="C106" s="213" t="s">
        <v>170</v>
      </c>
      <c r="D106" s="213" t="s">
        <v>192</v>
      </c>
      <c r="E106" s="213" t="s">
        <v>932</v>
      </c>
      <c r="F106" s="220" t="s">
        <v>186</v>
      </c>
      <c r="G106" s="27">
        <v>29</v>
      </c>
      <c r="H106" s="27">
        <v>19.1</v>
      </c>
      <c r="I106" s="27">
        <v>29</v>
      </c>
      <c r="J106" s="27">
        <v>0</v>
      </c>
      <c r="K106" s="27">
        <v>0</v>
      </c>
      <c r="L106" s="27">
        <v>0</v>
      </c>
      <c r="M106" s="27">
        <v>15</v>
      </c>
      <c r="N106" s="27">
        <v>11</v>
      </c>
      <c r="O106" s="27">
        <f t="shared" si="82"/>
        <v>73.33333333333333</v>
      </c>
    </row>
    <row r="107" spans="1:15" ht="15.75">
      <c r="A107" s="26" t="s">
        <v>173</v>
      </c>
      <c r="B107" s="215">
        <v>902</v>
      </c>
      <c r="C107" s="213" t="s">
        <v>170</v>
      </c>
      <c r="D107" s="213" t="s">
        <v>192</v>
      </c>
      <c r="E107" s="213" t="s">
        <v>174</v>
      </c>
      <c r="F107" s="213"/>
      <c r="G107" s="27">
        <f>G108+G135</f>
        <v>12340.3</v>
      </c>
      <c r="H107" s="27">
        <f>H108+H135</f>
        <v>8520.3</v>
      </c>
      <c r="I107" s="27">
        <f aca="true" t="shared" si="105" ref="I107:L107">I108+I135</f>
        <v>12271.199999999999</v>
      </c>
      <c r="J107" s="27">
        <f t="shared" si="105"/>
        <v>13666.699999999999</v>
      </c>
      <c r="K107" s="27">
        <f t="shared" si="105"/>
        <v>13812.6</v>
      </c>
      <c r="L107" s="27">
        <f t="shared" si="105"/>
        <v>13938.9</v>
      </c>
      <c r="M107" s="27">
        <f aca="true" t="shared" si="106" ref="M107:N107">M108+M135</f>
        <v>9986.4</v>
      </c>
      <c r="N107" s="27">
        <f t="shared" si="106"/>
        <v>4489.5</v>
      </c>
      <c r="O107" s="27">
        <f t="shared" si="82"/>
        <v>44.95614035087719</v>
      </c>
    </row>
    <row r="108" spans="1:16" ht="31.5">
      <c r="A108" s="26" t="s">
        <v>237</v>
      </c>
      <c r="B108" s="215">
        <v>902</v>
      </c>
      <c r="C108" s="213" t="s">
        <v>170</v>
      </c>
      <c r="D108" s="213" t="s">
        <v>192</v>
      </c>
      <c r="E108" s="213" t="s">
        <v>238</v>
      </c>
      <c r="F108" s="213"/>
      <c r="G108" s="27">
        <f>G114+G119+G125+G130</f>
        <v>3600.8999999999996</v>
      </c>
      <c r="H108" s="27">
        <f>H114+H119+H125+H130</f>
        <v>2512.4</v>
      </c>
      <c r="I108" s="27">
        <f aca="true" t="shared" si="107" ref="I108:L108">I114+I119+I125+I130</f>
        <v>3600.8999999999996</v>
      </c>
      <c r="J108" s="27">
        <f t="shared" si="107"/>
        <v>3600.8999999999996</v>
      </c>
      <c r="K108" s="27">
        <f t="shared" si="107"/>
        <v>3600.8999999999996</v>
      </c>
      <c r="L108" s="27">
        <f t="shared" si="107"/>
        <v>3600.8999999999996</v>
      </c>
      <c r="M108" s="27">
        <f>M114+M119+M125+M130+M109</f>
        <v>3628.7</v>
      </c>
      <c r="N108" s="27">
        <f aca="true" t="shared" si="108" ref="N108">N114+N119+N125+N130+N109</f>
        <v>1351.3</v>
      </c>
      <c r="O108" s="27">
        <f t="shared" si="82"/>
        <v>37.23923168076722</v>
      </c>
      <c r="P108" s="139"/>
    </row>
    <row r="109" spans="1:15" ht="47.25" customHeight="1">
      <c r="A109" s="26" t="s">
        <v>946</v>
      </c>
      <c r="B109" s="215">
        <v>902</v>
      </c>
      <c r="C109" s="213" t="s">
        <v>170</v>
      </c>
      <c r="D109" s="213" t="s">
        <v>192</v>
      </c>
      <c r="E109" s="213" t="s">
        <v>240</v>
      </c>
      <c r="F109" s="214"/>
      <c r="G109" s="27">
        <f aca="true" t="shared" si="109" ref="G109:L109">G110+G112</f>
        <v>0</v>
      </c>
      <c r="H109" s="27">
        <f t="shared" si="109"/>
        <v>0</v>
      </c>
      <c r="I109" s="27">
        <f t="shared" si="109"/>
        <v>0</v>
      </c>
      <c r="J109" s="27">
        <f t="shared" si="109"/>
        <v>0</v>
      </c>
      <c r="K109" s="27">
        <f t="shared" si="109"/>
        <v>0</v>
      </c>
      <c r="L109" s="27">
        <f t="shared" si="109"/>
        <v>0</v>
      </c>
      <c r="M109" s="27">
        <f aca="true" t="shared" si="110" ref="M109:N109">M110+M112</f>
        <v>96.2</v>
      </c>
      <c r="N109" s="27">
        <f t="shared" si="110"/>
        <v>39.8</v>
      </c>
      <c r="O109" s="27">
        <f t="shared" si="82"/>
        <v>41.37214137214137</v>
      </c>
    </row>
    <row r="110" spans="1:15" ht="94.5" customHeight="1">
      <c r="A110" s="26" t="s">
        <v>179</v>
      </c>
      <c r="B110" s="215">
        <v>902</v>
      </c>
      <c r="C110" s="213" t="s">
        <v>170</v>
      </c>
      <c r="D110" s="213" t="s">
        <v>192</v>
      </c>
      <c r="E110" s="213" t="s">
        <v>240</v>
      </c>
      <c r="F110" s="213" t="s">
        <v>180</v>
      </c>
      <c r="G110" s="27">
        <f>G111</f>
        <v>0</v>
      </c>
      <c r="H110" s="27">
        <f>H111</f>
        <v>0</v>
      </c>
      <c r="I110" s="27">
        <f aca="true" t="shared" si="111" ref="I110:L110">I111</f>
        <v>0</v>
      </c>
      <c r="J110" s="27">
        <f t="shared" si="111"/>
        <v>0</v>
      </c>
      <c r="K110" s="27">
        <f t="shared" si="111"/>
        <v>0</v>
      </c>
      <c r="L110" s="27">
        <f t="shared" si="111"/>
        <v>0</v>
      </c>
      <c r="M110" s="27">
        <f aca="true" t="shared" si="112" ref="M110:N110">M111</f>
        <v>96.2</v>
      </c>
      <c r="N110" s="27">
        <f t="shared" si="112"/>
        <v>39.8</v>
      </c>
      <c r="O110" s="27">
        <f t="shared" si="82"/>
        <v>41.37214137214137</v>
      </c>
    </row>
    <row r="111" spans="1:15" ht="31.5" customHeight="1">
      <c r="A111" s="26" t="s">
        <v>181</v>
      </c>
      <c r="B111" s="215">
        <v>902</v>
      </c>
      <c r="C111" s="213" t="s">
        <v>170</v>
      </c>
      <c r="D111" s="213" t="s">
        <v>192</v>
      </c>
      <c r="E111" s="213" t="s">
        <v>240</v>
      </c>
      <c r="F111" s="213" t="s">
        <v>182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f>'прил.№1 доходы'!I144</f>
        <v>96.2</v>
      </c>
      <c r="N111" s="27">
        <v>39.8</v>
      </c>
      <c r="O111" s="27">
        <f t="shared" si="82"/>
        <v>41.37214137214137</v>
      </c>
    </row>
    <row r="112" spans="1:15" ht="31.5" customHeight="1" hidden="1">
      <c r="A112" s="26" t="s">
        <v>183</v>
      </c>
      <c r="B112" s="215">
        <v>902</v>
      </c>
      <c r="C112" s="213" t="s">
        <v>170</v>
      </c>
      <c r="D112" s="213" t="s">
        <v>192</v>
      </c>
      <c r="E112" s="213" t="s">
        <v>240</v>
      </c>
      <c r="F112" s="213" t="s">
        <v>184</v>
      </c>
      <c r="G112" s="27">
        <f aca="true" t="shared" si="113" ref="G112:L112">G113</f>
        <v>0</v>
      </c>
      <c r="H112" s="27">
        <f t="shared" si="113"/>
        <v>0</v>
      </c>
      <c r="I112" s="27">
        <f t="shared" si="113"/>
        <v>0</v>
      </c>
      <c r="J112" s="27">
        <f t="shared" si="113"/>
        <v>0</v>
      </c>
      <c r="K112" s="27">
        <f t="shared" si="113"/>
        <v>0</v>
      </c>
      <c r="L112" s="27">
        <f t="shared" si="113"/>
        <v>0</v>
      </c>
      <c r="M112" s="27">
        <f aca="true" t="shared" si="114" ref="M112:N112">M113</f>
        <v>0</v>
      </c>
      <c r="N112" s="27">
        <f t="shared" si="114"/>
        <v>0</v>
      </c>
      <c r="O112" s="27" t="e">
        <f t="shared" si="82"/>
        <v>#DIV/0!</v>
      </c>
    </row>
    <row r="113" spans="1:15" ht="47.25" customHeight="1" hidden="1">
      <c r="A113" s="26" t="s">
        <v>185</v>
      </c>
      <c r="B113" s="215">
        <v>902</v>
      </c>
      <c r="C113" s="213" t="s">
        <v>170</v>
      </c>
      <c r="D113" s="213" t="s">
        <v>192</v>
      </c>
      <c r="E113" s="213" t="s">
        <v>240</v>
      </c>
      <c r="F113" s="213" t="s">
        <v>186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 t="e">
        <f t="shared" si="82"/>
        <v>#DIV/0!</v>
      </c>
    </row>
    <row r="114" spans="1:15" ht="47.25">
      <c r="A114" s="33" t="s">
        <v>241</v>
      </c>
      <c r="B114" s="215">
        <v>902</v>
      </c>
      <c r="C114" s="213" t="s">
        <v>170</v>
      </c>
      <c r="D114" s="213" t="s">
        <v>192</v>
      </c>
      <c r="E114" s="213" t="s">
        <v>242</v>
      </c>
      <c r="F114" s="213"/>
      <c r="G114" s="27">
        <f>G115</f>
        <v>701.8</v>
      </c>
      <c r="H114" s="27">
        <f>H115</f>
        <v>537.5</v>
      </c>
      <c r="I114" s="27">
        <f aca="true" t="shared" si="115" ref="I114:L115">I115</f>
        <v>701.8</v>
      </c>
      <c r="J114" s="27">
        <f t="shared" si="115"/>
        <v>701.8</v>
      </c>
      <c r="K114" s="27">
        <f t="shared" si="115"/>
        <v>701.8</v>
      </c>
      <c r="L114" s="27">
        <f t="shared" si="115"/>
        <v>701.8</v>
      </c>
      <c r="M114" s="27">
        <f>M115+M117</f>
        <v>673.4000000000001</v>
      </c>
      <c r="N114" s="27">
        <f aca="true" t="shared" si="116" ref="N114">N115+N117</f>
        <v>245.9</v>
      </c>
      <c r="O114" s="27">
        <f t="shared" si="82"/>
        <v>36.51618651618651</v>
      </c>
    </row>
    <row r="115" spans="1:15" ht="94.5">
      <c r="A115" s="26" t="s">
        <v>179</v>
      </c>
      <c r="B115" s="215">
        <v>902</v>
      </c>
      <c r="C115" s="213" t="s">
        <v>170</v>
      </c>
      <c r="D115" s="213" t="s">
        <v>192</v>
      </c>
      <c r="E115" s="213" t="s">
        <v>242</v>
      </c>
      <c r="F115" s="213" t="s">
        <v>180</v>
      </c>
      <c r="G115" s="27">
        <f>G116</f>
        <v>701.8</v>
      </c>
      <c r="H115" s="27">
        <f>H116</f>
        <v>537.5</v>
      </c>
      <c r="I115" s="27">
        <f t="shared" si="115"/>
        <v>701.8</v>
      </c>
      <c r="J115" s="27">
        <f t="shared" si="115"/>
        <v>701.8</v>
      </c>
      <c r="K115" s="27">
        <f t="shared" si="115"/>
        <v>701.8</v>
      </c>
      <c r="L115" s="27">
        <f t="shared" si="115"/>
        <v>701.8</v>
      </c>
      <c r="M115" s="27">
        <f aca="true" t="shared" si="117" ref="M115:N115">M116</f>
        <v>471.1</v>
      </c>
      <c r="N115" s="27">
        <f t="shared" si="117"/>
        <v>245.9</v>
      </c>
      <c r="O115" s="27">
        <f t="shared" si="82"/>
        <v>52.19698577796647</v>
      </c>
    </row>
    <row r="116" spans="1:15" ht="31.5">
      <c r="A116" s="26" t="s">
        <v>181</v>
      </c>
      <c r="B116" s="215">
        <v>902</v>
      </c>
      <c r="C116" s="213" t="s">
        <v>170</v>
      </c>
      <c r="D116" s="213" t="s">
        <v>192</v>
      </c>
      <c r="E116" s="213" t="s">
        <v>242</v>
      </c>
      <c r="F116" s="213" t="s">
        <v>182</v>
      </c>
      <c r="G116" s="27">
        <v>701.8</v>
      </c>
      <c r="H116" s="27">
        <v>537.5</v>
      </c>
      <c r="I116" s="27">
        <v>701.8</v>
      </c>
      <c r="J116" s="27">
        <v>701.8</v>
      </c>
      <c r="K116" s="27">
        <v>701.8</v>
      </c>
      <c r="L116" s="27">
        <v>701.8</v>
      </c>
      <c r="M116" s="27">
        <f>471.1</f>
        <v>471.1</v>
      </c>
      <c r="N116" s="27">
        <v>245.9</v>
      </c>
      <c r="O116" s="27">
        <f t="shared" si="82"/>
        <v>52.19698577796647</v>
      </c>
    </row>
    <row r="117" spans="1:15" ht="31.5">
      <c r="A117" s="26" t="s">
        <v>183</v>
      </c>
      <c r="B117" s="215">
        <v>902</v>
      </c>
      <c r="C117" s="213" t="s">
        <v>170</v>
      </c>
      <c r="D117" s="213" t="s">
        <v>192</v>
      </c>
      <c r="E117" s="213" t="s">
        <v>242</v>
      </c>
      <c r="F117" s="213" t="s">
        <v>184</v>
      </c>
      <c r="G117" s="27"/>
      <c r="H117" s="27"/>
      <c r="I117" s="27"/>
      <c r="J117" s="27"/>
      <c r="K117" s="27"/>
      <c r="L117" s="27"/>
      <c r="M117" s="27">
        <f>M118</f>
        <v>202.3</v>
      </c>
      <c r="N117" s="27">
        <f aca="true" t="shared" si="118" ref="N117">N118</f>
        <v>0</v>
      </c>
      <c r="O117" s="27">
        <f t="shared" si="82"/>
        <v>0</v>
      </c>
    </row>
    <row r="118" spans="1:15" ht="47.25">
      <c r="A118" s="26" t="s">
        <v>185</v>
      </c>
      <c r="B118" s="215">
        <v>902</v>
      </c>
      <c r="C118" s="213" t="s">
        <v>170</v>
      </c>
      <c r="D118" s="213" t="s">
        <v>192</v>
      </c>
      <c r="E118" s="213" t="s">
        <v>242</v>
      </c>
      <c r="F118" s="213" t="s">
        <v>186</v>
      </c>
      <c r="G118" s="27"/>
      <c r="H118" s="27"/>
      <c r="I118" s="27"/>
      <c r="J118" s="27"/>
      <c r="K118" s="27"/>
      <c r="L118" s="27"/>
      <c r="M118" s="27">
        <f>223-20.7</f>
        <v>202.3</v>
      </c>
      <c r="N118" s="27">
        <v>0</v>
      </c>
      <c r="O118" s="27">
        <f t="shared" si="82"/>
        <v>0</v>
      </c>
    </row>
    <row r="119" spans="1:15" ht="47.25" hidden="1">
      <c r="A119" s="35" t="s">
        <v>243</v>
      </c>
      <c r="B119" s="215">
        <v>902</v>
      </c>
      <c r="C119" s="213" t="s">
        <v>170</v>
      </c>
      <c r="D119" s="213" t="s">
        <v>192</v>
      </c>
      <c r="E119" s="213" t="s">
        <v>244</v>
      </c>
      <c r="F119" s="213"/>
      <c r="G119" s="27">
        <f>G120</f>
        <v>40</v>
      </c>
      <c r="H119" s="27">
        <f>H120</f>
        <v>20</v>
      </c>
      <c r="I119" s="27">
        <f aca="true" t="shared" si="119" ref="I119:L120">I120</f>
        <v>40</v>
      </c>
      <c r="J119" s="27">
        <f t="shared" si="119"/>
        <v>40</v>
      </c>
      <c r="K119" s="27">
        <f t="shared" si="119"/>
        <v>40</v>
      </c>
      <c r="L119" s="27">
        <f t="shared" si="119"/>
        <v>40</v>
      </c>
      <c r="M119" s="27">
        <f aca="true" t="shared" si="120" ref="M119:N120">M120</f>
        <v>0</v>
      </c>
      <c r="N119" s="27">
        <f t="shared" si="120"/>
        <v>0</v>
      </c>
      <c r="O119" s="27" t="e">
        <f t="shared" si="82"/>
        <v>#DIV/0!</v>
      </c>
    </row>
    <row r="120" spans="1:15" ht="31.5" hidden="1">
      <c r="A120" s="26" t="s">
        <v>183</v>
      </c>
      <c r="B120" s="215">
        <v>902</v>
      </c>
      <c r="C120" s="213" t="s">
        <v>170</v>
      </c>
      <c r="D120" s="213" t="s">
        <v>192</v>
      </c>
      <c r="E120" s="213" t="s">
        <v>244</v>
      </c>
      <c r="F120" s="213" t="s">
        <v>184</v>
      </c>
      <c r="G120" s="27">
        <f>G121</f>
        <v>40</v>
      </c>
      <c r="H120" s="27">
        <f>H121</f>
        <v>20</v>
      </c>
      <c r="I120" s="27">
        <f t="shared" si="119"/>
        <v>40</v>
      </c>
      <c r="J120" s="27">
        <f t="shared" si="119"/>
        <v>40</v>
      </c>
      <c r="K120" s="27">
        <f t="shared" si="119"/>
        <v>40</v>
      </c>
      <c r="L120" s="27">
        <f t="shared" si="119"/>
        <v>40</v>
      </c>
      <c r="M120" s="27">
        <f t="shared" si="120"/>
        <v>0</v>
      </c>
      <c r="N120" s="27">
        <f t="shared" si="120"/>
        <v>0</v>
      </c>
      <c r="O120" s="27" t="e">
        <f t="shared" si="82"/>
        <v>#DIV/0!</v>
      </c>
    </row>
    <row r="121" spans="1:15" ht="47.25" hidden="1">
      <c r="A121" s="26" t="s">
        <v>185</v>
      </c>
      <c r="B121" s="215">
        <v>902</v>
      </c>
      <c r="C121" s="213" t="s">
        <v>170</v>
      </c>
      <c r="D121" s="213" t="s">
        <v>192</v>
      </c>
      <c r="E121" s="213" t="s">
        <v>244</v>
      </c>
      <c r="F121" s="213" t="s">
        <v>186</v>
      </c>
      <c r="G121" s="27">
        <f>36+4</f>
        <v>40</v>
      </c>
      <c r="H121" s="27">
        <v>20</v>
      </c>
      <c r="I121" s="27">
        <f aca="true" t="shared" si="121" ref="I121:L121">36+4</f>
        <v>40</v>
      </c>
      <c r="J121" s="27">
        <f t="shared" si="121"/>
        <v>40</v>
      </c>
      <c r="K121" s="27">
        <f t="shared" si="121"/>
        <v>40</v>
      </c>
      <c r="L121" s="27">
        <f t="shared" si="121"/>
        <v>40</v>
      </c>
      <c r="M121" s="27">
        <f>36+4-40</f>
        <v>0</v>
      </c>
      <c r="N121" s="27">
        <f aca="true" t="shared" si="122" ref="N121">36+4-40</f>
        <v>0</v>
      </c>
      <c r="O121" s="27" t="e">
        <f t="shared" si="82"/>
        <v>#DIV/0!</v>
      </c>
    </row>
    <row r="122" spans="1:15" ht="31.5" customHeight="1" hidden="1">
      <c r="A122" s="33" t="s">
        <v>245</v>
      </c>
      <c r="B122" s="215">
        <v>902</v>
      </c>
      <c r="C122" s="213" t="s">
        <v>170</v>
      </c>
      <c r="D122" s="213" t="s">
        <v>192</v>
      </c>
      <c r="E122" s="213" t="s">
        <v>244</v>
      </c>
      <c r="F122" s="213"/>
      <c r="G122" s="27">
        <f aca="true" t="shared" si="123" ref="G122:L123">G123</f>
        <v>0</v>
      </c>
      <c r="H122" s="27">
        <f t="shared" si="123"/>
        <v>0</v>
      </c>
      <c r="I122" s="27">
        <f t="shared" si="123"/>
        <v>0</v>
      </c>
      <c r="J122" s="27">
        <f t="shared" si="123"/>
        <v>0</v>
      </c>
      <c r="K122" s="27">
        <f t="shared" si="123"/>
        <v>0</v>
      </c>
      <c r="L122" s="27">
        <f t="shared" si="123"/>
        <v>0</v>
      </c>
      <c r="M122" s="27">
        <f aca="true" t="shared" si="124" ref="M122:N123">M123</f>
        <v>0</v>
      </c>
      <c r="N122" s="27">
        <f t="shared" si="124"/>
        <v>0</v>
      </c>
      <c r="O122" s="27" t="e">
        <f t="shared" si="82"/>
        <v>#DIV/0!</v>
      </c>
    </row>
    <row r="123" spans="1:15" ht="31.5" customHeight="1" hidden="1">
      <c r="A123" s="26" t="s">
        <v>183</v>
      </c>
      <c r="B123" s="215">
        <v>902</v>
      </c>
      <c r="C123" s="213" t="s">
        <v>170</v>
      </c>
      <c r="D123" s="213" t="s">
        <v>192</v>
      </c>
      <c r="E123" s="213" t="s">
        <v>244</v>
      </c>
      <c r="F123" s="213" t="s">
        <v>184</v>
      </c>
      <c r="G123" s="27">
        <f t="shared" si="123"/>
        <v>0</v>
      </c>
      <c r="H123" s="27">
        <f t="shared" si="123"/>
        <v>0</v>
      </c>
      <c r="I123" s="27">
        <f t="shared" si="123"/>
        <v>0</v>
      </c>
      <c r="J123" s="27">
        <f t="shared" si="123"/>
        <v>0</v>
      </c>
      <c r="K123" s="27">
        <f t="shared" si="123"/>
        <v>0</v>
      </c>
      <c r="L123" s="27">
        <f t="shared" si="123"/>
        <v>0</v>
      </c>
      <c r="M123" s="27">
        <f t="shared" si="124"/>
        <v>0</v>
      </c>
      <c r="N123" s="27">
        <f t="shared" si="124"/>
        <v>0</v>
      </c>
      <c r="O123" s="27" t="e">
        <f t="shared" si="82"/>
        <v>#DIV/0!</v>
      </c>
    </row>
    <row r="124" spans="1:15" ht="47.25" customHeight="1" hidden="1">
      <c r="A124" s="26" t="s">
        <v>185</v>
      </c>
      <c r="B124" s="215">
        <v>902</v>
      </c>
      <c r="C124" s="213" t="s">
        <v>170</v>
      </c>
      <c r="D124" s="213" t="s">
        <v>192</v>
      </c>
      <c r="E124" s="213" t="s">
        <v>244</v>
      </c>
      <c r="F124" s="213" t="s">
        <v>186</v>
      </c>
      <c r="G124" s="27"/>
      <c r="H124" s="27"/>
      <c r="I124" s="27"/>
      <c r="J124" s="27"/>
      <c r="K124" s="27"/>
      <c r="L124" s="27"/>
      <c r="M124" s="27"/>
      <c r="N124" s="27"/>
      <c r="O124" s="27" t="e">
        <f t="shared" si="82"/>
        <v>#DIV/0!</v>
      </c>
    </row>
    <row r="125" spans="1:15" ht="63">
      <c r="A125" s="33" t="s">
        <v>246</v>
      </c>
      <c r="B125" s="215">
        <v>902</v>
      </c>
      <c r="C125" s="213" t="s">
        <v>170</v>
      </c>
      <c r="D125" s="213" t="s">
        <v>192</v>
      </c>
      <c r="E125" s="213" t="s">
        <v>247</v>
      </c>
      <c r="F125" s="213"/>
      <c r="G125" s="27">
        <f>G126</f>
        <v>1752.9</v>
      </c>
      <c r="H125" s="27">
        <f>H126</f>
        <v>1279.5</v>
      </c>
      <c r="I125" s="27">
        <f aca="true" t="shared" si="125" ref="I125:L126">I126</f>
        <v>1752.9</v>
      </c>
      <c r="J125" s="27">
        <f t="shared" si="125"/>
        <v>1752.9</v>
      </c>
      <c r="K125" s="27">
        <f t="shared" si="125"/>
        <v>1752.9</v>
      </c>
      <c r="L125" s="27">
        <f t="shared" si="125"/>
        <v>1752.9</v>
      </c>
      <c r="M125" s="27">
        <f>M126+M128</f>
        <v>1752.9</v>
      </c>
      <c r="N125" s="27">
        <f aca="true" t="shared" si="126" ref="N125">N126+N128</f>
        <v>784.4</v>
      </c>
      <c r="O125" s="27">
        <f t="shared" si="82"/>
        <v>44.748702150721655</v>
      </c>
    </row>
    <row r="126" spans="1:15" ht="94.5">
      <c r="A126" s="26" t="s">
        <v>179</v>
      </c>
      <c r="B126" s="215">
        <v>902</v>
      </c>
      <c r="C126" s="213" t="s">
        <v>170</v>
      </c>
      <c r="D126" s="213" t="s">
        <v>192</v>
      </c>
      <c r="E126" s="213" t="s">
        <v>247</v>
      </c>
      <c r="F126" s="213" t="s">
        <v>180</v>
      </c>
      <c r="G126" s="27">
        <f>G127</f>
        <v>1752.9</v>
      </c>
      <c r="H126" s="27">
        <f>H127</f>
        <v>1279.5</v>
      </c>
      <c r="I126" s="27">
        <f t="shared" si="125"/>
        <v>1752.9</v>
      </c>
      <c r="J126" s="27">
        <f t="shared" si="125"/>
        <v>1752.9</v>
      </c>
      <c r="K126" s="27">
        <f t="shared" si="125"/>
        <v>1752.9</v>
      </c>
      <c r="L126" s="27">
        <f t="shared" si="125"/>
        <v>1752.9</v>
      </c>
      <c r="M126" s="27">
        <f aca="true" t="shared" si="127" ref="M126:N126">M127</f>
        <v>1712.5</v>
      </c>
      <c r="N126" s="27">
        <f t="shared" si="127"/>
        <v>773.1</v>
      </c>
      <c r="O126" s="27">
        <f t="shared" si="82"/>
        <v>45.144525547445255</v>
      </c>
    </row>
    <row r="127" spans="1:15" ht="31.5">
      <c r="A127" s="26" t="s">
        <v>181</v>
      </c>
      <c r="B127" s="215">
        <v>902</v>
      </c>
      <c r="C127" s="213" t="s">
        <v>170</v>
      </c>
      <c r="D127" s="213" t="s">
        <v>192</v>
      </c>
      <c r="E127" s="213" t="s">
        <v>247</v>
      </c>
      <c r="F127" s="213" t="s">
        <v>182</v>
      </c>
      <c r="G127" s="27">
        <v>1752.9</v>
      </c>
      <c r="H127" s="27">
        <v>1279.5</v>
      </c>
      <c r="I127" s="27">
        <v>1752.9</v>
      </c>
      <c r="J127" s="27">
        <v>1752.9</v>
      </c>
      <c r="K127" s="27">
        <v>1752.9</v>
      </c>
      <c r="L127" s="27">
        <v>1752.9</v>
      </c>
      <c r="M127" s="27">
        <f>'прил.№1 доходы'!I132-156.9+116.5</f>
        <v>1712.5</v>
      </c>
      <c r="N127" s="27">
        <v>773.1</v>
      </c>
      <c r="O127" s="27">
        <f t="shared" si="82"/>
        <v>45.144525547445255</v>
      </c>
    </row>
    <row r="128" spans="1:15" ht="31.5">
      <c r="A128" s="26" t="s">
        <v>183</v>
      </c>
      <c r="B128" s="215">
        <v>902</v>
      </c>
      <c r="C128" s="213" t="s">
        <v>170</v>
      </c>
      <c r="D128" s="213" t="s">
        <v>192</v>
      </c>
      <c r="E128" s="213" t="s">
        <v>247</v>
      </c>
      <c r="F128" s="213" t="s">
        <v>184</v>
      </c>
      <c r="G128" s="27"/>
      <c r="H128" s="27"/>
      <c r="I128" s="27"/>
      <c r="J128" s="27"/>
      <c r="K128" s="27"/>
      <c r="L128" s="27"/>
      <c r="M128" s="27">
        <f>M129</f>
        <v>40.400000000000006</v>
      </c>
      <c r="N128" s="27">
        <f aca="true" t="shared" si="128" ref="N128">N129</f>
        <v>11.3</v>
      </c>
      <c r="O128" s="27">
        <f t="shared" si="82"/>
        <v>27.970297029702966</v>
      </c>
    </row>
    <row r="129" spans="1:15" ht="47.25">
      <c r="A129" s="26" t="s">
        <v>185</v>
      </c>
      <c r="B129" s="215">
        <v>902</v>
      </c>
      <c r="C129" s="213" t="s">
        <v>170</v>
      </c>
      <c r="D129" s="213" t="s">
        <v>192</v>
      </c>
      <c r="E129" s="213" t="s">
        <v>247</v>
      </c>
      <c r="F129" s="213" t="s">
        <v>186</v>
      </c>
      <c r="G129" s="27"/>
      <c r="H129" s="27"/>
      <c r="I129" s="27"/>
      <c r="J129" s="27"/>
      <c r="K129" s="27"/>
      <c r="L129" s="27"/>
      <c r="M129" s="27">
        <f>156.9-116.5</f>
        <v>40.400000000000006</v>
      </c>
      <c r="N129" s="27">
        <v>11.3</v>
      </c>
      <c r="O129" s="27">
        <f t="shared" si="82"/>
        <v>27.970297029702966</v>
      </c>
    </row>
    <row r="130" spans="1:15" ht="47.25">
      <c r="A130" s="33" t="s">
        <v>248</v>
      </c>
      <c r="B130" s="215">
        <v>902</v>
      </c>
      <c r="C130" s="213" t="s">
        <v>170</v>
      </c>
      <c r="D130" s="213" t="s">
        <v>192</v>
      </c>
      <c r="E130" s="213" t="s">
        <v>249</v>
      </c>
      <c r="F130" s="213"/>
      <c r="G130" s="27">
        <f>G131+G133</f>
        <v>1106.1999999999998</v>
      </c>
      <c r="H130" s="27">
        <f>H131+H133</f>
        <v>675.4000000000001</v>
      </c>
      <c r="I130" s="27">
        <f aca="true" t="shared" si="129" ref="I130:L130">I131+I133</f>
        <v>1106.1999999999998</v>
      </c>
      <c r="J130" s="27">
        <f t="shared" si="129"/>
        <v>1106.1999999999998</v>
      </c>
      <c r="K130" s="27">
        <f t="shared" si="129"/>
        <v>1106.1999999999998</v>
      </c>
      <c r="L130" s="27">
        <f t="shared" si="129"/>
        <v>1106.1999999999998</v>
      </c>
      <c r="M130" s="27">
        <f aca="true" t="shared" si="130" ref="M130:N130">M131+M133</f>
        <v>1106.2</v>
      </c>
      <c r="N130" s="27">
        <f t="shared" si="130"/>
        <v>281.2</v>
      </c>
      <c r="O130" s="27">
        <f t="shared" si="82"/>
        <v>25.420357982281683</v>
      </c>
    </row>
    <row r="131" spans="1:15" ht="94.5">
      <c r="A131" s="26" t="s">
        <v>179</v>
      </c>
      <c r="B131" s="215">
        <v>902</v>
      </c>
      <c r="C131" s="213" t="s">
        <v>170</v>
      </c>
      <c r="D131" s="213" t="s">
        <v>192</v>
      </c>
      <c r="E131" s="213" t="s">
        <v>249</v>
      </c>
      <c r="F131" s="213" t="s">
        <v>180</v>
      </c>
      <c r="G131" s="27">
        <f>G132</f>
        <v>1073.1</v>
      </c>
      <c r="H131" s="27">
        <f>H132</f>
        <v>667.2</v>
      </c>
      <c r="I131" s="27">
        <f aca="true" t="shared" si="131" ref="I131:L131">I132</f>
        <v>1073.1</v>
      </c>
      <c r="J131" s="27">
        <f t="shared" si="131"/>
        <v>1073.1</v>
      </c>
      <c r="K131" s="27">
        <f t="shared" si="131"/>
        <v>1073.1</v>
      </c>
      <c r="L131" s="27">
        <f t="shared" si="131"/>
        <v>1073.1</v>
      </c>
      <c r="M131" s="27">
        <f aca="true" t="shared" si="132" ref="M131:N131">M132</f>
        <v>1025.5</v>
      </c>
      <c r="N131" s="27">
        <f t="shared" si="132"/>
        <v>277.5</v>
      </c>
      <c r="O131" s="27">
        <f t="shared" si="82"/>
        <v>27.059970745977573</v>
      </c>
    </row>
    <row r="132" spans="1:15" ht="31.5">
      <c r="A132" s="26" t="s">
        <v>181</v>
      </c>
      <c r="B132" s="215">
        <v>902</v>
      </c>
      <c r="C132" s="213" t="s">
        <v>170</v>
      </c>
      <c r="D132" s="213" t="s">
        <v>192</v>
      </c>
      <c r="E132" s="213" t="s">
        <v>249</v>
      </c>
      <c r="F132" s="213" t="s">
        <v>182</v>
      </c>
      <c r="G132" s="27">
        <f>1537-463.9</f>
        <v>1073.1</v>
      </c>
      <c r="H132" s="27">
        <v>667.2</v>
      </c>
      <c r="I132" s="27">
        <f aca="true" t="shared" si="133" ref="I132:L132">1537-463.9</f>
        <v>1073.1</v>
      </c>
      <c r="J132" s="27">
        <f t="shared" si="133"/>
        <v>1073.1</v>
      </c>
      <c r="K132" s="27">
        <f t="shared" si="133"/>
        <v>1073.1</v>
      </c>
      <c r="L132" s="27">
        <f t="shared" si="133"/>
        <v>1073.1</v>
      </c>
      <c r="M132" s="27">
        <f>1537-463.9-47.6</f>
        <v>1025.5</v>
      </c>
      <c r="N132" s="27">
        <v>277.5</v>
      </c>
      <c r="O132" s="27">
        <f t="shared" si="82"/>
        <v>27.059970745977573</v>
      </c>
    </row>
    <row r="133" spans="1:15" ht="47.25">
      <c r="A133" s="26" t="s">
        <v>250</v>
      </c>
      <c r="B133" s="215">
        <v>902</v>
      </c>
      <c r="C133" s="213" t="s">
        <v>170</v>
      </c>
      <c r="D133" s="213" t="s">
        <v>192</v>
      </c>
      <c r="E133" s="213" t="s">
        <v>249</v>
      </c>
      <c r="F133" s="213" t="s">
        <v>184</v>
      </c>
      <c r="G133" s="27">
        <f>G134</f>
        <v>33.1</v>
      </c>
      <c r="H133" s="27">
        <f>H134</f>
        <v>8.2</v>
      </c>
      <c r="I133" s="27">
        <f aca="true" t="shared" si="134" ref="I133:L133">I134</f>
        <v>33.1</v>
      </c>
      <c r="J133" s="27">
        <f t="shared" si="134"/>
        <v>33.1</v>
      </c>
      <c r="K133" s="27">
        <f t="shared" si="134"/>
        <v>33.1</v>
      </c>
      <c r="L133" s="27">
        <f t="shared" si="134"/>
        <v>33.1</v>
      </c>
      <c r="M133" s="27">
        <f aca="true" t="shared" si="135" ref="M133:N133">M134</f>
        <v>80.7</v>
      </c>
      <c r="N133" s="27">
        <f t="shared" si="135"/>
        <v>3.7</v>
      </c>
      <c r="O133" s="27">
        <f t="shared" si="82"/>
        <v>4.584882280049566</v>
      </c>
    </row>
    <row r="134" spans="1:15" ht="47.25">
      <c r="A134" s="26" t="s">
        <v>185</v>
      </c>
      <c r="B134" s="215">
        <v>902</v>
      </c>
      <c r="C134" s="213" t="s">
        <v>170</v>
      </c>
      <c r="D134" s="213" t="s">
        <v>192</v>
      </c>
      <c r="E134" s="213" t="s">
        <v>249</v>
      </c>
      <c r="F134" s="213" t="s">
        <v>186</v>
      </c>
      <c r="G134" s="27">
        <v>33.1</v>
      </c>
      <c r="H134" s="27">
        <v>8.2</v>
      </c>
      <c r="I134" s="27">
        <v>33.1</v>
      </c>
      <c r="J134" s="27">
        <v>33.1</v>
      </c>
      <c r="K134" s="27">
        <v>33.1</v>
      </c>
      <c r="L134" s="27">
        <v>33.1</v>
      </c>
      <c r="M134" s="27">
        <f>33.1+47.6</f>
        <v>80.7</v>
      </c>
      <c r="N134" s="27">
        <v>3.7</v>
      </c>
      <c r="O134" s="27">
        <f t="shared" si="82"/>
        <v>4.584882280049566</v>
      </c>
    </row>
    <row r="135" spans="1:15" ht="15.75">
      <c r="A135" s="26" t="s">
        <v>193</v>
      </c>
      <c r="B135" s="215">
        <v>902</v>
      </c>
      <c r="C135" s="213" t="s">
        <v>170</v>
      </c>
      <c r="D135" s="213" t="s">
        <v>192</v>
      </c>
      <c r="E135" s="213" t="s">
        <v>194</v>
      </c>
      <c r="F135" s="213"/>
      <c r="G135" s="27">
        <f>G148+G153+G158</f>
        <v>8739.4</v>
      </c>
      <c r="H135" s="27">
        <f>H148+H153+H158</f>
        <v>6007.9</v>
      </c>
      <c r="I135" s="27">
        <f aca="true" t="shared" si="136" ref="I135:L135">I148+I153+I158</f>
        <v>8670.3</v>
      </c>
      <c r="J135" s="27">
        <f t="shared" si="136"/>
        <v>10065.8</v>
      </c>
      <c r="K135" s="27">
        <f t="shared" si="136"/>
        <v>10211.7</v>
      </c>
      <c r="L135" s="27">
        <f t="shared" si="136"/>
        <v>10338</v>
      </c>
      <c r="M135" s="27">
        <f aca="true" t="shared" si="137" ref="M135:N135">M148+M153+M158</f>
        <v>6357.7</v>
      </c>
      <c r="N135" s="27">
        <f t="shared" si="137"/>
        <v>3138.2000000000003</v>
      </c>
      <c r="O135" s="27">
        <f t="shared" si="82"/>
        <v>49.36061783349325</v>
      </c>
    </row>
    <row r="136" spans="1:15" ht="15.75" customHeight="1" hidden="1">
      <c r="A136" s="26" t="s">
        <v>251</v>
      </c>
      <c r="B136" s="215">
        <v>902</v>
      </c>
      <c r="C136" s="213" t="s">
        <v>170</v>
      </c>
      <c r="D136" s="213" t="s">
        <v>192</v>
      </c>
      <c r="E136" s="213" t="s">
        <v>252</v>
      </c>
      <c r="F136" s="213"/>
      <c r="G136" s="27">
        <f aca="true" t="shared" si="138" ref="G136:L137">G137</f>
        <v>0</v>
      </c>
      <c r="H136" s="27">
        <f t="shared" si="138"/>
        <v>0</v>
      </c>
      <c r="I136" s="27">
        <f t="shared" si="138"/>
        <v>0</v>
      </c>
      <c r="J136" s="27">
        <f t="shared" si="138"/>
        <v>0</v>
      </c>
      <c r="K136" s="27">
        <f t="shared" si="138"/>
        <v>0</v>
      </c>
      <c r="L136" s="27">
        <f t="shared" si="138"/>
        <v>0</v>
      </c>
      <c r="M136" s="27">
        <f aca="true" t="shared" si="139" ref="M136:N137">M137</f>
        <v>0</v>
      </c>
      <c r="N136" s="27">
        <f t="shared" si="139"/>
        <v>0</v>
      </c>
      <c r="O136" s="27" t="e">
        <f t="shared" si="82"/>
        <v>#DIV/0!</v>
      </c>
    </row>
    <row r="137" spans="1:15" ht="33" customHeight="1" hidden="1">
      <c r="A137" s="26" t="s">
        <v>250</v>
      </c>
      <c r="B137" s="215">
        <v>902</v>
      </c>
      <c r="C137" s="213" t="s">
        <v>170</v>
      </c>
      <c r="D137" s="213" t="s">
        <v>192</v>
      </c>
      <c r="E137" s="213" t="s">
        <v>252</v>
      </c>
      <c r="F137" s="213" t="s">
        <v>184</v>
      </c>
      <c r="G137" s="27">
        <f t="shared" si="138"/>
        <v>0</v>
      </c>
      <c r="H137" s="27">
        <f t="shared" si="138"/>
        <v>0</v>
      </c>
      <c r="I137" s="27">
        <f t="shared" si="138"/>
        <v>0</v>
      </c>
      <c r="J137" s="27">
        <f t="shared" si="138"/>
        <v>0</v>
      </c>
      <c r="K137" s="27">
        <f t="shared" si="138"/>
        <v>0</v>
      </c>
      <c r="L137" s="27">
        <f t="shared" si="138"/>
        <v>0</v>
      </c>
      <c r="M137" s="27">
        <f t="shared" si="139"/>
        <v>0</v>
      </c>
      <c r="N137" s="27">
        <f t="shared" si="139"/>
        <v>0</v>
      </c>
      <c r="O137" s="27" t="e">
        <f t="shared" si="82"/>
        <v>#DIV/0!</v>
      </c>
    </row>
    <row r="138" spans="1:15" ht="47.25" customHeight="1" hidden="1">
      <c r="A138" s="26" t="s">
        <v>185</v>
      </c>
      <c r="B138" s="215">
        <v>902</v>
      </c>
      <c r="C138" s="213" t="s">
        <v>170</v>
      </c>
      <c r="D138" s="213" t="s">
        <v>192</v>
      </c>
      <c r="E138" s="213" t="s">
        <v>252</v>
      </c>
      <c r="F138" s="213" t="s">
        <v>186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 t="e">
        <f t="shared" si="82"/>
        <v>#DIV/0!</v>
      </c>
    </row>
    <row r="139" spans="1:15" ht="15.75" customHeight="1" hidden="1">
      <c r="A139" s="26" t="s">
        <v>253</v>
      </c>
      <c r="B139" s="215">
        <v>902</v>
      </c>
      <c r="C139" s="213" t="s">
        <v>170</v>
      </c>
      <c r="D139" s="213" t="s">
        <v>192</v>
      </c>
      <c r="E139" s="213" t="s">
        <v>254</v>
      </c>
      <c r="F139" s="214"/>
      <c r="G139" s="27">
        <f aca="true" t="shared" si="140" ref="G139:L140">G140</f>
        <v>0</v>
      </c>
      <c r="H139" s="27">
        <f t="shared" si="140"/>
        <v>0</v>
      </c>
      <c r="I139" s="27">
        <f t="shared" si="140"/>
        <v>0</v>
      </c>
      <c r="J139" s="27">
        <f t="shared" si="140"/>
        <v>0</v>
      </c>
      <c r="K139" s="27">
        <f t="shared" si="140"/>
        <v>0</v>
      </c>
      <c r="L139" s="27">
        <f t="shared" si="140"/>
        <v>0</v>
      </c>
      <c r="M139" s="27">
        <f aca="true" t="shared" si="141" ref="M139:N140">M140</f>
        <v>0</v>
      </c>
      <c r="N139" s="27">
        <f t="shared" si="141"/>
        <v>0</v>
      </c>
      <c r="O139" s="27" t="e">
        <f t="shared" si="82"/>
        <v>#DIV/0!</v>
      </c>
    </row>
    <row r="140" spans="1:15" ht="47.25" customHeight="1" hidden="1">
      <c r="A140" s="26" t="s">
        <v>250</v>
      </c>
      <c r="B140" s="215">
        <v>902</v>
      </c>
      <c r="C140" s="213" t="s">
        <v>170</v>
      </c>
      <c r="D140" s="213" t="s">
        <v>192</v>
      </c>
      <c r="E140" s="213" t="s">
        <v>254</v>
      </c>
      <c r="F140" s="213" t="s">
        <v>184</v>
      </c>
      <c r="G140" s="27">
        <f t="shared" si="140"/>
        <v>0</v>
      </c>
      <c r="H140" s="27">
        <f t="shared" si="140"/>
        <v>0</v>
      </c>
      <c r="I140" s="27">
        <f t="shared" si="140"/>
        <v>0</v>
      </c>
      <c r="J140" s="27">
        <f t="shared" si="140"/>
        <v>0</v>
      </c>
      <c r="K140" s="27">
        <f t="shared" si="140"/>
        <v>0</v>
      </c>
      <c r="L140" s="27">
        <f t="shared" si="140"/>
        <v>0</v>
      </c>
      <c r="M140" s="27">
        <f t="shared" si="141"/>
        <v>0</v>
      </c>
      <c r="N140" s="27">
        <f t="shared" si="141"/>
        <v>0</v>
      </c>
      <c r="O140" s="27" t="e">
        <f t="shared" si="82"/>
        <v>#DIV/0!</v>
      </c>
    </row>
    <row r="141" spans="1:15" ht="47.25" customHeight="1" hidden="1">
      <c r="A141" s="26" t="s">
        <v>185</v>
      </c>
      <c r="B141" s="215">
        <v>902</v>
      </c>
      <c r="C141" s="213" t="s">
        <v>170</v>
      </c>
      <c r="D141" s="213" t="s">
        <v>192</v>
      </c>
      <c r="E141" s="213" t="s">
        <v>254</v>
      </c>
      <c r="F141" s="213" t="s">
        <v>186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 t="e">
        <f aca="true" t="shared" si="142" ref="O141:O204">N141/M141*100</f>
        <v>#DIV/0!</v>
      </c>
    </row>
    <row r="142" spans="1:15" ht="31.5" customHeight="1" hidden="1">
      <c r="A142" s="26" t="s">
        <v>255</v>
      </c>
      <c r="B142" s="215">
        <v>902</v>
      </c>
      <c r="C142" s="213" t="s">
        <v>170</v>
      </c>
      <c r="D142" s="213" t="s">
        <v>192</v>
      </c>
      <c r="E142" s="213" t="s">
        <v>256</v>
      </c>
      <c r="F142" s="213"/>
      <c r="G142" s="27">
        <f aca="true" t="shared" si="143" ref="G142:L143">G143</f>
        <v>0</v>
      </c>
      <c r="H142" s="27">
        <f t="shared" si="143"/>
        <v>0</v>
      </c>
      <c r="I142" s="27">
        <f t="shared" si="143"/>
        <v>0</v>
      </c>
      <c r="J142" s="27">
        <f t="shared" si="143"/>
        <v>0</v>
      </c>
      <c r="K142" s="27">
        <f t="shared" si="143"/>
        <v>0</v>
      </c>
      <c r="L142" s="27">
        <f t="shared" si="143"/>
        <v>0</v>
      </c>
      <c r="M142" s="27">
        <f aca="true" t="shared" si="144" ref="M142:N143">M143</f>
        <v>0</v>
      </c>
      <c r="N142" s="27">
        <f t="shared" si="144"/>
        <v>0</v>
      </c>
      <c r="O142" s="27" t="e">
        <f t="shared" si="142"/>
        <v>#DIV/0!</v>
      </c>
    </row>
    <row r="143" spans="1:15" ht="47.25" customHeight="1" hidden="1">
      <c r="A143" s="26" t="s">
        <v>250</v>
      </c>
      <c r="B143" s="215">
        <v>902</v>
      </c>
      <c r="C143" s="213" t="s">
        <v>170</v>
      </c>
      <c r="D143" s="213" t="s">
        <v>192</v>
      </c>
      <c r="E143" s="213" t="s">
        <v>256</v>
      </c>
      <c r="F143" s="213" t="s">
        <v>184</v>
      </c>
      <c r="G143" s="27">
        <f t="shared" si="143"/>
        <v>0</v>
      </c>
      <c r="H143" s="27">
        <f t="shared" si="143"/>
        <v>0</v>
      </c>
      <c r="I143" s="27">
        <f t="shared" si="143"/>
        <v>0</v>
      </c>
      <c r="J143" s="27">
        <f t="shared" si="143"/>
        <v>0</v>
      </c>
      <c r="K143" s="27">
        <f t="shared" si="143"/>
        <v>0</v>
      </c>
      <c r="L143" s="27">
        <f t="shared" si="143"/>
        <v>0</v>
      </c>
      <c r="M143" s="27">
        <f t="shared" si="144"/>
        <v>0</v>
      </c>
      <c r="N143" s="27">
        <f t="shared" si="144"/>
        <v>0</v>
      </c>
      <c r="O143" s="27" t="e">
        <f t="shared" si="142"/>
        <v>#DIV/0!</v>
      </c>
    </row>
    <row r="144" spans="1:15" ht="47.25" customHeight="1" hidden="1">
      <c r="A144" s="26" t="s">
        <v>185</v>
      </c>
      <c r="B144" s="215">
        <v>902</v>
      </c>
      <c r="C144" s="213" t="s">
        <v>170</v>
      </c>
      <c r="D144" s="213" t="s">
        <v>192</v>
      </c>
      <c r="E144" s="213" t="s">
        <v>256</v>
      </c>
      <c r="F144" s="213" t="s">
        <v>186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 t="e">
        <f t="shared" si="142"/>
        <v>#DIV/0!</v>
      </c>
    </row>
    <row r="145" spans="1:15" ht="15.75" customHeight="1" hidden="1">
      <c r="A145" s="26" t="s">
        <v>231</v>
      </c>
      <c r="B145" s="215">
        <v>902</v>
      </c>
      <c r="C145" s="213" t="s">
        <v>170</v>
      </c>
      <c r="D145" s="213" t="s">
        <v>192</v>
      </c>
      <c r="E145" s="213" t="s">
        <v>257</v>
      </c>
      <c r="F145" s="213"/>
      <c r="G145" s="27">
        <f aca="true" t="shared" si="145" ref="G145:L146">G146</f>
        <v>0</v>
      </c>
      <c r="H145" s="27">
        <f t="shared" si="145"/>
        <v>0</v>
      </c>
      <c r="I145" s="27">
        <f t="shared" si="145"/>
        <v>0</v>
      </c>
      <c r="J145" s="27">
        <f t="shared" si="145"/>
        <v>0</v>
      </c>
      <c r="K145" s="27">
        <f t="shared" si="145"/>
        <v>0</v>
      </c>
      <c r="L145" s="27">
        <f t="shared" si="145"/>
        <v>0</v>
      </c>
      <c r="M145" s="27">
        <f aca="true" t="shared" si="146" ref="M145:N146">M146</f>
        <v>0</v>
      </c>
      <c r="N145" s="27">
        <f t="shared" si="146"/>
        <v>0</v>
      </c>
      <c r="O145" s="27" t="e">
        <f t="shared" si="142"/>
        <v>#DIV/0!</v>
      </c>
    </row>
    <row r="146" spans="1:15" ht="47.25" customHeight="1" hidden="1">
      <c r="A146" s="26" t="s">
        <v>250</v>
      </c>
      <c r="B146" s="215">
        <v>902</v>
      </c>
      <c r="C146" s="213" t="s">
        <v>170</v>
      </c>
      <c r="D146" s="213" t="s">
        <v>192</v>
      </c>
      <c r="E146" s="213" t="s">
        <v>257</v>
      </c>
      <c r="F146" s="213" t="s">
        <v>184</v>
      </c>
      <c r="G146" s="27">
        <f t="shared" si="145"/>
        <v>0</v>
      </c>
      <c r="H146" s="27">
        <f t="shared" si="145"/>
        <v>0</v>
      </c>
      <c r="I146" s="27">
        <f t="shared" si="145"/>
        <v>0</v>
      </c>
      <c r="J146" s="27">
        <f t="shared" si="145"/>
        <v>0</v>
      </c>
      <c r="K146" s="27">
        <f t="shared" si="145"/>
        <v>0</v>
      </c>
      <c r="L146" s="27">
        <f t="shared" si="145"/>
        <v>0</v>
      </c>
      <c r="M146" s="27">
        <f t="shared" si="146"/>
        <v>0</v>
      </c>
      <c r="N146" s="27">
        <f t="shared" si="146"/>
        <v>0</v>
      </c>
      <c r="O146" s="27" t="e">
        <f t="shared" si="142"/>
        <v>#DIV/0!</v>
      </c>
    </row>
    <row r="147" spans="1:15" ht="47.25" customHeight="1" hidden="1">
      <c r="A147" s="26" t="s">
        <v>185</v>
      </c>
      <c r="B147" s="215">
        <v>902</v>
      </c>
      <c r="C147" s="213" t="s">
        <v>170</v>
      </c>
      <c r="D147" s="213" t="s">
        <v>192</v>
      </c>
      <c r="E147" s="213" t="s">
        <v>257</v>
      </c>
      <c r="F147" s="213" t="s">
        <v>186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 t="e">
        <f t="shared" si="142"/>
        <v>#DIV/0!</v>
      </c>
    </row>
    <row r="148" spans="1:15" ht="31.5">
      <c r="A148" s="26" t="s">
        <v>258</v>
      </c>
      <c r="B148" s="215">
        <v>902</v>
      </c>
      <c r="C148" s="213" t="s">
        <v>170</v>
      </c>
      <c r="D148" s="213" t="s">
        <v>192</v>
      </c>
      <c r="E148" s="213" t="s">
        <v>259</v>
      </c>
      <c r="F148" s="213"/>
      <c r="G148" s="27">
        <f>G149+G151</f>
        <v>6126.7</v>
      </c>
      <c r="H148" s="27">
        <f>H149+H151</f>
        <v>4041.9</v>
      </c>
      <c r="I148" s="27">
        <f aca="true" t="shared" si="147" ref="I148:L148">I149+I151</f>
        <v>6085.5</v>
      </c>
      <c r="J148" s="27">
        <f t="shared" si="147"/>
        <v>7619.5</v>
      </c>
      <c r="K148" s="27">
        <f t="shared" si="147"/>
        <v>7734.4</v>
      </c>
      <c r="L148" s="27">
        <f t="shared" si="147"/>
        <v>7839.7</v>
      </c>
      <c r="M148" s="27">
        <f aca="true" t="shared" si="148" ref="M148:N148">M149+M151</f>
        <v>6357.7</v>
      </c>
      <c r="N148" s="27">
        <f t="shared" si="148"/>
        <v>3138.2000000000003</v>
      </c>
      <c r="O148" s="27">
        <f t="shared" si="142"/>
        <v>49.36061783349325</v>
      </c>
    </row>
    <row r="149" spans="1:15" ht="94.5">
      <c r="A149" s="26" t="s">
        <v>179</v>
      </c>
      <c r="B149" s="215">
        <v>902</v>
      </c>
      <c r="C149" s="213" t="s">
        <v>170</v>
      </c>
      <c r="D149" s="213" t="s">
        <v>192</v>
      </c>
      <c r="E149" s="213" t="s">
        <v>259</v>
      </c>
      <c r="F149" s="213" t="s">
        <v>180</v>
      </c>
      <c r="G149" s="27">
        <f>G150</f>
        <v>4952</v>
      </c>
      <c r="H149" s="27">
        <f>H150</f>
        <v>3433.8</v>
      </c>
      <c r="I149" s="27">
        <f aca="true" t="shared" si="149" ref="I149:L149">I150</f>
        <v>4952</v>
      </c>
      <c r="J149" s="27">
        <f t="shared" si="149"/>
        <v>6094.8</v>
      </c>
      <c r="K149" s="27">
        <f t="shared" si="149"/>
        <v>6155.8</v>
      </c>
      <c r="L149" s="27">
        <f t="shared" si="149"/>
        <v>6217.4</v>
      </c>
      <c r="M149" s="27">
        <f aca="true" t="shared" si="150" ref="M149:N149">M150</f>
        <v>5183</v>
      </c>
      <c r="N149" s="27">
        <f t="shared" si="150"/>
        <v>2488.3</v>
      </c>
      <c r="O149" s="27">
        <f t="shared" si="142"/>
        <v>48.00887516882115</v>
      </c>
    </row>
    <row r="150" spans="1:15" ht="31.5">
      <c r="A150" s="26" t="s">
        <v>260</v>
      </c>
      <c r="B150" s="215">
        <v>902</v>
      </c>
      <c r="C150" s="213" t="s">
        <v>170</v>
      </c>
      <c r="D150" s="213" t="s">
        <v>192</v>
      </c>
      <c r="E150" s="213" t="s">
        <v>259</v>
      </c>
      <c r="F150" s="213" t="s">
        <v>261</v>
      </c>
      <c r="G150" s="28">
        <f>5174.7-222.7</f>
        <v>4952</v>
      </c>
      <c r="H150" s="28">
        <v>3433.8</v>
      </c>
      <c r="I150" s="28">
        <f aca="true" t="shared" si="151" ref="I150">5174.7-222.7</f>
        <v>4952</v>
      </c>
      <c r="J150" s="28">
        <v>6094.8</v>
      </c>
      <c r="K150" s="28">
        <v>6155.8</v>
      </c>
      <c r="L150" s="28">
        <v>6217.4</v>
      </c>
      <c r="M150" s="28">
        <f>5174.7-222.7+231</f>
        <v>5183</v>
      </c>
      <c r="N150" s="28">
        <v>2488.3</v>
      </c>
      <c r="O150" s="27">
        <f t="shared" si="142"/>
        <v>48.00887516882115</v>
      </c>
    </row>
    <row r="151" spans="1:15" ht="47.25">
      <c r="A151" s="26" t="s">
        <v>250</v>
      </c>
      <c r="B151" s="215">
        <v>902</v>
      </c>
      <c r="C151" s="213" t="s">
        <v>170</v>
      </c>
      <c r="D151" s="213" t="s">
        <v>192</v>
      </c>
      <c r="E151" s="213" t="s">
        <v>259</v>
      </c>
      <c r="F151" s="213" t="s">
        <v>184</v>
      </c>
      <c r="G151" s="27">
        <f>G152</f>
        <v>1174.7</v>
      </c>
      <c r="H151" s="27">
        <f>H152</f>
        <v>608.1</v>
      </c>
      <c r="I151" s="27">
        <f aca="true" t="shared" si="152" ref="I151:L151">I152</f>
        <v>1133.5</v>
      </c>
      <c r="J151" s="27">
        <f t="shared" si="152"/>
        <v>1524.7</v>
      </c>
      <c r="K151" s="27">
        <f t="shared" si="152"/>
        <v>1578.6</v>
      </c>
      <c r="L151" s="27">
        <f t="shared" si="152"/>
        <v>1622.3</v>
      </c>
      <c r="M151" s="27">
        <f aca="true" t="shared" si="153" ref="M151:N151">M152</f>
        <v>1174.7</v>
      </c>
      <c r="N151" s="27">
        <f t="shared" si="153"/>
        <v>649.9</v>
      </c>
      <c r="O151" s="27">
        <f t="shared" si="142"/>
        <v>55.32476376947305</v>
      </c>
    </row>
    <row r="152" spans="1:15" ht="47.25">
      <c r="A152" s="26" t="s">
        <v>185</v>
      </c>
      <c r="B152" s="215">
        <v>902</v>
      </c>
      <c r="C152" s="213" t="s">
        <v>170</v>
      </c>
      <c r="D152" s="213" t="s">
        <v>192</v>
      </c>
      <c r="E152" s="213" t="s">
        <v>259</v>
      </c>
      <c r="F152" s="213" t="s">
        <v>186</v>
      </c>
      <c r="G152" s="28">
        <f>724.7+450</f>
        <v>1174.7</v>
      </c>
      <c r="H152" s="28">
        <v>608.1</v>
      </c>
      <c r="I152" s="28">
        <v>1133.5</v>
      </c>
      <c r="J152" s="28">
        <v>1524.7</v>
      </c>
      <c r="K152" s="28">
        <v>1578.6</v>
      </c>
      <c r="L152" s="28">
        <v>1622.3</v>
      </c>
      <c r="M152" s="28">
        <f aca="true" t="shared" si="154" ref="M152">724.7+450</f>
        <v>1174.7</v>
      </c>
      <c r="N152" s="28">
        <v>649.9</v>
      </c>
      <c r="O152" s="27">
        <f t="shared" si="142"/>
        <v>55.32476376947305</v>
      </c>
    </row>
    <row r="153" spans="1:15" ht="47.25" hidden="1">
      <c r="A153" s="26" t="s">
        <v>262</v>
      </c>
      <c r="B153" s="215">
        <v>902</v>
      </c>
      <c r="C153" s="213" t="s">
        <v>170</v>
      </c>
      <c r="D153" s="213" t="s">
        <v>192</v>
      </c>
      <c r="E153" s="213" t="s">
        <v>263</v>
      </c>
      <c r="F153" s="213"/>
      <c r="G153" s="27">
        <f>G154+G156</f>
        <v>2520.4</v>
      </c>
      <c r="H153" s="27">
        <f>H154+H156</f>
        <v>1873.8</v>
      </c>
      <c r="I153" s="27">
        <f aca="true" t="shared" si="155" ref="I153:L153">I154+I156</f>
        <v>2492.5</v>
      </c>
      <c r="J153" s="27">
        <f t="shared" si="155"/>
        <v>2446.3</v>
      </c>
      <c r="K153" s="27">
        <f t="shared" si="155"/>
        <v>2477.3</v>
      </c>
      <c r="L153" s="27">
        <f t="shared" si="155"/>
        <v>2498.3</v>
      </c>
      <c r="M153" s="27">
        <f aca="true" t="shared" si="156" ref="M153:N153">M154+M156</f>
        <v>0</v>
      </c>
      <c r="N153" s="27">
        <f t="shared" si="156"/>
        <v>0</v>
      </c>
      <c r="O153" s="22" t="e">
        <f t="shared" si="142"/>
        <v>#DIV/0!</v>
      </c>
    </row>
    <row r="154" spans="1:15" ht="94.5" hidden="1">
      <c r="A154" s="26" t="s">
        <v>179</v>
      </c>
      <c r="B154" s="215">
        <v>902</v>
      </c>
      <c r="C154" s="213" t="s">
        <v>170</v>
      </c>
      <c r="D154" s="213" t="s">
        <v>192</v>
      </c>
      <c r="E154" s="213" t="s">
        <v>263</v>
      </c>
      <c r="F154" s="213" t="s">
        <v>180</v>
      </c>
      <c r="G154" s="27">
        <f>G155</f>
        <v>1895</v>
      </c>
      <c r="H154" s="27">
        <f>H155</f>
        <v>1551.3</v>
      </c>
      <c r="I154" s="27">
        <f aca="true" t="shared" si="157" ref="I154:L154">I155</f>
        <v>1895</v>
      </c>
      <c r="J154" s="27">
        <f t="shared" si="157"/>
        <v>1777</v>
      </c>
      <c r="K154" s="27">
        <f t="shared" si="157"/>
        <v>1777</v>
      </c>
      <c r="L154" s="27">
        <f t="shared" si="157"/>
        <v>1777</v>
      </c>
      <c r="M154" s="27">
        <f aca="true" t="shared" si="158" ref="M154:N154">M155</f>
        <v>0</v>
      </c>
      <c r="N154" s="27">
        <f t="shared" si="158"/>
        <v>0</v>
      </c>
      <c r="O154" s="22" t="e">
        <f t="shared" si="142"/>
        <v>#DIV/0!</v>
      </c>
    </row>
    <row r="155" spans="1:15" ht="31.5" hidden="1">
      <c r="A155" s="26" t="s">
        <v>181</v>
      </c>
      <c r="B155" s="215">
        <v>902</v>
      </c>
      <c r="C155" s="213" t="s">
        <v>170</v>
      </c>
      <c r="D155" s="213" t="s">
        <v>192</v>
      </c>
      <c r="E155" s="213" t="s">
        <v>263</v>
      </c>
      <c r="F155" s="213" t="s">
        <v>182</v>
      </c>
      <c r="G155" s="28">
        <f>1952.2-57.2</f>
        <v>1895</v>
      </c>
      <c r="H155" s="28">
        <v>1551.3</v>
      </c>
      <c r="I155" s="28">
        <f aca="true" t="shared" si="159" ref="I155">1952.2-57.2</f>
        <v>1895</v>
      </c>
      <c r="J155" s="28">
        <v>1777</v>
      </c>
      <c r="K155" s="28">
        <v>1777</v>
      </c>
      <c r="L155" s="28">
        <v>1777</v>
      </c>
      <c r="M155" s="28"/>
      <c r="N155" s="28"/>
      <c r="O155" s="22" t="e">
        <f t="shared" si="142"/>
        <v>#DIV/0!</v>
      </c>
    </row>
    <row r="156" spans="1:15" ht="47.25" hidden="1">
      <c r="A156" s="26" t="s">
        <v>250</v>
      </c>
      <c r="B156" s="215">
        <v>902</v>
      </c>
      <c r="C156" s="213" t="s">
        <v>170</v>
      </c>
      <c r="D156" s="213" t="s">
        <v>192</v>
      </c>
      <c r="E156" s="213" t="s">
        <v>263</v>
      </c>
      <c r="F156" s="213" t="s">
        <v>184</v>
      </c>
      <c r="G156" s="27">
        <f>G157</f>
        <v>625.4</v>
      </c>
      <c r="H156" s="27">
        <f>H157</f>
        <v>322.5</v>
      </c>
      <c r="I156" s="27">
        <f aca="true" t="shared" si="160" ref="I156:L156">I157</f>
        <v>597.5</v>
      </c>
      <c r="J156" s="27">
        <f t="shared" si="160"/>
        <v>669.3</v>
      </c>
      <c r="K156" s="27">
        <f t="shared" si="160"/>
        <v>700.3</v>
      </c>
      <c r="L156" s="27">
        <f t="shared" si="160"/>
        <v>721.3</v>
      </c>
      <c r="M156" s="27">
        <f aca="true" t="shared" si="161" ref="M156:N156">M157</f>
        <v>0</v>
      </c>
      <c r="N156" s="27">
        <f t="shared" si="161"/>
        <v>0</v>
      </c>
      <c r="O156" s="22" t="e">
        <f t="shared" si="142"/>
        <v>#DIV/0!</v>
      </c>
    </row>
    <row r="157" spans="1:15" ht="47.25" hidden="1">
      <c r="A157" s="26" t="s">
        <v>185</v>
      </c>
      <c r="B157" s="215">
        <v>902</v>
      </c>
      <c r="C157" s="213" t="s">
        <v>170</v>
      </c>
      <c r="D157" s="213" t="s">
        <v>192</v>
      </c>
      <c r="E157" s="213" t="s">
        <v>263</v>
      </c>
      <c r="F157" s="213" t="s">
        <v>186</v>
      </c>
      <c r="G157" s="27">
        <f>821.9-196.5</f>
        <v>625.4</v>
      </c>
      <c r="H157" s="27">
        <v>322.5</v>
      </c>
      <c r="I157" s="27">
        <v>597.5</v>
      </c>
      <c r="J157" s="27">
        <v>669.3</v>
      </c>
      <c r="K157" s="27">
        <v>700.3</v>
      </c>
      <c r="L157" s="27">
        <v>721.3</v>
      </c>
      <c r="M157" s="27"/>
      <c r="N157" s="27"/>
      <c r="O157" s="22" t="e">
        <f t="shared" si="142"/>
        <v>#DIV/0!</v>
      </c>
    </row>
    <row r="158" spans="1:15" ht="15.75" hidden="1">
      <c r="A158" s="47" t="s">
        <v>195</v>
      </c>
      <c r="B158" s="215">
        <v>902</v>
      </c>
      <c r="C158" s="213" t="s">
        <v>170</v>
      </c>
      <c r="D158" s="213" t="s">
        <v>192</v>
      </c>
      <c r="E158" s="213" t="s">
        <v>196</v>
      </c>
      <c r="F158" s="213"/>
      <c r="G158" s="27">
        <f>G159</f>
        <v>92.3</v>
      </c>
      <c r="H158" s="27">
        <f>H159</f>
        <v>92.2</v>
      </c>
      <c r="I158" s="27">
        <f aca="true" t="shared" si="162" ref="I158:L159">I159</f>
        <v>92.3</v>
      </c>
      <c r="J158" s="27">
        <f t="shared" si="162"/>
        <v>0</v>
      </c>
      <c r="K158" s="27">
        <f t="shared" si="162"/>
        <v>0</v>
      </c>
      <c r="L158" s="27">
        <f t="shared" si="162"/>
        <v>0</v>
      </c>
      <c r="M158" s="27">
        <f aca="true" t="shared" si="163" ref="M158:N159">M159</f>
        <v>0</v>
      </c>
      <c r="N158" s="27">
        <f t="shared" si="163"/>
        <v>0</v>
      </c>
      <c r="O158" s="22" t="e">
        <f t="shared" si="142"/>
        <v>#DIV/0!</v>
      </c>
    </row>
    <row r="159" spans="1:15" ht="15.75" hidden="1">
      <c r="A159" s="26" t="s">
        <v>187</v>
      </c>
      <c r="B159" s="215">
        <v>902</v>
      </c>
      <c r="C159" s="213" t="s">
        <v>170</v>
      </c>
      <c r="D159" s="213" t="s">
        <v>192</v>
      </c>
      <c r="E159" s="213" t="s">
        <v>196</v>
      </c>
      <c r="F159" s="213" t="s">
        <v>197</v>
      </c>
      <c r="G159" s="27">
        <f>G160</f>
        <v>92.3</v>
      </c>
      <c r="H159" s="27">
        <f>H160</f>
        <v>92.2</v>
      </c>
      <c r="I159" s="27">
        <f t="shared" si="162"/>
        <v>92.3</v>
      </c>
      <c r="J159" s="27">
        <f t="shared" si="162"/>
        <v>0</v>
      </c>
      <c r="K159" s="27">
        <f t="shared" si="162"/>
        <v>0</v>
      </c>
      <c r="L159" s="27">
        <f t="shared" si="162"/>
        <v>0</v>
      </c>
      <c r="M159" s="27">
        <f t="shared" si="163"/>
        <v>0</v>
      </c>
      <c r="N159" s="27">
        <f t="shared" si="163"/>
        <v>0</v>
      </c>
      <c r="O159" s="22" t="e">
        <f t="shared" si="142"/>
        <v>#DIV/0!</v>
      </c>
    </row>
    <row r="160" spans="1:15" ht="15.75" hidden="1">
      <c r="A160" s="26" t="s">
        <v>198</v>
      </c>
      <c r="B160" s="215">
        <v>902</v>
      </c>
      <c r="C160" s="213" t="s">
        <v>170</v>
      </c>
      <c r="D160" s="213" t="s">
        <v>192</v>
      </c>
      <c r="E160" s="213" t="s">
        <v>196</v>
      </c>
      <c r="F160" s="213" t="s">
        <v>199</v>
      </c>
      <c r="G160" s="27">
        <v>92.3</v>
      </c>
      <c r="H160" s="27">
        <v>92.2</v>
      </c>
      <c r="I160" s="27">
        <v>92.3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2" t="e">
        <f t="shared" si="142"/>
        <v>#DIV/0!</v>
      </c>
    </row>
    <row r="161" spans="1:15" ht="15.75" customHeight="1" hidden="1">
      <c r="A161" s="24" t="s">
        <v>264</v>
      </c>
      <c r="B161" s="212">
        <v>902</v>
      </c>
      <c r="C161" s="214" t="s">
        <v>265</v>
      </c>
      <c r="D161" s="214"/>
      <c r="E161" s="214"/>
      <c r="F161" s="214"/>
      <c r="G161" s="22">
        <f>G162</f>
        <v>0</v>
      </c>
      <c r="H161" s="22">
        <f aca="true" t="shared" si="164" ref="H161:N161">H162</f>
        <v>0</v>
      </c>
      <c r="I161" s="22">
        <f t="shared" si="164"/>
        <v>0</v>
      </c>
      <c r="J161" s="22">
        <f t="shared" si="164"/>
        <v>322.9</v>
      </c>
      <c r="K161" s="22">
        <f t="shared" si="164"/>
        <v>22.3</v>
      </c>
      <c r="L161" s="22">
        <f t="shared" si="164"/>
        <v>22.3</v>
      </c>
      <c r="M161" s="22">
        <f t="shared" si="164"/>
        <v>0</v>
      </c>
      <c r="N161" s="22">
        <f t="shared" si="164"/>
        <v>0</v>
      </c>
      <c r="O161" s="22" t="e">
        <f t="shared" si="142"/>
        <v>#DIV/0!</v>
      </c>
    </row>
    <row r="162" spans="1:15" ht="31.5" customHeight="1" hidden="1">
      <c r="A162" s="24" t="s">
        <v>270</v>
      </c>
      <c r="B162" s="212">
        <v>902</v>
      </c>
      <c r="C162" s="214" t="s">
        <v>265</v>
      </c>
      <c r="D162" s="214" t="s">
        <v>271</v>
      </c>
      <c r="E162" s="214"/>
      <c r="F162" s="214"/>
      <c r="G162" s="22">
        <f aca="true" t="shared" si="165" ref="G162:L166">G163</f>
        <v>0</v>
      </c>
      <c r="H162" s="22">
        <f t="shared" si="165"/>
        <v>0</v>
      </c>
      <c r="I162" s="22">
        <f t="shared" si="165"/>
        <v>0</v>
      </c>
      <c r="J162" s="22">
        <f t="shared" si="165"/>
        <v>322.9</v>
      </c>
      <c r="K162" s="22">
        <f t="shared" si="165"/>
        <v>22.3</v>
      </c>
      <c r="L162" s="22">
        <f t="shared" si="165"/>
        <v>22.3</v>
      </c>
      <c r="M162" s="22">
        <f aca="true" t="shared" si="166" ref="M162:N166">M163</f>
        <v>0</v>
      </c>
      <c r="N162" s="22">
        <f t="shared" si="166"/>
        <v>0</v>
      </c>
      <c r="O162" s="22" t="e">
        <f t="shared" si="142"/>
        <v>#DIV/0!</v>
      </c>
    </row>
    <row r="163" spans="1:15" ht="15.75" customHeight="1" hidden="1">
      <c r="A163" s="26" t="s">
        <v>173</v>
      </c>
      <c r="B163" s="215">
        <v>902</v>
      </c>
      <c r="C163" s="213" t="s">
        <v>265</v>
      </c>
      <c r="D163" s="213" t="s">
        <v>271</v>
      </c>
      <c r="E163" s="213" t="s">
        <v>174</v>
      </c>
      <c r="F163" s="213"/>
      <c r="G163" s="27">
        <f t="shared" si="165"/>
        <v>0</v>
      </c>
      <c r="H163" s="27">
        <f t="shared" si="165"/>
        <v>0</v>
      </c>
      <c r="I163" s="27">
        <f t="shared" si="165"/>
        <v>0</v>
      </c>
      <c r="J163" s="27">
        <f t="shared" si="165"/>
        <v>322.9</v>
      </c>
      <c r="K163" s="27">
        <f t="shared" si="165"/>
        <v>22.3</v>
      </c>
      <c r="L163" s="27">
        <f t="shared" si="165"/>
        <v>22.3</v>
      </c>
      <c r="M163" s="27">
        <f t="shared" si="166"/>
        <v>0</v>
      </c>
      <c r="N163" s="27">
        <f t="shared" si="166"/>
        <v>0</v>
      </c>
      <c r="O163" s="22" t="e">
        <f t="shared" si="142"/>
        <v>#DIV/0!</v>
      </c>
    </row>
    <row r="164" spans="1:15" ht="21.75" customHeight="1" hidden="1">
      <c r="A164" s="26" t="s">
        <v>193</v>
      </c>
      <c r="B164" s="215">
        <v>902</v>
      </c>
      <c r="C164" s="213" t="s">
        <v>265</v>
      </c>
      <c r="D164" s="213" t="s">
        <v>267</v>
      </c>
      <c r="E164" s="213" t="s">
        <v>194</v>
      </c>
      <c r="F164" s="213"/>
      <c r="G164" s="27">
        <f t="shared" si="165"/>
        <v>0</v>
      </c>
      <c r="H164" s="27">
        <f t="shared" si="165"/>
        <v>0</v>
      </c>
      <c r="I164" s="27">
        <f t="shared" si="165"/>
        <v>0</v>
      </c>
      <c r="J164" s="27">
        <f t="shared" si="165"/>
        <v>322.9</v>
      </c>
      <c r="K164" s="27">
        <f t="shared" si="165"/>
        <v>22.3</v>
      </c>
      <c r="L164" s="27">
        <f t="shared" si="165"/>
        <v>22.3</v>
      </c>
      <c r="M164" s="27">
        <f t="shared" si="166"/>
        <v>0</v>
      </c>
      <c r="N164" s="27">
        <f t="shared" si="166"/>
        <v>0</v>
      </c>
      <c r="O164" s="22" t="e">
        <f t="shared" si="142"/>
        <v>#DIV/0!</v>
      </c>
    </row>
    <row r="165" spans="1:15" ht="15.75" customHeight="1" hidden="1">
      <c r="A165" s="26" t="s">
        <v>272</v>
      </c>
      <c r="B165" s="215">
        <v>902</v>
      </c>
      <c r="C165" s="213" t="s">
        <v>265</v>
      </c>
      <c r="D165" s="213" t="s">
        <v>271</v>
      </c>
      <c r="E165" s="213" t="s">
        <v>273</v>
      </c>
      <c r="F165" s="213"/>
      <c r="G165" s="27">
        <f t="shared" si="165"/>
        <v>0</v>
      </c>
      <c r="H165" s="27">
        <f t="shared" si="165"/>
        <v>0</v>
      </c>
      <c r="I165" s="27">
        <f t="shared" si="165"/>
        <v>0</v>
      </c>
      <c r="J165" s="27">
        <f t="shared" si="165"/>
        <v>322.9</v>
      </c>
      <c r="K165" s="27">
        <f t="shared" si="165"/>
        <v>22.3</v>
      </c>
      <c r="L165" s="27">
        <f t="shared" si="165"/>
        <v>22.3</v>
      </c>
      <c r="M165" s="27">
        <f t="shared" si="166"/>
        <v>0</v>
      </c>
      <c r="N165" s="27">
        <f t="shared" si="166"/>
        <v>0</v>
      </c>
      <c r="O165" s="22" t="e">
        <f t="shared" si="142"/>
        <v>#DIV/0!</v>
      </c>
    </row>
    <row r="166" spans="1:15" ht="33.75" customHeight="1" hidden="1">
      <c r="A166" s="26" t="s">
        <v>250</v>
      </c>
      <c r="B166" s="215">
        <v>902</v>
      </c>
      <c r="C166" s="213" t="s">
        <v>265</v>
      </c>
      <c r="D166" s="213" t="s">
        <v>271</v>
      </c>
      <c r="E166" s="213" t="s">
        <v>273</v>
      </c>
      <c r="F166" s="213" t="s">
        <v>184</v>
      </c>
      <c r="G166" s="27">
        <f t="shared" si="165"/>
        <v>0</v>
      </c>
      <c r="H166" s="27">
        <f t="shared" si="165"/>
        <v>0</v>
      </c>
      <c r="I166" s="27">
        <f t="shared" si="165"/>
        <v>0</v>
      </c>
      <c r="J166" s="27">
        <f t="shared" si="165"/>
        <v>322.9</v>
      </c>
      <c r="K166" s="27">
        <f t="shared" si="165"/>
        <v>22.3</v>
      </c>
      <c r="L166" s="27">
        <f t="shared" si="165"/>
        <v>22.3</v>
      </c>
      <c r="M166" s="27">
        <f t="shared" si="166"/>
        <v>0</v>
      </c>
      <c r="N166" s="27">
        <f t="shared" si="166"/>
        <v>0</v>
      </c>
      <c r="O166" s="22" t="e">
        <f t="shared" si="142"/>
        <v>#DIV/0!</v>
      </c>
    </row>
    <row r="167" spans="1:15" ht="59.25" customHeight="1" hidden="1">
      <c r="A167" s="26" t="s">
        <v>185</v>
      </c>
      <c r="B167" s="215">
        <v>902</v>
      </c>
      <c r="C167" s="213" t="s">
        <v>265</v>
      </c>
      <c r="D167" s="213" t="s">
        <v>271</v>
      </c>
      <c r="E167" s="213" t="s">
        <v>273</v>
      </c>
      <c r="F167" s="213" t="s">
        <v>186</v>
      </c>
      <c r="G167" s="28">
        <v>0</v>
      </c>
      <c r="H167" s="28">
        <v>0</v>
      </c>
      <c r="I167" s="28">
        <v>0</v>
      </c>
      <c r="J167" s="28">
        <v>322.9</v>
      </c>
      <c r="K167" s="28">
        <v>22.3</v>
      </c>
      <c r="L167" s="28">
        <v>22.3</v>
      </c>
      <c r="M167" s="28">
        <v>0</v>
      </c>
      <c r="N167" s="28">
        <v>0</v>
      </c>
      <c r="O167" s="22" t="e">
        <f t="shared" si="142"/>
        <v>#DIV/0!</v>
      </c>
    </row>
    <row r="168" spans="1:15" ht="31.5">
      <c r="A168" s="24" t="s">
        <v>274</v>
      </c>
      <c r="B168" s="212">
        <v>902</v>
      </c>
      <c r="C168" s="214" t="s">
        <v>267</v>
      </c>
      <c r="D168" s="214"/>
      <c r="E168" s="214"/>
      <c r="F168" s="214"/>
      <c r="G168" s="22">
        <f>G169</f>
        <v>7159.400000000001</v>
      </c>
      <c r="H168" s="22">
        <f aca="true" t="shared" si="167" ref="H168:L170">H169</f>
        <v>3838.7000000000003</v>
      </c>
      <c r="I168" s="22">
        <f t="shared" si="167"/>
        <v>5540.366666666667</v>
      </c>
      <c r="J168" s="22">
        <f t="shared" si="167"/>
        <v>10330.9</v>
      </c>
      <c r="K168" s="22">
        <f t="shared" si="167"/>
        <v>8923.6</v>
      </c>
      <c r="L168" s="22">
        <f t="shared" si="167"/>
        <v>8970.1</v>
      </c>
      <c r="M168" s="22">
        <f aca="true" t="shared" si="168" ref="M168:N170">M169</f>
        <v>9234.4</v>
      </c>
      <c r="N168" s="22">
        <f t="shared" si="168"/>
        <v>2740.2999999999997</v>
      </c>
      <c r="O168" s="22">
        <f t="shared" si="142"/>
        <v>29.67491120159404</v>
      </c>
    </row>
    <row r="169" spans="1:15" ht="63">
      <c r="A169" s="24" t="s">
        <v>275</v>
      </c>
      <c r="B169" s="212">
        <v>902</v>
      </c>
      <c r="C169" s="214" t="s">
        <v>267</v>
      </c>
      <c r="D169" s="214" t="s">
        <v>271</v>
      </c>
      <c r="E169" s="213"/>
      <c r="F169" s="213"/>
      <c r="G169" s="22">
        <f>G170</f>
        <v>7159.400000000001</v>
      </c>
      <c r="H169" s="22">
        <f t="shared" si="167"/>
        <v>3838.7000000000003</v>
      </c>
      <c r="I169" s="22">
        <f t="shared" si="167"/>
        <v>5540.366666666667</v>
      </c>
      <c r="J169" s="22">
        <f t="shared" si="167"/>
        <v>10330.9</v>
      </c>
      <c r="K169" s="22">
        <f t="shared" si="167"/>
        <v>8923.6</v>
      </c>
      <c r="L169" s="22">
        <f t="shared" si="167"/>
        <v>8970.1</v>
      </c>
      <c r="M169" s="22">
        <f t="shared" si="168"/>
        <v>9234.4</v>
      </c>
      <c r="N169" s="22">
        <f t="shared" si="168"/>
        <v>2740.2999999999997</v>
      </c>
      <c r="O169" s="22">
        <f t="shared" si="142"/>
        <v>29.67491120159404</v>
      </c>
    </row>
    <row r="170" spans="1:15" ht="15.75">
      <c r="A170" s="26" t="s">
        <v>173</v>
      </c>
      <c r="B170" s="215">
        <v>902</v>
      </c>
      <c r="C170" s="213" t="s">
        <v>267</v>
      </c>
      <c r="D170" s="213" t="s">
        <v>271</v>
      </c>
      <c r="E170" s="213" t="s">
        <v>174</v>
      </c>
      <c r="F170" s="213"/>
      <c r="G170" s="27">
        <f>G171</f>
        <v>7159.400000000001</v>
      </c>
      <c r="H170" s="27">
        <f aca="true" t="shared" si="169" ref="H170">H171</f>
        <v>3838.7000000000003</v>
      </c>
      <c r="I170" s="27">
        <f t="shared" si="167"/>
        <v>5540.366666666667</v>
      </c>
      <c r="J170" s="27">
        <f t="shared" si="167"/>
        <v>10330.9</v>
      </c>
      <c r="K170" s="27">
        <f t="shared" si="167"/>
        <v>8923.6</v>
      </c>
      <c r="L170" s="27">
        <f t="shared" si="167"/>
        <v>8970.1</v>
      </c>
      <c r="M170" s="27">
        <f t="shared" si="168"/>
        <v>9234.4</v>
      </c>
      <c r="N170" s="27">
        <f t="shared" si="168"/>
        <v>2740.2999999999997</v>
      </c>
      <c r="O170" s="27">
        <f t="shared" si="142"/>
        <v>29.67491120159404</v>
      </c>
    </row>
    <row r="171" spans="1:15" ht="15.75">
      <c r="A171" s="26" t="s">
        <v>193</v>
      </c>
      <c r="B171" s="215">
        <v>902</v>
      </c>
      <c r="C171" s="213" t="s">
        <v>267</v>
      </c>
      <c r="D171" s="213" t="s">
        <v>271</v>
      </c>
      <c r="E171" s="213" t="s">
        <v>194</v>
      </c>
      <c r="F171" s="213"/>
      <c r="G171" s="27">
        <f>G172+G178+G183+G175</f>
        <v>7159.400000000001</v>
      </c>
      <c r="H171" s="27">
        <f>H172+H178+H183</f>
        <v>3838.7000000000003</v>
      </c>
      <c r="I171" s="27">
        <f aca="true" t="shared" si="170" ref="I171:L171">I172+I178+I183+I175</f>
        <v>5540.366666666667</v>
      </c>
      <c r="J171" s="27">
        <f t="shared" si="170"/>
        <v>10330.9</v>
      </c>
      <c r="K171" s="27">
        <f t="shared" si="170"/>
        <v>8923.6</v>
      </c>
      <c r="L171" s="27">
        <f t="shared" si="170"/>
        <v>8970.1</v>
      </c>
      <c r="M171" s="27">
        <f>M172+M178+M183+M175</f>
        <v>9234.4</v>
      </c>
      <c r="N171" s="27">
        <f aca="true" t="shared" si="171" ref="N171">N172+N178+N183+N175</f>
        <v>2740.2999999999997</v>
      </c>
      <c r="O171" s="27">
        <f t="shared" si="142"/>
        <v>29.67491120159404</v>
      </c>
    </row>
    <row r="172" spans="1:15" ht="47.25">
      <c r="A172" s="26" t="s">
        <v>276</v>
      </c>
      <c r="B172" s="215">
        <v>902</v>
      </c>
      <c r="C172" s="213" t="s">
        <v>267</v>
      </c>
      <c r="D172" s="213" t="s">
        <v>271</v>
      </c>
      <c r="E172" s="213" t="s">
        <v>277</v>
      </c>
      <c r="F172" s="213"/>
      <c r="G172" s="27">
        <f>G173</f>
        <v>2064.1</v>
      </c>
      <c r="H172" s="27">
        <f>H173</f>
        <v>333.8</v>
      </c>
      <c r="I172" s="27">
        <f aca="true" t="shared" si="172" ref="I172:L173">I173</f>
        <v>445.06666666666666</v>
      </c>
      <c r="J172" s="27">
        <f t="shared" si="172"/>
        <v>3881.9</v>
      </c>
      <c r="K172" s="27">
        <f t="shared" si="172"/>
        <v>3042.9</v>
      </c>
      <c r="L172" s="27">
        <f t="shared" si="172"/>
        <v>3042.9</v>
      </c>
      <c r="M172" s="27">
        <f aca="true" t="shared" si="173" ref="M172:N173">M173</f>
        <v>650</v>
      </c>
      <c r="N172" s="27">
        <f t="shared" si="173"/>
        <v>173</v>
      </c>
      <c r="O172" s="27">
        <f t="shared" si="142"/>
        <v>26.615384615384613</v>
      </c>
    </row>
    <row r="173" spans="1:15" ht="47.25">
      <c r="A173" s="26" t="s">
        <v>250</v>
      </c>
      <c r="B173" s="215">
        <v>902</v>
      </c>
      <c r="C173" s="213" t="s">
        <v>267</v>
      </c>
      <c r="D173" s="213" t="s">
        <v>271</v>
      </c>
      <c r="E173" s="213" t="s">
        <v>277</v>
      </c>
      <c r="F173" s="213" t="s">
        <v>184</v>
      </c>
      <c r="G173" s="27">
        <f>G174</f>
        <v>2064.1</v>
      </c>
      <c r="H173" s="27">
        <f>H174</f>
        <v>333.8</v>
      </c>
      <c r="I173" s="27">
        <f t="shared" si="172"/>
        <v>445.06666666666666</v>
      </c>
      <c r="J173" s="27">
        <f t="shared" si="172"/>
        <v>3881.9</v>
      </c>
      <c r="K173" s="27">
        <f t="shared" si="172"/>
        <v>3042.9</v>
      </c>
      <c r="L173" s="27">
        <f t="shared" si="172"/>
        <v>3042.9</v>
      </c>
      <c r="M173" s="27">
        <f t="shared" si="173"/>
        <v>650</v>
      </c>
      <c r="N173" s="27">
        <f t="shared" si="173"/>
        <v>173</v>
      </c>
      <c r="O173" s="27">
        <f t="shared" si="142"/>
        <v>26.615384615384613</v>
      </c>
    </row>
    <row r="174" spans="1:15" ht="47.25">
      <c r="A174" s="26" t="s">
        <v>185</v>
      </c>
      <c r="B174" s="215">
        <v>902</v>
      </c>
      <c r="C174" s="213" t="s">
        <v>267</v>
      </c>
      <c r="D174" s="213" t="s">
        <v>271</v>
      </c>
      <c r="E174" s="213" t="s">
        <v>277</v>
      </c>
      <c r="F174" s="213" t="s">
        <v>186</v>
      </c>
      <c r="G174" s="207">
        <f>1908.4+354-98.3-100</f>
        <v>2064.1</v>
      </c>
      <c r="H174" s="207">
        <v>333.8</v>
      </c>
      <c r="I174" s="207">
        <f>H174/9*12</f>
        <v>445.06666666666666</v>
      </c>
      <c r="J174" s="207">
        <f>3881.9</f>
        <v>3881.9</v>
      </c>
      <c r="K174" s="207">
        <f>3042.9</f>
        <v>3042.9</v>
      </c>
      <c r="L174" s="207">
        <f>K174</f>
        <v>3042.9</v>
      </c>
      <c r="M174" s="207">
        <f>500+150</f>
        <v>650</v>
      </c>
      <c r="N174" s="207">
        <v>173</v>
      </c>
      <c r="O174" s="27">
        <f t="shared" si="142"/>
        <v>26.615384615384613</v>
      </c>
    </row>
    <row r="175" spans="1:15" ht="15.75" customHeight="1">
      <c r="A175" s="26" t="s">
        <v>278</v>
      </c>
      <c r="B175" s="215">
        <v>902</v>
      </c>
      <c r="C175" s="213" t="s">
        <v>267</v>
      </c>
      <c r="D175" s="213" t="s">
        <v>271</v>
      </c>
      <c r="E175" s="213" t="s">
        <v>279</v>
      </c>
      <c r="F175" s="213"/>
      <c r="G175" s="27">
        <f>G176</f>
        <v>0</v>
      </c>
      <c r="H175" s="27">
        <f>H176</f>
        <v>0</v>
      </c>
      <c r="I175" s="27">
        <f aca="true" t="shared" si="174" ref="I175:L176">I176</f>
        <v>0</v>
      </c>
      <c r="J175" s="27">
        <f t="shared" si="174"/>
        <v>764.4</v>
      </c>
      <c r="K175" s="27">
        <f t="shared" si="174"/>
        <v>150</v>
      </c>
      <c r="L175" s="27">
        <f t="shared" si="174"/>
        <v>150</v>
      </c>
      <c r="M175" s="27">
        <f aca="true" t="shared" si="175" ref="M175:N176">M176</f>
        <v>764.4</v>
      </c>
      <c r="N175" s="27">
        <f t="shared" si="175"/>
        <v>0</v>
      </c>
      <c r="O175" s="27">
        <f t="shared" si="142"/>
        <v>0</v>
      </c>
    </row>
    <row r="176" spans="1:15" ht="47.25" customHeight="1">
      <c r="A176" s="26" t="s">
        <v>250</v>
      </c>
      <c r="B176" s="215">
        <v>902</v>
      </c>
      <c r="C176" s="213" t="s">
        <v>267</v>
      </c>
      <c r="D176" s="213" t="s">
        <v>271</v>
      </c>
      <c r="E176" s="213" t="s">
        <v>279</v>
      </c>
      <c r="F176" s="213" t="s">
        <v>184</v>
      </c>
      <c r="G176" s="27">
        <f>G177</f>
        <v>0</v>
      </c>
      <c r="H176" s="27">
        <f>H177</f>
        <v>0</v>
      </c>
      <c r="I176" s="27">
        <f t="shared" si="174"/>
        <v>0</v>
      </c>
      <c r="J176" s="27">
        <f t="shared" si="174"/>
        <v>764.4</v>
      </c>
      <c r="K176" s="27">
        <f t="shared" si="174"/>
        <v>150</v>
      </c>
      <c r="L176" s="27">
        <f t="shared" si="174"/>
        <v>150</v>
      </c>
      <c r="M176" s="27">
        <f t="shared" si="175"/>
        <v>764.4</v>
      </c>
      <c r="N176" s="27">
        <f t="shared" si="175"/>
        <v>0</v>
      </c>
      <c r="O176" s="27">
        <f t="shared" si="142"/>
        <v>0</v>
      </c>
    </row>
    <row r="177" spans="1:15" ht="47.25" customHeight="1">
      <c r="A177" s="26" t="s">
        <v>185</v>
      </c>
      <c r="B177" s="215">
        <v>902</v>
      </c>
      <c r="C177" s="213" t="s">
        <v>267</v>
      </c>
      <c r="D177" s="213" t="s">
        <v>271</v>
      </c>
      <c r="E177" s="213" t="s">
        <v>279</v>
      </c>
      <c r="F177" s="213" t="s">
        <v>186</v>
      </c>
      <c r="G177" s="27">
        <v>0</v>
      </c>
      <c r="H177" s="27">
        <v>0</v>
      </c>
      <c r="I177" s="27">
        <v>0</v>
      </c>
      <c r="J177" s="27">
        <v>764.4</v>
      </c>
      <c r="K177" s="27">
        <v>150</v>
      </c>
      <c r="L177" s="27">
        <v>150</v>
      </c>
      <c r="M177" s="27">
        <v>764.4</v>
      </c>
      <c r="N177" s="27">
        <v>0</v>
      </c>
      <c r="O177" s="27">
        <f t="shared" si="142"/>
        <v>0</v>
      </c>
    </row>
    <row r="178" spans="1:15" ht="31.5">
      <c r="A178" s="26" t="s">
        <v>280</v>
      </c>
      <c r="B178" s="215">
        <v>902</v>
      </c>
      <c r="C178" s="213" t="s">
        <v>267</v>
      </c>
      <c r="D178" s="213" t="s">
        <v>271</v>
      </c>
      <c r="E178" s="213" t="s">
        <v>281</v>
      </c>
      <c r="F178" s="213"/>
      <c r="G178" s="27">
        <f>G179+G181</f>
        <v>4997</v>
      </c>
      <c r="H178" s="27">
        <f>H179+H181</f>
        <v>3504.9</v>
      </c>
      <c r="I178" s="27">
        <f aca="true" t="shared" si="176" ref="I178:L178">I179+I181</f>
        <v>4997</v>
      </c>
      <c r="J178" s="27">
        <f t="shared" si="176"/>
        <v>5074.2</v>
      </c>
      <c r="K178" s="27">
        <f t="shared" si="176"/>
        <v>5120.3</v>
      </c>
      <c r="L178" s="27">
        <f t="shared" si="176"/>
        <v>5166.8</v>
      </c>
      <c r="M178" s="27">
        <f aca="true" t="shared" si="177" ref="M178:N178">M179+M181</f>
        <v>7721</v>
      </c>
      <c r="N178" s="27">
        <f t="shared" si="177"/>
        <v>2567.2999999999997</v>
      </c>
      <c r="O178" s="27">
        <f t="shared" si="142"/>
        <v>33.2508742390882</v>
      </c>
    </row>
    <row r="179" spans="1:15" ht="94.5">
      <c r="A179" s="26" t="s">
        <v>179</v>
      </c>
      <c r="B179" s="215">
        <v>902</v>
      </c>
      <c r="C179" s="213" t="s">
        <v>267</v>
      </c>
      <c r="D179" s="213" t="s">
        <v>271</v>
      </c>
      <c r="E179" s="213" t="s">
        <v>281</v>
      </c>
      <c r="F179" s="213" t="s">
        <v>180</v>
      </c>
      <c r="G179" s="27">
        <f>G180</f>
        <v>4692.3</v>
      </c>
      <c r="H179" s="27">
        <f>H180</f>
        <v>3314.4</v>
      </c>
      <c r="I179" s="27">
        <f aca="true" t="shared" si="178" ref="I179:L179">I180</f>
        <v>4692.3</v>
      </c>
      <c r="J179" s="27">
        <f t="shared" si="178"/>
        <v>4606</v>
      </c>
      <c r="K179" s="27">
        <f t="shared" si="178"/>
        <v>4652.1</v>
      </c>
      <c r="L179" s="27">
        <f t="shared" si="178"/>
        <v>4698.6</v>
      </c>
      <c r="M179" s="27">
        <f aca="true" t="shared" si="179" ref="M179:N179">M180</f>
        <v>4620</v>
      </c>
      <c r="N179" s="27">
        <f t="shared" si="179"/>
        <v>2448.1</v>
      </c>
      <c r="O179" s="27">
        <f t="shared" si="142"/>
        <v>52.989177489177486</v>
      </c>
    </row>
    <row r="180" spans="1:15" ht="31.5">
      <c r="A180" s="26" t="s">
        <v>260</v>
      </c>
      <c r="B180" s="215">
        <v>902</v>
      </c>
      <c r="C180" s="213" t="s">
        <v>267</v>
      </c>
      <c r="D180" s="213" t="s">
        <v>271</v>
      </c>
      <c r="E180" s="213" t="s">
        <v>281</v>
      </c>
      <c r="F180" s="213" t="s">
        <v>261</v>
      </c>
      <c r="G180" s="28">
        <f>4586.3+106</f>
        <v>4692.3</v>
      </c>
      <c r="H180" s="28">
        <v>3314.4</v>
      </c>
      <c r="I180" s="28">
        <f aca="true" t="shared" si="180" ref="I180">4586.3+106</f>
        <v>4692.3</v>
      </c>
      <c r="J180" s="28">
        <v>4606</v>
      </c>
      <c r="K180" s="28">
        <v>4652.1</v>
      </c>
      <c r="L180" s="28">
        <v>4698.6</v>
      </c>
      <c r="M180" s="28">
        <f>4656.5-36.5</f>
        <v>4620</v>
      </c>
      <c r="N180" s="28">
        <v>2448.1</v>
      </c>
      <c r="O180" s="27">
        <f t="shared" si="142"/>
        <v>52.989177489177486</v>
      </c>
    </row>
    <row r="181" spans="1:15" ht="47.25">
      <c r="A181" s="26" t="s">
        <v>250</v>
      </c>
      <c r="B181" s="215">
        <v>902</v>
      </c>
      <c r="C181" s="213" t="s">
        <v>267</v>
      </c>
      <c r="D181" s="213" t="s">
        <v>271</v>
      </c>
      <c r="E181" s="213" t="s">
        <v>281</v>
      </c>
      <c r="F181" s="213" t="s">
        <v>184</v>
      </c>
      <c r="G181" s="27">
        <f>G182</f>
        <v>304.7</v>
      </c>
      <c r="H181" s="27">
        <f>H182</f>
        <v>190.5</v>
      </c>
      <c r="I181" s="27">
        <f aca="true" t="shared" si="181" ref="I181:L181">I182</f>
        <v>304.7</v>
      </c>
      <c r="J181" s="27">
        <f t="shared" si="181"/>
        <v>468.2</v>
      </c>
      <c r="K181" s="27">
        <f t="shared" si="181"/>
        <v>468.2</v>
      </c>
      <c r="L181" s="27">
        <f t="shared" si="181"/>
        <v>468.2</v>
      </c>
      <c r="M181" s="27">
        <f aca="true" t="shared" si="182" ref="M181:N181">M182</f>
        <v>3101</v>
      </c>
      <c r="N181" s="27">
        <f t="shared" si="182"/>
        <v>119.2</v>
      </c>
      <c r="O181" s="27">
        <f t="shared" si="142"/>
        <v>3.8439213157046113</v>
      </c>
    </row>
    <row r="182" spans="1:15" ht="47.25">
      <c r="A182" s="26" t="s">
        <v>185</v>
      </c>
      <c r="B182" s="215">
        <v>902</v>
      </c>
      <c r="C182" s="213" t="s">
        <v>267</v>
      </c>
      <c r="D182" s="213" t="s">
        <v>271</v>
      </c>
      <c r="E182" s="213" t="s">
        <v>281</v>
      </c>
      <c r="F182" s="213" t="s">
        <v>186</v>
      </c>
      <c r="G182" s="28">
        <f>204.7+100</f>
        <v>304.7</v>
      </c>
      <c r="H182" s="28">
        <v>190.5</v>
      </c>
      <c r="I182" s="28">
        <f aca="true" t="shared" si="183" ref="I182">204.7+100</f>
        <v>304.7</v>
      </c>
      <c r="J182" s="28">
        <v>468.2</v>
      </c>
      <c r="K182" s="28">
        <f>J182</f>
        <v>468.2</v>
      </c>
      <c r="L182" s="28">
        <f>K182</f>
        <v>468.2</v>
      </c>
      <c r="M182" s="28">
        <f>300+3000-150-49</f>
        <v>3101</v>
      </c>
      <c r="N182" s="28">
        <v>119.2</v>
      </c>
      <c r="O182" s="27">
        <f t="shared" si="142"/>
        <v>3.8439213157046113</v>
      </c>
    </row>
    <row r="183" spans="1:15" ht="15.75">
      <c r="A183" s="26" t="s">
        <v>282</v>
      </c>
      <c r="B183" s="215">
        <v>902</v>
      </c>
      <c r="C183" s="213" t="s">
        <v>267</v>
      </c>
      <c r="D183" s="213" t="s">
        <v>271</v>
      </c>
      <c r="E183" s="213" t="s">
        <v>283</v>
      </c>
      <c r="F183" s="213"/>
      <c r="G183" s="28">
        <f aca="true" t="shared" si="184" ref="G183:L184">G184</f>
        <v>98.3</v>
      </c>
      <c r="H183" s="28">
        <f>H184</f>
        <v>0</v>
      </c>
      <c r="I183" s="28">
        <f t="shared" si="184"/>
        <v>98.3</v>
      </c>
      <c r="J183" s="28">
        <f t="shared" si="184"/>
        <v>610.4</v>
      </c>
      <c r="K183" s="28">
        <f t="shared" si="184"/>
        <v>610.4</v>
      </c>
      <c r="L183" s="28">
        <f t="shared" si="184"/>
        <v>610.4</v>
      </c>
      <c r="M183" s="28">
        <f aca="true" t="shared" si="185" ref="M183:N184">M184</f>
        <v>99</v>
      </c>
      <c r="N183" s="28">
        <f t="shared" si="185"/>
        <v>0</v>
      </c>
      <c r="O183" s="27">
        <f t="shared" si="142"/>
        <v>0</v>
      </c>
    </row>
    <row r="184" spans="1:15" ht="47.25">
      <c r="A184" s="26" t="s">
        <v>250</v>
      </c>
      <c r="B184" s="215">
        <v>902</v>
      </c>
      <c r="C184" s="213" t="s">
        <v>267</v>
      </c>
      <c r="D184" s="213" t="s">
        <v>271</v>
      </c>
      <c r="E184" s="213" t="s">
        <v>283</v>
      </c>
      <c r="F184" s="213" t="s">
        <v>184</v>
      </c>
      <c r="G184" s="28">
        <f t="shared" si="184"/>
        <v>98.3</v>
      </c>
      <c r="H184" s="28">
        <f>H185</f>
        <v>0</v>
      </c>
      <c r="I184" s="28">
        <f t="shared" si="184"/>
        <v>98.3</v>
      </c>
      <c r="J184" s="28">
        <f t="shared" si="184"/>
        <v>610.4</v>
      </c>
      <c r="K184" s="28">
        <f t="shared" si="184"/>
        <v>610.4</v>
      </c>
      <c r="L184" s="28">
        <f t="shared" si="184"/>
        <v>610.4</v>
      </c>
      <c r="M184" s="28">
        <f t="shared" si="185"/>
        <v>99</v>
      </c>
      <c r="N184" s="28">
        <f t="shared" si="185"/>
        <v>0</v>
      </c>
      <c r="O184" s="27">
        <f t="shared" si="142"/>
        <v>0</v>
      </c>
    </row>
    <row r="185" spans="1:15" ht="47.25">
      <c r="A185" s="26" t="s">
        <v>185</v>
      </c>
      <c r="B185" s="215">
        <v>902</v>
      </c>
      <c r="C185" s="213" t="s">
        <v>267</v>
      </c>
      <c r="D185" s="213" t="s">
        <v>271</v>
      </c>
      <c r="E185" s="213" t="s">
        <v>283</v>
      </c>
      <c r="F185" s="213" t="s">
        <v>186</v>
      </c>
      <c r="G185" s="28">
        <v>98.3</v>
      </c>
      <c r="H185" s="28">
        <v>0</v>
      </c>
      <c r="I185" s="28">
        <v>98.3</v>
      </c>
      <c r="J185" s="28">
        <v>610.4</v>
      </c>
      <c r="K185" s="28">
        <f>J185</f>
        <v>610.4</v>
      </c>
      <c r="L185" s="28">
        <f>K185</f>
        <v>610.4</v>
      </c>
      <c r="M185" s="28">
        <f>50+49</f>
        <v>99</v>
      </c>
      <c r="N185" s="28">
        <v>0</v>
      </c>
      <c r="O185" s="27">
        <f t="shared" si="142"/>
        <v>0</v>
      </c>
    </row>
    <row r="186" spans="1:15" ht="15.75">
      <c r="A186" s="24" t="s">
        <v>284</v>
      </c>
      <c r="B186" s="212">
        <v>902</v>
      </c>
      <c r="C186" s="214" t="s">
        <v>202</v>
      </c>
      <c r="D186" s="214"/>
      <c r="E186" s="214"/>
      <c r="F186" s="213"/>
      <c r="G186" s="22">
        <f aca="true" t="shared" si="186" ref="G186:M186">G203+G187</f>
        <v>1821.3999999999999</v>
      </c>
      <c r="H186" s="22">
        <f t="shared" si="186"/>
        <v>1043.1999999999998</v>
      </c>
      <c r="I186" s="22">
        <f t="shared" si="186"/>
        <v>1821.3999999999999</v>
      </c>
      <c r="J186" s="22">
        <f t="shared" si="186"/>
        <v>2461.3999999999996</v>
      </c>
      <c r="K186" s="22">
        <f t="shared" si="186"/>
        <v>2461.3999999999996</v>
      </c>
      <c r="L186" s="22">
        <f t="shared" si="186"/>
        <v>2461.3999999999996</v>
      </c>
      <c r="M186" s="22">
        <f t="shared" si="186"/>
        <v>2070.9</v>
      </c>
      <c r="N186" s="22">
        <f aca="true" t="shared" si="187" ref="N186">N203+N187</f>
        <v>780.5</v>
      </c>
      <c r="O186" s="22">
        <f t="shared" si="142"/>
        <v>37.68892751943599</v>
      </c>
    </row>
    <row r="187" spans="1:15" ht="15.75">
      <c r="A187" s="24" t="s">
        <v>285</v>
      </c>
      <c r="B187" s="212">
        <v>902</v>
      </c>
      <c r="C187" s="214" t="s">
        <v>202</v>
      </c>
      <c r="D187" s="214" t="s">
        <v>286</v>
      </c>
      <c r="E187" s="214"/>
      <c r="F187" s="213"/>
      <c r="G187" s="22">
        <f>G195+G188</f>
        <v>450</v>
      </c>
      <c r="H187" s="22">
        <f aca="true" t="shared" si="188" ref="H187:M187">H195+H188</f>
        <v>280</v>
      </c>
      <c r="I187" s="22">
        <f t="shared" si="188"/>
        <v>450</v>
      </c>
      <c r="J187" s="22">
        <f t="shared" si="188"/>
        <v>550</v>
      </c>
      <c r="K187" s="22">
        <f t="shared" si="188"/>
        <v>550</v>
      </c>
      <c r="L187" s="22">
        <f t="shared" si="188"/>
        <v>550</v>
      </c>
      <c r="M187" s="22">
        <f t="shared" si="188"/>
        <v>919.6</v>
      </c>
      <c r="N187" s="22">
        <f aca="true" t="shared" si="189" ref="N187">N195+N188</f>
        <v>555.6</v>
      </c>
      <c r="O187" s="22">
        <f t="shared" si="142"/>
        <v>60.41757285776425</v>
      </c>
    </row>
    <row r="188" spans="1:15" ht="47.25">
      <c r="A188" s="33" t="s">
        <v>233</v>
      </c>
      <c r="B188" s="215">
        <v>902</v>
      </c>
      <c r="C188" s="213" t="s">
        <v>202</v>
      </c>
      <c r="D188" s="213" t="s">
        <v>286</v>
      </c>
      <c r="E188" s="219" t="s">
        <v>234</v>
      </c>
      <c r="F188" s="220"/>
      <c r="G188" s="27">
        <f>G189</f>
        <v>0</v>
      </c>
      <c r="H188" s="27">
        <f aca="true" t="shared" si="190" ref="H188:N190">H189</f>
        <v>0</v>
      </c>
      <c r="I188" s="27">
        <f t="shared" si="190"/>
        <v>0</v>
      </c>
      <c r="J188" s="27">
        <f t="shared" si="190"/>
        <v>100</v>
      </c>
      <c r="K188" s="27">
        <f t="shared" si="190"/>
        <v>100</v>
      </c>
      <c r="L188" s="27">
        <f t="shared" si="190"/>
        <v>100</v>
      </c>
      <c r="M188" s="27">
        <f>M189+M192</f>
        <v>120</v>
      </c>
      <c r="N188" s="27">
        <f aca="true" t="shared" si="191" ref="N188">N189+N192</f>
        <v>11</v>
      </c>
      <c r="O188" s="27">
        <f t="shared" si="142"/>
        <v>9.166666666666666</v>
      </c>
    </row>
    <row r="189" spans="1:15" ht="31.5">
      <c r="A189" s="26" t="s">
        <v>209</v>
      </c>
      <c r="B189" s="215">
        <v>902</v>
      </c>
      <c r="C189" s="213" t="s">
        <v>202</v>
      </c>
      <c r="D189" s="213" t="s">
        <v>286</v>
      </c>
      <c r="E189" s="213" t="s">
        <v>235</v>
      </c>
      <c r="F189" s="220"/>
      <c r="G189" s="27">
        <f>G190</f>
        <v>0</v>
      </c>
      <c r="H189" s="27">
        <f t="shared" si="190"/>
        <v>0</v>
      </c>
      <c r="I189" s="27">
        <f t="shared" si="190"/>
        <v>0</v>
      </c>
      <c r="J189" s="27">
        <f t="shared" si="190"/>
        <v>100</v>
      </c>
      <c r="K189" s="27">
        <f t="shared" si="190"/>
        <v>100</v>
      </c>
      <c r="L189" s="27">
        <f t="shared" si="190"/>
        <v>100</v>
      </c>
      <c r="M189" s="27">
        <f t="shared" si="190"/>
        <v>119</v>
      </c>
      <c r="N189" s="27">
        <f t="shared" si="190"/>
        <v>10</v>
      </c>
      <c r="O189" s="27">
        <f t="shared" si="142"/>
        <v>8.403361344537815</v>
      </c>
    </row>
    <row r="190" spans="1:15" ht="15.75">
      <c r="A190" s="31" t="s">
        <v>187</v>
      </c>
      <c r="B190" s="215">
        <v>902</v>
      </c>
      <c r="C190" s="213" t="s">
        <v>202</v>
      </c>
      <c r="D190" s="213" t="s">
        <v>286</v>
      </c>
      <c r="E190" s="213" t="s">
        <v>235</v>
      </c>
      <c r="F190" s="220" t="s">
        <v>197</v>
      </c>
      <c r="G190" s="27">
        <f>G191</f>
        <v>0</v>
      </c>
      <c r="H190" s="27">
        <f t="shared" si="190"/>
        <v>0</v>
      </c>
      <c r="I190" s="27">
        <f>I191</f>
        <v>0</v>
      </c>
      <c r="J190" s="27">
        <f t="shared" si="190"/>
        <v>100</v>
      </c>
      <c r="K190" s="27">
        <f t="shared" si="190"/>
        <v>100</v>
      </c>
      <c r="L190" s="27">
        <f t="shared" si="190"/>
        <v>100</v>
      </c>
      <c r="M190" s="27">
        <f t="shared" si="190"/>
        <v>119</v>
      </c>
      <c r="N190" s="27">
        <f t="shared" si="190"/>
        <v>10</v>
      </c>
      <c r="O190" s="27">
        <f t="shared" si="142"/>
        <v>8.403361344537815</v>
      </c>
    </row>
    <row r="191" spans="1:15" ht="63">
      <c r="A191" s="31" t="s">
        <v>236</v>
      </c>
      <c r="B191" s="215">
        <v>902</v>
      </c>
      <c r="C191" s="213" t="s">
        <v>202</v>
      </c>
      <c r="D191" s="213" t="s">
        <v>286</v>
      </c>
      <c r="E191" s="213" t="s">
        <v>235</v>
      </c>
      <c r="F191" s="220" t="s">
        <v>212</v>
      </c>
      <c r="G191" s="27">
        <v>0</v>
      </c>
      <c r="H191" s="27">
        <v>0</v>
      </c>
      <c r="I191" s="27">
        <v>0</v>
      </c>
      <c r="J191" s="27">
        <v>100</v>
      </c>
      <c r="K191" s="27">
        <v>100</v>
      </c>
      <c r="L191" s="27">
        <v>100</v>
      </c>
      <c r="M191" s="27">
        <f>100+20-1</f>
        <v>119</v>
      </c>
      <c r="N191" s="27">
        <v>10</v>
      </c>
      <c r="O191" s="27">
        <f t="shared" si="142"/>
        <v>8.403361344537815</v>
      </c>
    </row>
    <row r="192" spans="1:15" ht="31.5">
      <c r="A192" s="26" t="s">
        <v>974</v>
      </c>
      <c r="B192" s="215">
        <v>902</v>
      </c>
      <c r="C192" s="213" t="s">
        <v>202</v>
      </c>
      <c r="D192" s="213" t="s">
        <v>286</v>
      </c>
      <c r="E192" s="213" t="s">
        <v>976</v>
      </c>
      <c r="F192" s="220"/>
      <c r="G192" s="27"/>
      <c r="H192" s="27"/>
      <c r="I192" s="27"/>
      <c r="J192" s="27"/>
      <c r="K192" s="27"/>
      <c r="L192" s="27"/>
      <c r="M192" s="27">
        <f>M193</f>
        <v>1</v>
      </c>
      <c r="N192" s="27">
        <f aca="true" t="shared" si="192" ref="N192:N193">N193</f>
        <v>1</v>
      </c>
      <c r="O192" s="27">
        <f t="shared" si="142"/>
        <v>100</v>
      </c>
    </row>
    <row r="193" spans="1:15" ht="15.75">
      <c r="A193" s="31" t="s">
        <v>187</v>
      </c>
      <c r="B193" s="215">
        <v>902</v>
      </c>
      <c r="C193" s="213" t="s">
        <v>202</v>
      </c>
      <c r="D193" s="213" t="s">
        <v>286</v>
      </c>
      <c r="E193" s="213" t="s">
        <v>976</v>
      </c>
      <c r="F193" s="220" t="s">
        <v>197</v>
      </c>
      <c r="G193" s="27"/>
      <c r="H193" s="27"/>
      <c r="I193" s="27"/>
      <c r="J193" s="27"/>
      <c r="K193" s="27"/>
      <c r="L193" s="27"/>
      <c r="M193" s="27">
        <f>M194</f>
        <v>1</v>
      </c>
      <c r="N193" s="27">
        <f t="shared" si="192"/>
        <v>1</v>
      </c>
      <c r="O193" s="27">
        <f t="shared" si="142"/>
        <v>100</v>
      </c>
    </row>
    <row r="194" spans="1:15" ht="63">
      <c r="A194" s="31" t="s">
        <v>236</v>
      </c>
      <c r="B194" s="215">
        <v>902</v>
      </c>
      <c r="C194" s="213" t="s">
        <v>202</v>
      </c>
      <c r="D194" s="213" t="s">
        <v>286</v>
      </c>
      <c r="E194" s="213" t="s">
        <v>976</v>
      </c>
      <c r="F194" s="220" t="s">
        <v>212</v>
      </c>
      <c r="G194" s="27"/>
      <c r="H194" s="27"/>
      <c r="I194" s="27"/>
      <c r="J194" s="27"/>
      <c r="K194" s="27"/>
      <c r="L194" s="27"/>
      <c r="M194" s="27">
        <v>1</v>
      </c>
      <c r="N194" s="27">
        <v>1</v>
      </c>
      <c r="O194" s="27">
        <f t="shared" si="142"/>
        <v>100</v>
      </c>
    </row>
    <row r="195" spans="1:15" ht="15.75">
      <c r="A195" s="26" t="s">
        <v>173</v>
      </c>
      <c r="B195" s="215">
        <v>902</v>
      </c>
      <c r="C195" s="213" t="s">
        <v>202</v>
      </c>
      <c r="D195" s="213" t="s">
        <v>286</v>
      </c>
      <c r="E195" s="213" t="s">
        <v>174</v>
      </c>
      <c r="F195" s="213"/>
      <c r="G195" s="27">
        <f aca="true" t="shared" si="193" ref="G195:L201">G196</f>
        <v>450</v>
      </c>
      <c r="H195" s="27">
        <f aca="true" t="shared" si="194" ref="H195:H200">H196</f>
        <v>280</v>
      </c>
      <c r="I195" s="27">
        <f t="shared" si="193"/>
        <v>450</v>
      </c>
      <c r="J195" s="27">
        <f t="shared" si="193"/>
        <v>450</v>
      </c>
      <c r="K195" s="27">
        <f t="shared" si="193"/>
        <v>450</v>
      </c>
      <c r="L195" s="27">
        <f t="shared" si="193"/>
        <v>450</v>
      </c>
      <c r="M195" s="27">
        <f>M196</f>
        <v>799.6</v>
      </c>
      <c r="N195" s="27">
        <f aca="true" t="shared" si="195" ref="N195">N196</f>
        <v>544.6</v>
      </c>
      <c r="O195" s="27">
        <f t="shared" si="142"/>
        <v>68.10905452726364</v>
      </c>
    </row>
    <row r="196" spans="1:15" ht="31.5">
      <c r="A196" s="26" t="s">
        <v>237</v>
      </c>
      <c r="B196" s="215">
        <v>902</v>
      </c>
      <c r="C196" s="213" t="s">
        <v>202</v>
      </c>
      <c r="D196" s="213" t="s">
        <v>286</v>
      </c>
      <c r="E196" s="213" t="s">
        <v>238</v>
      </c>
      <c r="F196" s="213"/>
      <c r="G196" s="27">
        <f aca="true" t="shared" si="196" ref="G196:L196">G200</f>
        <v>450</v>
      </c>
      <c r="H196" s="27">
        <f t="shared" si="196"/>
        <v>280</v>
      </c>
      <c r="I196" s="27">
        <f t="shared" si="196"/>
        <v>450</v>
      </c>
      <c r="J196" s="27">
        <f t="shared" si="196"/>
        <v>450</v>
      </c>
      <c r="K196" s="27">
        <f t="shared" si="196"/>
        <v>450</v>
      </c>
      <c r="L196" s="27">
        <f t="shared" si="196"/>
        <v>450</v>
      </c>
      <c r="M196" s="27">
        <f>M200+M197</f>
        <v>799.6</v>
      </c>
      <c r="N196" s="27">
        <f aca="true" t="shared" si="197" ref="N196">N200+N197</f>
        <v>544.6</v>
      </c>
      <c r="O196" s="27">
        <f t="shared" si="142"/>
        <v>68.10905452726364</v>
      </c>
    </row>
    <row r="197" spans="1:15" ht="31.5">
      <c r="A197" s="26" t="s">
        <v>974</v>
      </c>
      <c r="B197" s="215">
        <v>902</v>
      </c>
      <c r="C197" s="213" t="s">
        <v>202</v>
      </c>
      <c r="D197" s="213" t="s">
        <v>286</v>
      </c>
      <c r="E197" s="213" t="s">
        <v>975</v>
      </c>
      <c r="F197" s="213"/>
      <c r="G197" s="27"/>
      <c r="H197" s="27"/>
      <c r="I197" s="27"/>
      <c r="J197" s="27"/>
      <c r="K197" s="27"/>
      <c r="L197" s="27"/>
      <c r="M197" s="27">
        <f>M198</f>
        <v>289.6</v>
      </c>
      <c r="N197" s="27">
        <f aca="true" t="shared" si="198" ref="N197:N198">N198</f>
        <v>289.6</v>
      </c>
      <c r="O197" s="27">
        <f t="shared" si="142"/>
        <v>100</v>
      </c>
    </row>
    <row r="198" spans="1:15" ht="15.75">
      <c r="A198" s="31" t="s">
        <v>187</v>
      </c>
      <c r="B198" s="215">
        <v>902</v>
      </c>
      <c r="C198" s="213" t="s">
        <v>202</v>
      </c>
      <c r="D198" s="213" t="s">
        <v>286</v>
      </c>
      <c r="E198" s="213" t="s">
        <v>975</v>
      </c>
      <c r="F198" s="213" t="s">
        <v>197</v>
      </c>
      <c r="G198" s="27"/>
      <c r="H198" s="27"/>
      <c r="I198" s="27"/>
      <c r="J198" s="27"/>
      <c r="K198" s="27"/>
      <c r="L198" s="27"/>
      <c r="M198" s="27">
        <f>M199</f>
        <v>289.6</v>
      </c>
      <c r="N198" s="27">
        <f t="shared" si="198"/>
        <v>289.6</v>
      </c>
      <c r="O198" s="27">
        <f t="shared" si="142"/>
        <v>100</v>
      </c>
    </row>
    <row r="199" spans="1:15" ht="63">
      <c r="A199" s="31" t="s">
        <v>236</v>
      </c>
      <c r="B199" s="215">
        <v>902</v>
      </c>
      <c r="C199" s="213" t="s">
        <v>202</v>
      </c>
      <c r="D199" s="213" t="s">
        <v>286</v>
      </c>
      <c r="E199" s="213" t="s">
        <v>975</v>
      </c>
      <c r="F199" s="213" t="s">
        <v>212</v>
      </c>
      <c r="G199" s="27"/>
      <c r="H199" s="27"/>
      <c r="I199" s="27"/>
      <c r="J199" s="27"/>
      <c r="K199" s="27"/>
      <c r="L199" s="27"/>
      <c r="M199" s="27">
        <v>289.6</v>
      </c>
      <c r="N199" s="27">
        <v>289.6</v>
      </c>
      <c r="O199" s="27">
        <f t="shared" si="142"/>
        <v>100</v>
      </c>
    </row>
    <row r="200" spans="1:15" ht="31.5">
      <c r="A200" s="26" t="s">
        <v>287</v>
      </c>
      <c r="B200" s="215">
        <v>902</v>
      </c>
      <c r="C200" s="213" t="s">
        <v>202</v>
      </c>
      <c r="D200" s="213" t="s">
        <v>286</v>
      </c>
      <c r="E200" s="213" t="s">
        <v>288</v>
      </c>
      <c r="F200" s="213"/>
      <c r="G200" s="27">
        <f t="shared" si="193"/>
        <v>450</v>
      </c>
      <c r="H200" s="27">
        <f t="shared" si="194"/>
        <v>280</v>
      </c>
      <c r="I200" s="27">
        <f t="shared" si="193"/>
        <v>450</v>
      </c>
      <c r="J200" s="27">
        <f t="shared" si="193"/>
        <v>450</v>
      </c>
      <c r="K200" s="27">
        <f t="shared" si="193"/>
        <v>450</v>
      </c>
      <c r="L200" s="27">
        <f t="shared" si="193"/>
        <v>450</v>
      </c>
      <c r="M200" s="27">
        <f aca="true" t="shared" si="199" ref="M200:N201">M201</f>
        <v>510</v>
      </c>
      <c r="N200" s="27">
        <f t="shared" si="199"/>
        <v>255</v>
      </c>
      <c r="O200" s="27">
        <f t="shared" si="142"/>
        <v>50</v>
      </c>
    </row>
    <row r="201" spans="1:15" ht="15.75">
      <c r="A201" s="26" t="s">
        <v>187</v>
      </c>
      <c r="B201" s="215">
        <v>902</v>
      </c>
      <c r="C201" s="213" t="s">
        <v>202</v>
      </c>
      <c r="D201" s="213" t="s">
        <v>286</v>
      </c>
      <c r="E201" s="213" t="s">
        <v>288</v>
      </c>
      <c r="F201" s="213" t="s">
        <v>197</v>
      </c>
      <c r="G201" s="27">
        <f>G202</f>
        <v>450</v>
      </c>
      <c r="H201" s="27">
        <f>H202</f>
        <v>280</v>
      </c>
      <c r="I201" s="27">
        <f t="shared" si="193"/>
        <v>450</v>
      </c>
      <c r="J201" s="27">
        <f t="shared" si="193"/>
        <v>450</v>
      </c>
      <c r="K201" s="27">
        <f t="shared" si="193"/>
        <v>450</v>
      </c>
      <c r="L201" s="27">
        <f t="shared" si="193"/>
        <v>450</v>
      </c>
      <c r="M201" s="27">
        <f t="shared" si="199"/>
        <v>510</v>
      </c>
      <c r="N201" s="27">
        <f t="shared" si="199"/>
        <v>255</v>
      </c>
      <c r="O201" s="27">
        <f t="shared" si="142"/>
        <v>50</v>
      </c>
    </row>
    <row r="202" spans="1:15" ht="50.25" customHeight="1">
      <c r="A202" s="26" t="s">
        <v>236</v>
      </c>
      <c r="B202" s="215">
        <v>902</v>
      </c>
      <c r="C202" s="213" t="s">
        <v>202</v>
      </c>
      <c r="D202" s="213" t="s">
        <v>286</v>
      </c>
      <c r="E202" s="213" t="s">
        <v>288</v>
      </c>
      <c r="F202" s="213" t="s">
        <v>212</v>
      </c>
      <c r="G202" s="27">
        <f>310+140</f>
        <v>450</v>
      </c>
      <c r="H202" s="27">
        <v>280</v>
      </c>
      <c r="I202" s="27">
        <f aca="true" t="shared" si="200" ref="I202:L202">310+140</f>
        <v>450</v>
      </c>
      <c r="J202" s="27">
        <f t="shared" si="200"/>
        <v>450</v>
      </c>
      <c r="K202" s="27">
        <f t="shared" si="200"/>
        <v>450</v>
      </c>
      <c r="L202" s="27">
        <f t="shared" si="200"/>
        <v>450</v>
      </c>
      <c r="M202" s="27">
        <f>'прил.№1 доходы'!I117</f>
        <v>510</v>
      </c>
      <c r="N202" s="27">
        <v>255</v>
      </c>
      <c r="O202" s="27">
        <f t="shared" si="142"/>
        <v>50</v>
      </c>
    </row>
    <row r="203" spans="1:15" ht="31.5">
      <c r="A203" s="24" t="s">
        <v>289</v>
      </c>
      <c r="B203" s="212">
        <v>902</v>
      </c>
      <c r="C203" s="214" t="s">
        <v>202</v>
      </c>
      <c r="D203" s="214" t="s">
        <v>290</v>
      </c>
      <c r="E203" s="214"/>
      <c r="F203" s="214"/>
      <c r="G203" s="22">
        <f>G208+G204</f>
        <v>1371.3999999999999</v>
      </c>
      <c r="H203" s="22">
        <f aca="true" t="shared" si="201" ref="H203:L203">H208+H204</f>
        <v>763.1999999999999</v>
      </c>
      <c r="I203" s="22">
        <f t="shared" si="201"/>
        <v>1371.3999999999999</v>
      </c>
      <c r="J203" s="22">
        <f t="shared" si="201"/>
        <v>1911.3999999999999</v>
      </c>
      <c r="K203" s="22">
        <f t="shared" si="201"/>
        <v>1911.3999999999999</v>
      </c>
      <c r="L203" s="22">
        <f t="shared" si="201"/>
        <v>1911.3999999999999</v>
      </c>
      <c r="M203" s="22">
        <f>M208+M204</f>
        <v>1151.3</v>
      </c>
      <c r="N203" s="22">
        <f aca="true" t="shared" si="202" ref="N203">N208+N204</f>
        <v>224.89999999999998</v>
      </c>
      <c r="O203" s="22">
        <f t="shared" si="142"/>
        <v>19.534439329453658</v>
      </c>
    </row>
    <row r="204" spans="1:15" ht="63">
      <c r="A204" s="26" t="s">
        <v>986</v>
      </c>
      <c r="B204" s="215">
        <v>902</v>
      </c>
      <c r="C204" s="213" t="s">
        <v>202</v>
      </c>
      <c r="D204" s="213" t="s">
        <v>290</v>
      </c>
      <c r="E204" s="213" t="s">
        <v>208</v>
      </c>
      <c r="F204" s="213"/>
      <c r="G204" s="27">
        <f>G205</f>
        <v>0</v>
      </c>
      <c r="H204" s="27">
        <f aca="true" t="shared" si="203" ref="H204:N206">H205</f>
        <v>0</v>
      </c>
      <c r="I204" s="27">
        <f t="shared" si="203"/>
        <v>0</v>
      </c>
      <c r="J204" s="27">
        <f t="shared" si="203"/>
        <v>540</v>
      </c>
      <c r="K204" s="27">
        <f t="shared" si="203"/>
        <v>540</v>
      </c>
      <c r="L204" s="27">
        <f t="shared" si="203"/>
        <v>540</v>
      </c>
      <c r="M204" s="27">
        <f t="shared" si="203"/>
        <v>250</v>
      </c>
      <c r="N204" s="27">
        <f t="shared" si="203"/>
        <v>0</v>
      </c>
      <c r="O204" s="27">
        <f t="shared" si="142"/>
        <v>0</v>
      </c>
    </row>
    <row r="205" spans="1:15" ht="31.5">
      <c r="A205" s="26" t="s">
        <v>209</v>
      </c>
      <c r="B205" s="215">
        <v>902</v>
      </c>
      <c r="C205" s="213" t="s">
        <v>202</v>
      </c>
      <c r="D205" s="213" t="s">
        <v>290</v>
      </c>
      <c r="E205" s="213" t="s">
        <v>210</v>
      </c>
      <c r="F205" s="213"/>
      <c r="G205" s="27">
        <f>G206</f>
        <v>0</v>
      </c>
      <c r="H205" s="27">
        <f t="shared" si="203"/>
        <v>0</v>
      </c>
      <c r="I205" s="27">
        <f t="shared" si="203"/>
        <v>0</v>
      </c>
      <c r="J205" s="27">
        <f t="shared" si="203"/>
        <v>540</v>
      </c>
      <c r="K205" s="27">
        <f t="shared" si="203"/>
        <v>540</v>
      </c>
      <c r="L205" s="27">
        <f t="shared" si="203"/>
        <v>540</v>
      </c>
      <c r="M205" s="27">
        <f t="shared" si="203"/>
        <v>250</v>
      </c>
      <c r="N205" s="27">
        <f t="shared" si="203"/>
        <v>0</v>
      </c>
      <c r="O205" s="27">
        <f aca="true" t="shared" si="204" ref="O205:O268">N205/M205*100</f>
        <v>0</v>
      </c>
    </row>
    <row r="206" spans="1:15" ht="15.75">
      <c r="A206" s="26" t="s">
        <v>187</v>
      </c>
      <c r="B206" s="215">
        <v>902</v>
      </c>
      <c r="C206" s="213" t="s">
        <v>202</v>
      </c>
      <c r="D206" s="213" t="s">
        <v>290</v>
      </c>
      <c r="E206" s="213" t="s">
        <v>210</v>
      </c>
      <c r="F206" s="213" t="s">
        <v>197</v>
      </c>
      <c r="G206" s="27">
        <f>G207</f>
        <v>0</v>
      </c>
      <c r="H206" s="27">
        <f t="shared" si="203"/>
        <v>0</v>
      </c>
      <c r="I206" s="27">
        <f t="shared" si="203"/>
        <v>0</v>
      </c>
      <c r="J206" s="27">
        <f t="shared" si="203"/>
        <v>540</v>
      </c>
      <c r="K206" s="27">
        <f t="shared" si="203"/>
        <v>540</v>
      </c>
      <c r="L206" s="27">
        <f t="shared" si="203"/>
        <v>540</v>
      </c>
      <c r="M206" s="27">
        <f t="shared" si="203"/>
        <v>250</v>
      </c>
      <c r="N206" s="27">
        <f t="shared" si="203"/>
        <v>0</v>
      </c>
      <c r="O206" s="27">
        <f t="shared" si="204"/>
        <v>0</v>
      </c>
    </row>
    <row r="207" spans="1:15" ht="78.75">
      <c r="A207" s="26" t="s">
        <v>211</v>
      </c>
      <c r="B207" s="215">
        <v>902</v>
      </c>
      <c r="C207" s="213" t="s">
        <v>202</v>
      </c>
      <c r="D207" s="213" t="s">
        <v>290</v>
      </c>
      <c r="E207" s="213" t="s">
        <v>210</v>
      </c>
      <c r="F207" s="213" t="s">
        <v>212</v>
      </c>
      <c r="G207" s="27">
        <v>0</v>
      </c>
      <c r="H207" s="27">
        <v>0</v>
      </c>
      <c r="I207" s="27">
        <v>0</v>
      </c>
      <c r="J207" s="27">
        <v>540</v>
      </c>
      <c r="K207" s="27">
        <v>540</v>
      </c>
      <c r="L207" s="27">
        <v>540</v>
      </c>
      <c r="M207" s="27">
        <f aca="true" t="shared" si="205" ref="M207">100+150</f>
        <v>250</v>
      </c>
      <c r="N207" s="27">
        <v>0</v>
      </c>
      <c r="O207" s="27">
        <f t="shared" si="204"/>
        <v>0</v>
      </c>
    </row>
    <row r="208" spans="1:15" ht="15.75">
      <c r="A208" s="26" t="s">
        <v>173</v>
      </c>
      <c r="B208" s="215">
        <v>902</v>
      </c>
      <c r="C208" s="213" t="s">
        <v>202</v>
      </c>
      <c r="D208" s="213" t="s">
        <v>290</v>
      </c>
      <c r="E208" s="213" t="s">
        <v>174</v>
      </c>
      <c r="F208" s="214"/>
      <c r="G208" s="27">
        <f>G209</f>
        <v>1371.3999999999999</v>
      </c>
      <c r="H208" s="27">
        <f>H209</f>
        <v>763.1999999999999</v>
      </c>
      <c r="I208" s="27">
        <f aca="true" t="shared" si="206" ref="I208:L208">I209</f>
        <v>1371.3999999999999</v>
      </c>
      <c r="J208" s="27">
        <f t="shared" si="206"/>
        <v>1371.3999999999999</v>
      </c>
      <c r="K208" s="27">
        <f t="shared" si="206"/>
        <v>1371.3999999999999</v>
      </c>
      <c r="L208" s="27">
        <f t="shared" si="206"/>
        <v>1371.3999999999999</v>
      </c>
      <c r="M208" s="27">
        <f aca="true" t="shared" si="207" ref="M208:N208">M209</f>
        <v>901.3</v>
      </c>
      <c r="N208" s="27">
        <f t="shared" si="207"/>
        <v>224.89999999999998</v>
      </c>
      <c r="O208" s="27">
        <f t="shared" si="204"/>
        <v>24.952845889271053</v>
      </c>
    </row>
    <row r="209" spans="1:15" ht="31.5">
      <c r="A209" s="26" t="s">
        <v>237</v>
      </c>
      <c r="B209" s="215">
        <v>902</v>
      </c>
      <c r="C209" s="213" t="s">
        <v>202</v>
      </c>
      <c r="D209" s="213" t="s">
        <v>290</v>
      </c>
      <c r="E209" s="213" t="s">
        <v>238</v>
      </c>
      <c r="F209" s="214"/>
      <c r="G209" s="27">
        <f>G213+G210</f>
        <v>1371.3999999999999</v>
      </c>
      <c r="H209" s="27">
        <f>H213+H210</f>
        <v>763.1999999999999</v>
      </c>
      <c r="I209" s="27">
        <f aca="true" t="shared" si="208" ref="I209:L209">I213+I210</f>
        <v>1371.3999999999999</v>
      </c>
      <c r="J209" s="27">
        <f t="shared" si="208"/>
        <v>1371.3999999999999</v>
      </c>
      <c r="K209" s="27">
        <f t="shared" si="208"/>
        <v>1371.3999999999999</v>
      </c>
      <c r="L209" s="27">
        <f t="shared" si="208"/>
        <v>1371.3999999999999</v>
      </c>
      <c r="M209" s="27">
        <f>M213+M210</f>
        <v>901.3</v>
      </c>
      <c r="N209" s="27">
        <f aca="true" t="shared" si="209" ref="N209">N213+N210</f>
        <v>224.89999999999998</v>
      </c>
      <c r="O209" s="27">
        <f t="shared" si="204"/>
        <v>24.952845889271053</v>
      </c>
    </row>
    <row r="210" spans="1:15" ht="31.5" hidden="1">
      <c r="A210" s="26" t="s">
        <v>291</v>
      </c>
      <c r="B210" s="215">
        <v>902</v>
      </c>
      <c r="C210" s="213" t="s">
        <v>202</v>
      </c>
      <c r="D210" s="213" t="s">
        <v>290</v>
      </c>
      <c r="E210" s="213" t="s">
        <v>292</v>
      </c>
      <c r="F210" s="214"/>
      <c r="G210" s="27">
        <f aca="true" t="shared" si="210" ref="G210:L211">G211</f>
        <v>90</v>
      </c>
      <c r="H210" s="27">
        <f aca="true" t="shared" si="211" ref="H210:H211">H211</f>
        <v>0</v>
      </c>
      <c r="I210" s="27">
        <f t="shared" si="210"/>
        <v>90</v>
      </c>
      <c r="J210" s="27">
        <f t="shared" si="210"/>
        <v>90</v>
      </c>
      <c r="K210" s="27">
        <f t="shared" si="210"/>
        <v>90</v>
      </c>
      <c r="L210" s="27">
        <f t="shared" si="210"/>
        <v>90</v>
      </c>
      <c r="M210" s="27">
        <f aca="true" t="shared" si="212" ref="M210:N211">M211</f>
        <v>0</v>
      </c>
      <c r="N210" s="27">
        <f t="shared" si="212"/>
        <v>0</v>
      </c>
      <c r="O210" s="27" t="e">
        <f t="shared" si="204"/>
        <v>#DIV/0!</v>
      </c>
    </row>
    <row r="211" spans="1:15" ht="15.75" hidden="1">
      <c r="A211" s="26" t="s">
        <v>187</v>
      </c>
      <c r="B211" s="215">
        <v>902</v>
      </c>
      <c r="C211" s="213" t="s">
        <v>202</v>
      </c>
      <c r="D211" s="213" t="s">
        <v>290</v>
      </c>
      <c r="E211" s="213" t="s">
        <v>292</v>
      </c>
      <c r="F211" s="213" t="s">
        <v>197</v>
      </c>
      <c r="G211" s="27">
        <f t="shared" si="210"/>
        <v>90</v>
      </c>
      <c r="H211" s="27">
        <f t="shared" si="211"/>
        <v>0</v>
      </c>
      <c r="I211" s="27">
        <f t="shared" si="210"/>
        <v>90</v>
      </c>
      <c r="J211" s="27">
        <f t="shared" si="210"/>
        <v>90</v>
      </c>
      <c r="K211" s="27">
        <f t="shared" si="210"/>
        <v>90</v>
      </c>
      <c r="L211" s="27">
        <f t="shared" si="210"/>
        <v>90</v>
      </c>
      <c r="M211" s="27">
        <f t="shared" si="212"/>
        <v>0</v>
      </c>
      <c r="N211" s="27">
        <f t="shared" si="212"/>
        <v>0</v>
      </c>
      <c r="O211" s="27" t="e">
        <f t="shared" si="204"/>
        <v>#DIV/0!</v>
      </c>
    </row>
    <row r="212" spans="1:15" ht="63" hidden="1">
      <c r="A212" s="26" t="s">
        <v>236</v>
      </c>
      <c r="B212" s="215">
        <v>902</v>
      </c>
      <c r="C212" s="213" t="s">
        <v>202</v>
      </c>
      <c r="D212" s="213" t="s">
        <v>290</v>
      </c>
      <c r="E212" s="213" t="s">
        <v>292</v>
      </c>
      <c r="F212" s="213" t="s">
        <v>212</v>
      </c>
      <c r="G212" s="27">
        <v>90</v>
      </c>
      <c r="H212" s="27">
        <v>0</v>
      </c>
      <c r="I212" s="27">
        <v>90</v>
      </c>
      <c r="J212" s="27">
        <v>90</v>
      </c>
      <c r="K212" s="27">
        <v>90</v>
      </c>
      <c r="L212" s="27">
        <v>90</v>
      </c>
      <c r="M212" s="27">
        <v>0</v>
      </c>
      <c r="N212" s="27">
        <v>0</v>
      </c>
      <c r="O212" s="27" t="e">
        <f t="shared" si="204"/>
        <v>#DIV/0!</v>
      </c>
    </row>
    <row r="213" spans="1:15" ht="63">
      <c r="A213" s="33" t="s">
        <v>293</v>
      </c>
      <c r="B213" s="215">
        <v>902</v>
      </c>
      <c r="C213" s="213" t="s">
        <v>202</v>
      </c>
      <c r="D213" s="213" t="s">
        <v>290</v>
      </c>
      <c r="E213" s="213" t="s">
        <v>294</v>
      </c>
      <c r="F213" s="213"/>
      <c r="G213" s="27">
        <f>G214+G216</f>
        <v>1281.3999999999999</v>
      </c>
      <c r="H213" s="27">
        <f>H214+H216</f>
        <v>763.1999999999999</v>
      </c>
      <c r="I213" s="27">
        <f aca="true" t="shared" si="213" ref="I213:L213">I214+I216</f>
        <v>1281.3999999999999</v>
      </c>
      <c r="J213" s="27">
        <f t="shared" si="213"/>
        <v>1281.3999999999999</v>
      </c>
      <c r="K213" s="27">
        <f t="shared" si="213"/>
        <v>1281.3999999999999</v>
      </c>
      <c r="L213" s="27">
        <f t="shared" si="213"/>
        <v>1281.3999999999999</v>
      </c>
      <c r="M213" s="27">
        <f aca="true" t="shared" si="214" ref="M213:N213">M214+M216</f>
        <v>901.3</v>
      </c>
      <c r="N213" s="27">
        <f t="shared" si="214"/>
        <v>224.89999999999998</v>
      </c>
      <c r="O213" s="27">
        <f t="shared" si="204"/>
        <v>24.952845889271053</v>
      </c>
    </row>
    <row r="214" spans="1:15" ht="94.5">
      <c r="A214" s="26" t="s">
        <v>179</v>
      </c>
      <c r="B214" s="215">
        <v>902</v>
      </c>
      <c r="C214" s="213" t="s">
        <v>202</v>
      </c>
      <c r="D214" s="213" t="s">
        <v>290</v>
      </c>
      <c r="E214" s="213" t="s">
        <v>294</v>
      </c>
      <c r="F214" s="213" t="s">
        <v>180</v>
      </c>
      <c r="G214" s="27">
        <f>G215</f>
        <v>1116.3999999999999</v>
      </c>
      <c r="H214" s="27">
        <f>H215</f>
        <v>716.3</v>
      </c>
      <c r="I214" s="27">
        <f aca="true" t="shared" si="215" ref="I214:L214">I215</f>
        <v>1116.3999999999999</v>
      </c>
      <c r="J214" s="27">
        <f t="shared" si="215"/>
        <v>1116.3999999999999</v>
      </c>
      <c r="K214" s="27">
        <f t="shared" si="215"/>
        <v>1116.3999999999999</v>
      </c>
      <c r="L214" s="27">
        <f t="shared" si="215"/>
        <v>1116.3999999999999</v>
      </c>
      <c r="M214" s="27">
        <f aca="true" t="shared" si="216" ref="M214:N214">M215</f>
        <v>779.6999999999999</v>
      </c>
      <c r="N214" s="27">
        <f t="shared" si="216"/>
        <v>190.6</v>
      </c>
      <c r="O214" s="27">
        <f t="shared" si="204"/>
        <v>24.44529947415673</v>
      </c>
    </row>
    <row r="215" spans="1:15" ht="31.5">
      <c r="A215" s="26" t="s">
        <v>181</v>
      </c>
      <c r="B215" s="215">
        <v>902</v>
      </c>
      <c r="C215" s="213" t="s">
        <v>202</v>
      </c>
      <c r="D215" s="213" t="s">
        <v>290</v>
      </c>
      <c r="E215" s="213" t="s">
        <v>294</v>
      </c>
      <c r="F215" s="213" t="s">
        <v>182</v>
      </c>
      <c r="G215" s="27">
        <f>1302-123.4-62.2</f>
        <v>1116.3999999999999</v>
      </c>
      <c r="H215" s="27">
        <v>716.3</v>
      </c>
      <c r="I215" s="27">
        <f aca="true" t="shared" si="217" ref="I215:L215">1302-123.4-62.2</f>
        <v>1116.3999999999999</v>
      </c>
      <c r="J215" s="27">
        <f t="shared" si="217"/>
        <v>1116.3999999999999</v>
      </c>
      <c r="K215" s="27">
        <f t="shared" si="217"/>
        <v>1116.3999999999999</v>
      </c>
      <c r="L215" s="27">
        <f t="shared" si="217"/>
        <v>1116.3999999999999</v>
      </c>
      <c r="M215" s="27">
        <f>901.3-361.1+239.5</f>
        <v>779.6999999999999</v>
      </c>
      <c r="N215" s="27">
        <v>190.6</v>
      </c>
      <c r="O215" s="27">
        <f t="shared" si="204"/>
        <v>24.44529947415673</v>
      </c>
    </row>
    <row r="216" spans="1:15" ht="31.5">
      <c r="A216" s="26" t="s">
        <v>183</v>
      </c>
      <c r="B216" s="215">
        <v>902</v>
      </c>
      <c r="C216" s="213" t="s">
        <v>202</v>
      </c>
      <c r="D216" s="213" t="s">
        <v>290</v>
      </c>
      <c r="E216" s="213" t="s">
        <v>294</v>
      </c>
      <c r="F216" s="213" t="s">
        <v>184</v>
      </c>
      <c r="G216" s="27">
        <f>G217</f>
        <v>165</v>
      </c>
      <c r="H216" s="27">
        <f>H217</f>
        <v>46.9</v>
      </c>
      <c r="I216" s="27">
        <f aca="true" t="shared" si="218" ref="I216:L216">I217</f>
        <v>165</v>
      </c>
      <c r="J216" s="27">
        <f t="shared" si="218"/>
        <v>165</v>
      </c>
      <c r="K216" s="27">
        <f t="shared" si="218"/>
        <v>165</v>
      </c>
      <c r="L216" s="27">
        <f t="shared" si="218"/>
        <v>165</v>
      </c>
      <c r="M216" s="27">
        <f aca="true" t="shared" si="219" ref="M216:N216">M217</f>
        <v>121.60000000000002</v>
      </c>
      <c r="N216" s="27">
        <f t="shared" si="219"/>
        <v>34.3</v>
      </c>
      <c r="O216" s="27">
        <f t="shared" si="204"/>
        <v>28.207236842105253</v>
      </c>
    </row>
    <row r="217" spans="1:15" ht="47.25">
      <c r="A217" s="26" t="s">
        <v>185</v>
      </c>
      <c r="B217" s="215">
        <v>902</v>
      </c>
      <c r="C217" s="213" t="s">
        <v>202</v>
      </c>
      <c r="D217" s="213" t="s">
        <v>290</v>
      </c>
      <c r="E217" s="213" t="s">
        <v>294</v>
      </c>
      <c r="F217" s="213" t="s">
        <v>186</v>
      </c>
      <c r="G217" s="27">
        <f>102.8+62.2</f>
        <v>165</v>
      </c>
      <c r="H217" s="27">
        <v>46.9</v>
      </c>
      <c r="I217" s="27">
        <f aca="true" t="shared" si="220" ref="I217:L217">102.8+62.2</f>
        <v>165</v>
      </c>
      <c r="J217" s="27">
        <f t="shared" si="220"/>
        <v>165</v>
      </c>
      <c r="K217" s="27">
        <f t="shared" si="220"/>
        <v>165</v>
      </c>
      <c r="L217" s="27">
        <f t="shared" si="220"/>
        <v>165</v>
      </c>
      <c r="M217" s="27">
        <f>361.1-239.5</f>
        <v>121.60000000000002</v>
      </c>
      <c r="N217" s="27">
        <v>34.3</v>
      </c>
      <c r="O217" s="27">
        <f t="shared" si="204"/>
        <v>28.207236842105253</v>
      </c>
    </row>
    <row r="218" spans="1:15" ht="16.5" customHeight="1">
      <c r="A218" s="24" t="s">
        <v>295</v>
      </c>
      <c r="B218" s="212">
        <v>902</v>
      </c>
      <c r="C218" s="214" t="s">
        <v>296</v>
      </c>
      <c r="D218" s="214"/>
      <c r="E218" s="214"/>
      <c r="F218" s="214"/>
      <c r="G218" s="22">
        <f>G219+G225+G235</f>
        <v>12224.9</v>
      </c>
      <c r="H218" s="22">
        <f aca="true" t="shared" si="221" ref="H218">H219+H225+H235</f>
        <v>8816</v>
      </c>
      <c r="I218" s="22">
        <f aca="true" t="shared" si="222" ref="I218:L218">I219+I225+I235</f>
        <v>12214.9</v>
      </c>
      <c r="J218" s="22">
        <f t="shared" si="222"/>
        <v>12225</v>
      </c>
      <c r="K218" s="22">
        <f t="shared" si="222"/>
        <v>12225</v>
      </c>
      <c r="L218" s="22">
        <f t="shared" si="222"/>
        <v>12225</v>
      </c>
      <c r="M218" s="22">
        <f aca="true" t="shared" si="223" ref="M218:N218">M219+M225+M235</f>
        <v>12225.1</v>
      </c>
      <c r="N218" s="22">
        <f t="shared" si="223"/>
        <v>5887.7</v>
      </c>
      <c r="O218" s="22">
        <f t="shared" si="204"/>
        <v>48.16075124129864</v>
      </c>
    </row>
    <row r="219" spans="1:15" ht="15.75">
      <c r="A219" s="24" t="s">
        <v>297</v>
      </c>
      <c r="B219" s="212">
        <v>902</v>
      </c>
      <c r="C219" s="214" t="s">
        <v>296</v>
      </c>
      <c r="D219" s="214" t="s">
        <v>170</v>
      </c>
      <c r="E219" s="214"/>
      <c r="F219" s="214"/>
      <c r="G219" s="22">
        <f>G220</f>
        <v>9066.4</v>
      </c>
      <c r="H219" s="22">
        <f aca="true" t="shared" si="224" ref="H219:L219">H220</f>
        <v>6799.8</v>
      </c>
      <c r="I219" s="22">
        <f t="shared" si="224"/>
        <v>9066.4</v>
      </c>
      <c r="J219" s="22">
        <f t="shared" si="224"/>
        <v>9066.5</v>
      </c>
      <c r="K219" s="22">
        <f t="shared" si="224"/>
        <v>9066.5</v>
      </c>
      <c r="L219" s="22">
        <f t="shared" si="224"/>
        <v>9066.5</v>
      </c>
      <c r="M219" s="22">
        <f aca="true" t="shared" si="225" ref="M219:N223">M220</f>
        <v>9066.4</v>
      </c>
      <c r="N219" s="22">
        <f t="shared" si="225"/>
        <v>4536.8</v>
      </c>
      <c r="O219" s="22">
        <f t="shared" si="204"/>
        <v>50.03970705020736</v>
      </c>
    </row>
    <row r="220" spans="1:15" ht="15.75">
      <c r="A220" s="26" t="s">
        <v>173</v>
      </c>
      <c r="B220" s="215">
        <v>902</v>
      </c>
      <c r="C220" s="213" t="s">
        <v>296</v>
      </c>
      <c r="D220" s="213" t="s">
        <v>170</v>
      </c>
      <c r="E220" s="213" t="s">
        <v>174</v>
      </c>
      <c r="F220" s="213"/>
      <c r="G220" s="27">
        <f aca="true" t="shared" si="226" ref="G220:L223">G221</f>
        <v>9066.4</v>
      </c>
      <c r="H220" s="27">
        <f aca="true" t="shared" si="227" ref="H220:H222">H221</f>
        <v>6799.8</v>
      </c>
      <c r="I220" s="27">
        <f t="shared" si="226"/>
        <v>9066.4</v>
      </c>
      <c r="J220" s="27">
        <f t="shared" si="226"/>
        <v>9066.5</v>
      </c>
      <c r="K220" s="27">
        <f t="shared" si="226"/>
        <v>9066.5</v>
      </c>
      <c r="L220" s="27">
        <f t="shared" si="226"/>
        <v>9066.5</v>
      </c>
      <c r="M220" s="27">
        <f t="shared" si="225"/>
        <v>9066.4</v>
      </c>
      <c r="N220" s="27">
        <f t="shared" si="225"/>
        <v>4536.8</v>
      </c>
      <c r="O220" s="27">
        <f t="shared" si="204"/>
        <v>50.03970705020736</v>
      </c>
    </row>
    <row r="221" spans="1:15" ht="15.75">
      <c r="A221" s="26" t="s">
        <v>193</v>
      </c>
      <c r="B221" s="215">
        <v>902</v>
      </c>
      <c r="C221" s="213" t="s">
        <v>296</v>
      </c>
      <c r="D221" s="213" t="s">
        <v>170</v>
      </c>
      <c r="E221" s="213" t="s">
        <v>194</v>
      </c>
      <c r="F221" s="213"/>
      <c r="G221" s="27">
        <f>G222</f>
        <v>9066.4</v>
      </c>
      <c r="H221" s="27">
        <f>H222</f>
        <v>6799.8</v>
      </c>
      <c r="I221" s="27">
        <f t="shared" si="226"/>
        <v>9066.4</v>
      </c>
      <c r="J221" s="27">
        <f t="shared" si="226"/>
        <v>9066.5</v>
      </c>
      <c r="K221" s="27">
        <f t="shared" si="226"/>
        <v>9066.5</v>
      </c>
      <c r="L221" s="27">
        <f t="shared" si="226"/>
        <v>9066.5</v>
      </c>
      <c r="M221" s="27">
        <f t="shared" si="225"/>
        <v>9066.4</v>
      </c>
      <c r="N221" s="27">
        <f t="shared" si="225"/>
        <v>4536.8</v>
      </c>
      <c r="O221" s="27">
        <f t="shared" si="204"/>
        <v>50.03970705020736</v>
      </c>
    </row>
    <row r="222" spans="1:15" ht="15.75">
      <c r="A222" s="26" t="s">
        <v>298</v>
      </c>
      <c r="B222" s="215">
        <v>902</v>
      </c>
      <c r="C222" s="213" t="s">
        <v>296</v>
      </c>
      <c r="D222" s="213" t="s">
        <v>170</v>
      </c>
      <c r="E222" s="213" t="s">
        <v>299</v>
      </c>
      <c r="F222" s="213"/>
      <c r="G222" s="27">
        <f t="shared" si="226"/>
        <v>9066.4</v>
      </c>
      <c r="H222" s="27">
        <f t="shared" si="227"/>
        <v>6799.8</v>
      </c>
      <c r="I222" s="27">
        <f t="shared" si="226"/>
        <v>9066.4</v>
      </c>
      <c r="J222" s="27">
        <f t="shared" si="226"/>
        <v>9066.5</v>
      </c>
      <c r="K222" s="27">
        <f t="shared" si="226"/>
        <v>9066.5</v>
      </c>
      <c r="L222" s="27">
        <f t="shared" si="226"/>
        <v>9066.5</v>
      </c>
      <c r="M222" s="27">
        <f t="shared" si="225"/>
        <v>9066.4</v>
      </c>
      <c r="N222" s="27">
        <f t="shared" si="225"/>
        <v>4536.8</v>
      </c>
      <c r="O222" s="27">
        <f t="shared" si="204"/>
        <v>50.03970705020736</v>
      </c>
    </row>
    <row r="223" spans="1:15" ht="31.5">
      <c r="A223" s="26" t="s">
        <v>300</v>
      </c>
      <c r="B223" s="215">
        <v>902</v>
      </c>
      <c r="C223" s="213" t="s">
        <v>296</v>
      </c>
      <c r="D223" s="213" t="s">
        <v>170</v>
      </c>
      <c r="E223" s="213" t="s">
        <v>299</v>
      </c>
      <c r="F223" s="213" t="s">
        <v>301</v>
      </c>
      <c r="G223" s="27">
        <f>G224</f>
        <v>9066.4</v>
      </c>
      <c r="H223" s="27">
        <f>H224</f>
        <v>6799.8</v>
      </c>
      <c r="I223" s="27">
        <f t="shared" si="226"/>
        <v>9066.4</v>
      </c>
      <c r="J223" s="27">
        <f t="shared" si="226"/>
        <v>9066.5</v>
      </c>
      <c r="K223" s="27">
        <f t="shared" si="226"/>
        <v>9066.5</v>
      </c>
      <c r="L223" s="27">
        <f t="shared" si="226"/>
        <v>9066.5</v>
      </c>
      <c r="M223" s="27">
        <f t="shared" si="225"/>
        <v>9066.4</v>
      </c>
      <c r="N223" s="27">
        <f t="shared" si="225"/>
        <v>4536.8</v>
      </c>
      <c r="O223" s="27">
        <f t="shared" si="204"/>
        <v>50.03970705020736</v>
      </c>
    </row>
    <row r="224" spans="1:15" ht="31.5">
      <c r="A224" s="26" t="s">
        <v>302</v>
      </c>
      <c r="B224" s="215">
        <v>902</v>
      </c>
      <c r="C224" s="213" t="s">
        <v>296</v>
      </c>
      <c r="D224" s="213" t="s">
        <v>170</v>
      </c>
      <c r="E224" s="213" t="s">
        <v>299</v>
      </c>
      <c r="F224" s="213" t="s">
        <v>303</v>
      </c>
      <c r="G224" s="28">
        <v>9066.4</v>
      </c>
      <c r="H224" s="28">
        <v>6799.8</v>
      </c>
      <c r="I224" s="28">
        <v>9066.4</v>
      </c>
      <c r="J224" s="28">
        <v>9066.5</v>
      </c>
      <c r="K224" s="28">
        <f>J224</f>
        <v>9066.5</v>
      </c>
      <c r="L224" s="28">
        <f>K224</f>
        <v>9066.5</v>
      </c>
      <c r="M224" s="28">
        <v>9066.4</v>
      </c>
      <c r="N224" s="28">
        <v>4536.8</v>
      </c>
      <c r="O224" s="27">
        <f t="shared" si="204"/>
        <v>50.03970705020736</v>
      </c>
    </row>
    <row r="225" spans="1:15" ht="15.75">
      <c r="A225" s="24" t="s">
        <v>304</v>
      </c>
      <c r="B225" s="212">
        <v>902</v>
      </c>
      <c r="C225" s="214" t="s">
        <v>296</v>
      </c>
      <c r="D225" s="214" t="s">
        <v>267</v>
      </c>
      <c r="E225" s="213"/>
      <c r="F225" s="213"/>
      <c r="G225" s="22">
        <f>G226+G230</f>
        <v>10</v>
      </c>
      <c r="H225" s="22">
        <f aca="true" t="shared" si="228" ref="H225:L225">H226+H230</f>
        <v>0</v>
      </c>
      <c r="I225" s="22">
        <f t="shared" si="228"/>
        <v>0</v>
      </c>
      <c r="J225" s="22">
        <f t="shared" si="228"/>
        <v>10</v>
      </c>
      <c r="K225" s="22">
        <f t="shared" si="228"/>
        <v>10</v>
      </c>
      <c r="L225" s="22">
        <f t="shared" si="228"/>
        <v>10</v>
      </c>
      <c r="M225" s="22">
        <f aca="true" t="shared" si="229" ref="M225:N225">M226+M230</f>
        <v>10</v>
      </c>
      <c r="N225" s="22">
        <f t="shared" si="229"/>
        <v>0</v>
      </c>
      <c r="O225" s="22">
        <f t="shared" si="204"/>
        <v>0</v>
      </c>
    </row>
    <row r="226" spans="1:15" ht="78.75">
      <c r="A226" s="26" t="s">
        <v>305</v>
      </c>
      <c r="B226" s="215">
        <v>902</v>
      </c>
      <c r="C226" s="213" t="s">
        <v>296</v>
      </c>
      <c r="D226" s="213" t="s">
        <v>267</v>
      </c>
      <c r="E226" s="213" t="s">
        <v>306</v>
      </c>
      <c r="F226" s="213"/>
      <c r="G226" s="27">
        <f>G227</f>
        <v>10</v>
      </c>
      <c r="H226" s="27">
        <f aca="true" t="shared" si="230" ref="H226:H228">H227</f>
        <v>0</v>
      </c>
      <c r="I226" s="27">
        <f aca="true" t="shared" si="231" ref="I226:L228">I227</f>
        <v>0</v>
      </c>
      <c r="J226" s="27">
        <f t="shared" si="231"/>
        <v>10</v>
      </c>
      <c r="K226" s="27">
        <f t="shared" si="231"/>
        <v>10</v>
      </c>
      <c r="L226" s="27">
        <f t="shared" si="231"/>
        <v>10</v>
      </c>
      <c r="M226" s="27">
        <f aca="true" t="shared" si="232" ref="M226:N228">M227</f>
        <v>10</v>
      </c>
      <c r="N226" s="27">
        <f t="shared" si="232"/>
        <v>0</v>
      </c>
      <c r="O226" s="27">
        <f t="shared" si="204"/>
        <v>0</v>
      </c>
    </row>
    <row r="227" spans="1:15" ht="31.5">
      <c r="A227" s="26" t="s">
        <v>209</v>
      </c>
      <c r="B227" s="215">
        <v>902</v>
      </c>
      <c r="C227" s="213" t="s">
        <v>296</v>
      </c>
      <c r="D227" s="213" t="s">
        <v>267</v>
      </c>
      <c r="E227" s="213" t="s">
        <v>307</v>
      </c>
      <c r="F227" s="213"/>
      <c r="G227" s="27">
        <f>G228</f>
        <v>10</v>
      </c>
      <c r="H227" s="27">
        <f t="shared" si="230"/>
        <v>0</v>
      </c>
      <c r="I227" s="27">
        <f t="shared" si="231"/>
        <v>0</v>
      </c>
      <c r="J227" s="27">
        <f t="shared" si="231"/>
        <v>10</v>
      </c>
      <c r="K227" s="27">
        <f t="shared" si="231"/>
        <v>10</v>
      </c>
      <c r="L227" s="27">
        <f t="shared" si="231"/>
        <v>10</v>
      </c>
      <c r="M227" s="27">
        <f t="shared" si="232"/>
        <v>10</v>
      </c>
      <c r="N227" s="27">
        <f t="shared" si="232"/>
        <v>0</v>
      </c>
      <c r="O227" s="27">
        <f t="shared" si="204"/>
        <v>0</v>
      </c>
    </row>
    <row r="228" spans="1:15" ht="31.5">
      <c r="A228" s="26" t="s">
        <v>300</v>
      </c>
      <c r="B228" s="215">
        <v>902</v>
      </c>
      <c r="C228" s="213" t="s">
        <v>296</v>
      </c>
      <c r="D228" s="213" t="s">
        <v>267</v>
      </c>
      <c r="E228" s="213" t="s">
        <v>307</v>
      </c>
      <c r="F228" s="213" t="s">
        <v>301</v>
      </c>
      <c r="G228" s="27">
        <f>G229</f>
        <v>10</v>
      </c>
      <c r="H228" s="27">
        <f t="shared" si="230"/>
        <v>0</v>
      </c>
      <c r="I228" s="27">
        <f t="shared" si="231"/>
        <v>0</v>
      </c>
      <c r="J228" s="27">
        <f t="shared" si="231"/>
        <v>10</v>
      </c>
      <c r="K228" s="27">
        <f t="shared" si="231"/>
        <v>10</v>
      </c>
      <c r="L228" s="27">
        <f t="shared" si="231"/>
        <v>10</v>
      </c>
      <c r="M228" s="27">
        <f t="shared" si="232"/>
        <v>10</v>
      </c>
      <c r="N228" s="27">
        <f t="shared" si="232"/>
        <v>0</v>
      </c>
      <c r="O228" s="27">
        <f t="shared" si="204"/>
        <v>0</v>
      </c>
    </row>
    <row r="229" spans="1:15" ht="31.5">
      <c r="A229" s="26" t="s">
        <v>302</v>
      </c>
      <c r="B229" s="215">
        <v>902</v>
      </c>
      <c r="C229" s="213" t="s">
        <v>296</v>
      </c>
      <c r="D229" s="213" t="s">
        <v>267</v>
      </c>
      <c r="E229" s="213" t="s">
        <v>307</v>
      </c>
      <c r="F229" s="213" t="s">
        <v>303</v>
      </c>
      <c r="G229" s="27">
        <v>10</v>
      </c>
      <c r="H229" s="27">
        <v>0</v>
      </c>
      <c r="I229" s="27">
        <v>0</v>
      </c>
      <c r="J229" s="27">
        <v>10</v>
      </c>
      <c r="K229" s="27">
        <v>10</v>
      </c>
      <c r="L229" s="27">
        <v>10</v>
      </c>
      <c r="M229" s="27">
        <v>10</v>
      </c>
      <c r="N229" s="27">
        <v>0</v>
      </c>
      <c r="O229" s="27">
        <f t="shared" si="204"/>
        <v>0</v>
      </c>
    </row>
    <row r="230" spans="1:15" ht="15.75" customHeight="1" hidden="1">
      <c r="A230" s="26" t="s">
        <v>173</v>
      </c>
      <c r="B230" s="215">
        <v>902</v>
      </c>
      <c r="C230" s="213" t="s">
        <v>296</v>
      </c>
      <c r="D230" s="213" t="s">
        <v>267</v>
      </c>
      <c r="E230" s="213" t="s">
        <v>174</v>
      </c>
      <c r="F230" s="213"/>
      <c r="G230" s="27">
        <f>G231</f>
        <v>0</v>
      </c>
      <c r="H230" s="27">
        <f aca="true" t="shared" si="233" ref="H230:H233">H231</f>
        <v>0</v>
      </c>
      <c r="I230" s="27">
        <f aca="true" t="shared" si="234" ref="I230:L233">I231</f>
        <v>0</v>
      </c>
      <c r="J230" s="27">
        <f t="shared" si="234"/>
        <v>0</v>
      </c>
      <c r="K230" s="27">
        <f t="shared" si="234"/>
        <v>0</v>
      </c>
      <c r="L230" s="27">
        <f t="shared" si="234"/>
        <v>0</v>
      </c>
      <c r="M230" s="27">
        <f aca="true" t="shared" si="235" ref="M230:N233">M231</f>
        <v>0</v>
      </c>
      <c r="N230" s="27">
        <f t="shared" si="235"/>
        <v>0</v>
      </c>
      <c r="O230" s="22" t="e">
        <f t="shared" si="204"/>
        <v>#DIV/0!</v>
      </c>
    </row>
    <row r="231" spans="1:15" ht="31.5" customHeight="1" hidden="1">
      <c r="A231" s="26" t="s">
        <v>237</v>
      </c>
      <c r="B231" s="215">
        <v>902</v>
      </c>
      <c r="C231" s="213" t="s">
        <v>296</v>
      </c>
      <c r="D231" s="213" t="s">
        <v>267</v>
      </c>
      <c r="E231" s="213" t="s">
        <v>238</v>
      </c>
      <c r="F231" s="213"/>
      <c r="G231" s="27">
        <f>G232</f>
        <v>0</v>
      </c>
      <c r="H231" s="27">
        <f t="shared" si="233"/>
        <v>0</v>
      </c>
      <c r="I231" s="27">
        <f t="shared" si="234"/>
        <v>0</v>
      </c>
      <c r="J231" s="27">
        <f t="shared" si="234"/>
        <v>0</v>
      </c>
      <c r="K231" s="27">
        <f t="shared" si="234"/>
        <v>0</v>
      </c>
      <c r="L231" s="27">
        <f t="shared" si="234"/>
        <v>0</v>
      </c>
      <c r="M231" s="27">
        <f t="shared" si="235"/>
        <v>0</v>
      </c>
      <c r="N231" s="27">
        <f t="shared" si="235"/>
        <v>0</v>
      </c>
      <c r="O231" s="22" t="e">
        <f t="shared" si="204"/>
        <v>#DIV/0!</v>
      </c>
    </row>
    <row r="232" spans="1:15" ht="47.25" customHeight="1" hidden="1">
      <c r="A232" s="33" t="s">
        <v>308</v>
      </c>
      <c r="B232" s="215">
        <v>902</v>
      </c>
      <c r="C232" s="213" t="s">
        <v>296</v>
      </c>
      <c r="D232" s="213" t="s">
        <v>267</v>
      </c>
      <c r="E232" s="213" t="s">
        <v>309</v>
      </c>
      <c r="F232" s="213"/>
      <c r="G232" s="27">
        <f>G233</f>
        <v>0</v>
      </c>
      <c r="H232" s="27">
        <f t="shared" si="233"/>
        <v>0</v>
      </c>
      <c r="I232" s="27">
        <f t="shared" si="234"/>
        <v>0</v>
      </c>
      <c r="J232" s="27">
        <f t="shared" si="234"/>
        <v>0</v>
      </c>
      <c r="K232" s="27">
        <f t="shared" si="234"/>
        <v>0</v>
      </c>
      <c r="L232" s="27">
        <f t="shared" si="234"/>
        <v>0</v>
      </c>
      <c r="M232" s="27">
        <f t="shared" si="235"/>
        <v>0</v>
      </c>
      <c r="N232" s="27">
        <f t="shared" si="235"/>
        <v>0</v>
      </c>
      <c r="O232" s="22" t="e">
        <f t="shared" si="204"/>
        <v>#DIV/0!</v>
      </c>
    </row>
    <row r="233" spans="1:15" ht="31.5" customHeight="1" hidden="1">
      <c r="A233" s="26" t="s">
        <v>300</v>
      </c>
      <c r="B233" s="215">
        <v>902</v>
      </c>
      <c r="C233" s="213" t="s">
        <v>296</v>
      </c>
      <c r="D233" s="213" t="s">
        <v>267</v>
      </c>
      <c r="E233" s="213" t="s">
        <v>309</v>
      </c>
      <c r="F233" s="213" t="s">
        <v>301</v>
      </c>
      <c r="G233" s="27">
        <f>G234</f>
        <v>0</v>
      </c>
      <c r="H233" s="27">
        <f t="shared" si="233"/>
        <v>0</v>
      </c>
      <c r="I233" s="27">
        <f t="shared" si="234"/>
        <v>0</v>
      </c>
      <c r="J233" s="27">
        <f t="shared" si="234"/>
        <v>0</v>
      </c>
      <c r="K233" s="27">
        <f t="shared" si="234"/>
        <v>0</v>
      </c>
      <c r="L233" s="27">
        <f t="shared" si="234"/>
        <v>0</v>
      </c>
      <c r="M233" s="27">
        <f t="shared" si="235"/>
        <v>0</v>
      </c>
      <c r="N233" s="27">
        <f t="shared" si="235"/>
        <v>0</v>
      </c>
      <c r="O233" s="22" t="e">
        <f t="shared" si="204"/>
        <v>#DIV/0!</v>
      </c>
    </row>
    <row r="234" spans="1:15" ht="31.5" customHeight="1" hidden="1">
      <c r="A234" s="26" t="s">
        <v>302</v>
      </c>
      <c r="B234" s="215">
        <v>902</v>
      </c>
      <c r="C234" s="213" t="s">
        <v>296</v>
      </c>
      <c r="D234" s="213" t="s">
        <v>267</v>
      </c>
      <c r="E234" s="213" t="s">
        <v>309</v>
      </c>
      <c r="F234" s="213" t="s">
        <v>303</v>
      </c>
      <c r="G234" s="27">
        <f>6250-6250</f>
        <v>0</v>
      </c>
      <c r="H234" s="27">
        <f>6250-6250</f>
        <v>0</v>
      </c>
      <c r="I234" s="27">
        <f aca="true" t="shared" si="236" ref="I234:L234">6250-6250</f>
        <v>0</v>
      </c>
      <c r="J234" s="27">
        <f t="shared" si="236"/>
        <v>0</v>
      </c>
      <c r="K234" s="27">
        <f t="shared" si="236"/>
        <v>0</v>
      </c>
      <c r="L234" s="27">
        <f t="shared" si="236"/>
        <v>0</v>
      </c>
      <c r="M234" s="27">
        <f aca="true" t="shared" si="237" ref="M234:N234">6250-6250</f>
        <v>0</v>
      </c>
      <c r="N234" s="27">
        <f t="shared" si="237"/>
        <v>0</v>
      </c>
      <c r="O234" s="22" t="e">
        <f t="shared" si="204"/>
        <v>#DIV/0!</v>
      </c>
    </row>
    <row r="235" spans="1:15" ht="31.5">
      <c r="A235" s="24" t="s">
        <v>310</v>
      </c>
      <c r="B235" s="212">
        <v>902</v>
      </c>
      <c r="C235" s="214" t="s">
        <v>296</v>
      </c>
      <c r="D235" s="214" t="s">
        <v>172</v>
      </c>
      <c r="E235" s="214"/>
      <c r="F235" s="214"/>
      <c r="G235" s="22">
        <f>G236</f>
        <v>3148.5000000000005</v>
      </c>
      <c r="H235" s="22">
        <f aca="true" t="shared" si="238" ref="H235:L237">H236</f>
        <v>2016.2</v>
      </c>
      <c r="I235" s="22">
        <f t="shared" si="238"/>
        <v>3148.5000000000005</v>
      </c>
      <c r="J235" s="22">
        <f t="shared" si="238"/>
        <v>3148.5000000000005</v>
      </c>
      <c r="K235" s="22">
        <f t="shared" si="238"/>
        <v>3148.5000000000005</v>
      </c>
      <c r="L235" s="22">
        <f t="shared" si="238"/>
        <v>3148.5000000000005</v>
      </c>
      <c r="M235" s="22">
        <f aca="true" t="shared" si="239" ref="M235:N237">M236</f>
        <v>3148.7000000000003</v>
      </c>
      <c r="N235" s="22">
        <f t="shared" si="239"/>
        <v>1350.8999999999999</v>
      </c>
      <c r="O235" s="22">
        <f t="shared" si="204"/>
        <v>42.90342045923713</v>
      </c>
    </row>
    <row r="236" spans="1:15" ht="15.75">
      <c r="A236" s="26" t="s">
        <v>173</v>
      </c>
      <c r="B236" s="215">
        <v>902</v>
      </c>
      <c r="C236" s="213" t="s">
        <v>296</v>
      </c>
      <c r="D236" s="213" t="s">
        <v>172</v>
      </c>
      <c r="E236" s="213" t="s">
        <v>174</v>
      </c>
      <c r="F236" s="214"/>
      <c r="G236" s="27">
        <f>G237</f>
        <v>3148.5000000000005</v>
      </c>
      <c r="H236" s="27">
        <f aca="true" t="shared" si="240" ref="H236:H237">H237</f>
        <v>2016.2</v>
      </c>
      <c r="I236" s="27">
        <f t="shared" si="238"/>
        <v>3148.5000000000005</v>
      </c>
      <c r="J236" s="27">
        <f t="shared" si="238"/>
        <v>3148.5000000000005</v>
      </c>
      <c r="K236" s="27">
        <f t="shared" si="238"/>
        <v>3148.5000000000005</v>
      </c>
      <c r="L236" s="27">
        <f t="shared" si="238"/>
        <v>3148.5000000000005</v>
      </c>
      <c r="M236" s="27">
        <f t="shared" si="239"/>
        <v>3148.7000000000003</v>
      </c>
      <c r="N236" s="27">
        <f t="shared" si="239"/>
        <v>1350.8999999999999</v>
      </c>
      <c r="O236" s="27">
        <f t="shared" si="204"/>
        <v>42.90342045923713</v>
      </c>
    </row>
    <row r="237" spans="1:15" ht="31.5">
      <c r="A237" s="26" t="s">
        <v>237</v>
      </c>
      <c r="B237" s="215">
        <v>902</v>
      </c>
      <c r="C237" s="213" t="s">
        <v>296</v>
      </c>
      <c r="D237" s="213" t="s">
        <v>172</v>
      </c>
      <c r="E237" s="213" t="s">
        <v>238</v>
      </c>
      <c r="F237" s="213"/>
      <c r="G237" s="27">
        <f>G238</f>
        <v>3148.5000000000005</v>
      </c>
      <c r="H237" s="27">
        <f t="shared" si="240"/>
        <v>2016.2</v>
      </c>
      <c r="I237" s="27">
        <f t="shared" si="238"/>
        <v>3148.5000000000005</v>
      </c>
      <c r="J237" s="27">
        <f t="shared" si="238"/>
        <v>3148.5000000000005</v>
      </c>
      <c r="K237" s="27">
        <f t="shared" si="238"/>
        <v>3148.5000000000005</v>
      </c>
      <c r="L237" s="27">
        <f t="shared" si="238"/>
        <v>3148.5000000000005</v>
      </c>
      <c r="M237" s="27">
        <f t="shared" si="239"/>
        <v>3148.7000000000003</v>
      </c>
      <c r="N237" s="27">
        <f t="shared" si="239"/>
        <v>1350.8999999999999</v>
      </c>
      <c r="O237" s="27">
        <f t="shared" si="204"/>
        <v>42.90342045923713</v>
      </c>
    </row>
    <row r="238" spans="1:15" ht="47.25">
      <c r="A238" s="33" t="s">
        <v>311</v>
      </c>
      <c r="B238" s="215">
        <v>902</v>
      </c>
      <c r="C238" s="213" t="s">
        <v>296</v>
      </c>
      <c r="D238" s="213" t="s">
        <v>172</v>
      </c>
      <c r="E238" s="213" t="s">
        <v>312</v>
      </c>
      <c r="F238" s="213"/>
      <c r="G238" s="27">
        <f>G239+G241</f>
        <v>3148.5000000000005</v>
      </c>
      <c r="H238" s="27">
        <f aca="true" t="shared" si="241" ref="H238:L238">H239+H241</f>
        <v>2016.2</v>
      </c>
      <c r="I238" s="27">
        <f t="shared" si="241"/>
        <v>3148.5000000000005</v>
      </c>
      <c r="J238" s="27">
        <f t="shared" si="241"/>
        <v>3148.5000000000005</v>
      </c>
      <c r="K238" s="27">
        <f t="shared" si="241"/>
        <v>3148.5000000000005</v>
      </c>
      <c r="L238" s="27">
        <f t="shared" si="241"/>
        <v>3148.5000000000005</v>
      </c>
      <c r="M238" s="27">
        <f aca="true" t="shared" si="242" ref="M238:N238">M239+M241</f>
        <v>3148.7000000000003</v>
      </c>
      <c r="N238" s="27">
        <f t="shared" si="242"/>
        <v>1350.8999999999999</v>
      </c>
      <c r="O238" s="27">
        <f t="shared" si="204"/>
        <v>42.90342045923713</v>
      </c>
    </row>
    <row r="239" spans="1:15" ht="94.5">
      <c r="A239" s="26" t="s">
        <v>179</v>
      </c>
      <c r="B239" s="215">
        <v>902</v>
      </c>
      <c r="C239" s="213" t="s">
        <v>296</v>
      </c>
      <c r="D239" s="213" t="s">
        <v>172</v>
      </c>
      <c r="E239" s="213" t="s">
        <v>312</v>
      </c>
      <c r="F239" s="213" t="s">
        <v>180</v>
      </c>
      <c r="G239" s="27">
        <f>G240</f>
        <v>2884.1000000000004</v>
      </c>
      <c r="H239" s="27">
        <f>H240</f>
        <v>1917.8</v>
      </c>
      <c r="I239" s="27">
        <f aca="true" t="shared" si="243" ref="I239:L239">I240</f>
        <v>2884.1000000000004</v>
      </c>
      <c r="J239" s="27">
        <f t="shared" si="243"/>
        <v>2884.1000000000004</v>
      </c>
      <c r="K239" s="27">
        <f t="shared" si="243"/>
        <v>2884.1000000000004</v>
      </c>
      <c r="L239" s="27">
        <f t="shared" si="243"/>
        <v>2884.1000000000004</v>
      </c>
      <c r="M239" s="27">
        <f aca="true" t="shared" si="244" ref="M239:N239">M240</f>
        <v>2857.3</v>
      </c>
      <c r="N239" s="27">
        <f t="shared" si="244"/>
        <v>1289.1</v>
      </c>
      <c r="O239" s="27">
        <f t="shared" si="204"/>
        <v>45.11601861897595</v>
      </c>
    </row>
    <row r="240" spans="1:15" ht="31.5">
      <c r="A240" s="26" t="s">
        <v>181</v>
      </c>
      <c r="B240" s="215">
        <v>902</v>
      </c>
      <c r="C240" s="213" t="s">
        <v>296</v>
      </c>
      <c r="D240" s="213" t="s">
        <v>172</v>
      </c>
      <c r="E240" s="213" t="s">
        <v>312</v>
      </c>
      <c r="F240" s="213" t="s">
        <v>182</v>
      </c>
      <c r="G240" s="28">
        <f>2826.8+14.8+42.5</f>
        <v>2884.1000000000004</v>
      </c>
      <c r="H240" s="28">
        <v>1917.8</v>
      </c>
      <c r="I240" s="28">
        <f aca="true" t="shared" si="245" ref="I240:L240">2826.8+14.8+42.5</f>
        <v>2884.1000000000004</v>
      </c>
      <c r="J240" s="28">
        <f t="shared" si="245"/>
        <v>2884.1000000000004</v>
      </c>
      <c r="K240" s="28">
        <f t="shared" si="245"/>
        <v>2884.1000000000004</v>
      </c>
      <c r="L240" s="28">
        <f t="shared" si="245"/>
        <v>2884.1000000000004</v>
      </c>
      <c r="M240" s="28">
        <f>2529.8+327.5</f>
        <v>2857.3</v>
      </c>
      <c r="N240" s="28">
        <v>1289.1</v>
      </c>
      <c r="O240" s="27">
        <f t="shared" si="204"/>
        <v>45.11601861897595</v>
      </c>
    </row>
    <row r="241" spans="1:15" ht="31.5">
      <c r="A241" s="26" t="s">
        <v>183</v>
      </c>
      <c r="B241" s="215">
        <v>902</v>
      </c>
      <c r="C241" s="213" t="s">
        <v>296</v>
      </c>
      <c r="D241" s="213" t="s">
        <v>172</v>
      </c>
      <c r="E241" s="213" t="s">
        <v>312</v>
      </c>
      <c r="F241" s="213" t="s">
        <v>184</v>
      </c>
      <c r="G241" s="27">
        <f>G242</f>
        <v>264.4</v>
      </c>
      <c r="H241" s="27">
        <f>H242</f>
        <v>98.4</v>
      </c>
      <c r="I241" s="27">
        <f aca="true" t="shared" si="246" ref="I241:L241">I242</f>
        <v>264.4</v>
      </c>
      <c r="J241" s="27">
        <f t="shared" si="246"/>
        <v>264.4</v>
      </c>
      <c r="K241" s="27">
        <f t="shared" si="246"/>
        <v>264.4</v>
      </c>
      <c r="L241" s="27">
        <f t="shared" si="246"/>
        <v>264.4</v>
      </c>
      <c r="M241" s="27">
        <f aca="true" t="shared" si="247" ref="M241:N241">M242</f>
        <v>291.4</v>
      </c>
      <c r="N241" s="27">
        <f t="shared" si="247"/>
        <v>61.8</v>
      </c>
      <c r="O241" s="27">
        <f t="shared" si="204"/>
        <v>21.2079615648593</v>
      </c>
    </row>
    <row r="242" spans="1:15" ht="47.25">
      <c r="A242" s="26" t="s">
        <v>185</v>
      </c>
      <c r="B242" s="215">
        <v>902</v>
      </c>
      <c r="C242" s="213" t="s">
        <v>296</v>
      </c>
      <c r="D242" s="213" t="s">
        <v>172</v>
      </c>
      <c r="E242" s="213" t="s">
        <v>312</v>
      </c>
      <c r="F242" s="213" t="s">
        <v>186</v>
      </c>
      <c r="G242" s="28">
        <f>433.9-112.2-14.8-42.5</f>
        <v>264.4</v>
      </c>
      <c r="H242" s="28">
        <v>98.4</v>
      </c>
      <c r="I242" s="28">
        <f aca="true" t="shared" si="248" ref="I242:L242">433.9-112.2-14.8-42.5</f>
        <v>264.4</v>
      </c>
      <c r="J242" s="28">
        <f t="shared" si="248"/>
        <v>264.4</v>
      </c>
      <c r="K242" s="28">
        <f t="shared" si="248"/>
        <v>264.4</v>
      </c>
      <c r="L242" s="28">
        <f t="shared" si="248"/>
        <v>264.4</v>
      </c>
      <c r="M242" s="28">
        <f>433.9-112.2-14.8-42.5+354.5-327.5</f>
        <v>291.4</v>
      </c>
      <c r="N242" s="28">
        <v>61.8</v>
      </c>
      <c r="O242" s="27">
        <f t="shared" si="204"/>
        <v>21.2079615648593</v>
      </c>
    </row>
    <row r="243" spans="1:15" ht="47.25">
      <c r="A243" s="20" t="s">
        <v>313</v>
      </c>
      <c r="B243" s="212">
        <v>903</v>
      </c>
      <c r="C243" s="213"/>
      <c r="D243" s="213"/>
      <c r="E243" s="213"/>
      <c r="F243" s="213"/>
      <c r="G243" s="22">
        <f aca="true" t="shared" si="249" ref="G243:M243">G283+G328+G454+G244</f>
        <v>83896.2</v>
      </c>
      <c r="H243" s="22">
        <f t="shared" si="249"/>
        <v>65955.6</v>
      </c>
      <c r="I243" s="22">
        <f t="shared" si="249"/>
        <v>79268.31764705882</v>
      </c>
      <c r="J243" s="22">
        <f t="shared" si="249"/>
        <v>100194.20000000001</v>
      </c>
      <c r="K243" s="22">
        <f t="shared" si="249"/>
        <v>101222.8</v>
      </c>
      <c r="L243" s="22">
        <f t="shared" si="249"/>
        <v>102250.79999999999</v>
      </c>
      <c r="M243" s="22">
        <f t="shared" si="249"/>
        <v>83684.40000000001</v>
      </c>
      <c r="N243" s="22">
        <f aca="true" t="shared" si="250" ref="N243">N283+N328+N454+N244</f>
        <v>40842.6</v>
      </c>
      <c r="O243" s="22">
        <f t="shared" si="204"/>
        <v>48.80551213846307</v>
      </c>
    </row>
    <row r="244" spans="1:15" ht="15.75">
      <c r="A244" s="24" t="s">
        <v>169</v>
      </c>
      <c r="B244" s="212">
        <v>903</v>
      </c>
      <c r="C244" s="214" t="s">
        <v>170</v>
      </c>
      <c r="D244" s="213"/>
      <c r="E244" s="213"/>
      <c r="F244" s="213"/>
      <c r="G244" s="22">
        <f>G245</f>
        <v>88.7</v>
      </c>
      <c r="H244" s="22">
        <f aca="true" t="shared" si="251" ref="H244:H274">H245</f>
        <v>0</v>
      </c>
      <c r="I244" s="22">
        <f aca="true" t="shared" si="252" ref="I244:L272">I245</f>
        <v>88.7</v>
      </c>
      <c r="J244" s="22">
        <f t="shared" si="252"/>
        <v>95</v>
      </c>
      <c r="K244" s="22">
        <f t="shared" si="252"/>
        <v>95</v>
      </c>
      <c r="L244" s="22">
        <f t="shared" si="252"/>
        <v>95</v>
      </c>
      <c r="M244" s="22">
        <f aca="true" t="shared" si="253" ref="M244:N274">M245</f>
        <v>1468.7</v>
      </c>
      <c r="N244" s="22">
        <f t="shared" si="253"/>
        <v>625</v>
      </c>
      <c r="O244" s="22">
        <f t="shared" si="204"/>
        <v>42.55464015796282</v>
      </c>
    </row>
    <row r="245" spans="1:15" ht="15.75">
      <c r="A245" s="24" t="s">
        <v>191</v>
      </c>
      <c r="B245" s="212">
        <v>903</v>
      </c>
      <c r="C245" s="214" t="s">
        <v>170</v>
      </c>
      <c r="D245" s="214" t="s">
        <v>192</v>
      </c>
      <c r="E245" s="213"/>
      <c r="F245" s="213"/>
      <c r="G245" s="22">
        <f>G271+G251+G267</f>
        <v>88.7</v>
      </c>
      <c r="H245" s="22">
        <f aca="true" t="shared" si="254" ref="H245:L245">H271+H251+H267</f>
        <v>0</v>
      </c>
      <c r="I245" s="22">
        <f t="shared" si="254"/>
        <v>88.7</v>
      </c>
      <c r="J245" s="22">
        <f t="shared" si="254"/>
        <v>95</v>
      </c>
      <c r="K245" s="22">
        <f t="shared" si="254"/>
        <v>95</v>
      </c>
      <c r="L245" s="22">
        <f t="shared" si="254"/>
        <v>95</v>
      </c>
      <c r="M245" s="22">
        <f>M271+M251+M267+M276+M246</f>
        <v>1468.7</v>
      </c>
      <c r="N245" s="22">
        <f aca="true" t="shared" si="255" ref="N245">N271+N251+N267+N276+N246</f>
        <v>625</v>
      </c>
      <c r="O245" s="22">
        <f t="shared" si="204"/>
        <v>42.55464015796282</v>
      </c>
    </row>
    <row r="246" spans="1:15" ht="94.5">
      <c r="A246" s="31" t="s">
        <v>219</v>
      </c>
      <c r="B246" s="215">
        <v>903</v>
      </c>
      <c r="C246" s="217" t="s">
        <v>170</v>
      </c>
      <c r="D246" s="217" t="s">
        <v>192</v>
      </c>
      <c r="E246" s="218" t="s">
        <v>220</v>
      </c>
      <c r="F246" s="217"/>
      <c r="G246" s="22"/>
      <c r="H246" s="22"/>
      <c r="I246" s="22"/>
      <c r="J246" s="22"/>
      <c r="K246" s="22"/>
      <c r="L246" s="22"/>
      <c r="M246" s="27">
        <f>M247</f>
        <v>25</v>
      </c>
      <c r="N246" s="27">
        <f aca="true" t="shared" si="256" ref="N246:N249">N247</f>
        <v>25</v>
      </c>
      <c r="O246" s="27">
        <f t="shared" si="204"/>
        <v>100</v>
      </c>
    </row>
    <row r="247" spans="1:15" ht="78.75">
      <c r="A247" s="31" t="s">
        <v>221</v>
      </c>
      <c r="B247" s="215">
        <v>903</v>
      </c>
      <c r="C247" s="217" t="s">
        <v>170</v>
      </c>
      <c r="D247" s="217" t="s">
        <v>192</v>
      </c>
      <c r="E247" s="219" t="s">
        <v>222</v>
      </c>
      <c r="F247" s="217"/>
      <c r="G247" s="22"/>
      <c r="H247" s="22"/>
      <c r="I247" s="22"/>
      <c r="J247" s="22"/>
      <c r="K247" s="22"/>
      <c r="L247" s="22"/>
      <c r="M247" s="27">
        <f>M248</f>
        <v>25</v>
      </c>
      <c r="N247" s="27">
        <f t="shared" si="256"/>
        <v>25</v>
      </c>
      <c r="O247" s="27">
        <f t="shared" si="204"/>
        <v>100</v>
      </c>
    </row>
    <row r="248" spans="1:15" ht="31.5">
      <c r="A248" s="205" t="s">
        <v>223</v>
      </c>
      <c r="B248" s="215">
        <v>903</v>
      </c>
      <c r="C248" s="217" t="s">
        <v>170</v>
      </c>
      <c r="D248" s="217" t="s">
        <v>192</v>
      </c>
      <c r="E248" s="218" t="s">
        <v>224</v>
      </c>
      <c r="F248" s="217"/>
      <c r="G248" s="22"/>
      <c r="H248" s="22"/>
      <c r="I248" s="22"/>
      <c r="J248" s="22"/>
      <c r="K248" s="22"/>
      <c r="L248" s="22"/>
      <c r="M248" s="27">
        <f>M249</f>
        <v>25</v>
      </c>
      <c r="N248" s="27">
        <f t="shared" si="256"/>
        <v>25</v>
      </c>
      <c r="O248" s="27">
        <f t="shared" si="204"/>
        <v>100</v>
      </c>
    </row>
    <row r="249" spans="1:15" ht="31.5">
      <c r="A249" s="26" t="s">
        <v>183</v>
      </c>
      <c r="B249" s="215">
        <v>903</v>
      </c>
      <c r="C249" s="217" t="s">
        <v>170</v>
      </c>
      <c r="D249" s="217" t="s">
        <v>192</v>
      </c>
      <c r="E249" s="218" t="s">
        <v>224</v>
      </c>
      <c r="F249" s="217" t="s">
        <v>184</v>
      </c>
      <c r="G249" s="22"/>
      <c r="H249" s="22"/>
      <c r="I249" s="22"/>
      <c r="J249" s="22"/>
      <c r="K249" s="22"/>
      <c r="L249" s="22"/>
      <c r="M249" s="27">
        <f>M250</f>
        <v>25</v>
      </c>
      <c r="N249" s="27">
        <f t="shared" si="256"/>
        <v>25</v>
      </c>
      <c r="O249" s="27">
        <f t="shared" si="204"/>
        <v>100</v>
      </c>
    </row>
    <row r="250" spans="1:15" ht="47.25">
      <c r="A250" s="26" t="s">
        <v>185</v>
      </c>
      <c r="B250" s="215">
        <v>903</v>
      </c>
      <c r="C250" s="217" t="s">
        <v>170</v>
      </c>
      <c r="D250" s="217" t="s">
        <v>192</v>
      </c>
      <c r="E250" s="218" t="s">
        <v>224</v>
      </c>
      <c r="F250" s="217" t="s">
        <v>186</v>
      </c>
      <c r="G250" s="22"/>
      <c r="H250" s="22"/>
      <c r="I250" s="22"/>
      <c r="J250" s="22"/>
      <c r="K250" s="22"/>
      <c r="L250" s="22"/>
      <c r="M250" s="27">
        <f>25</f>
        <v>25</v>
      </c>
      <c r="N250" s="27">
        <v>25</v>
      </c>
      <c r="O250" s="27">
        <f t="shared" si="204"/>
        <v>100</v>
      </c>
    </row>
    <row r="251" spans="1:15" ht="47.25">
      <c r="A251" s="26" t="s">
        <v>386</v>
      </c>
      <c r="B251" s="215">
        <v>903</v>
      </c>
      <c r="C251" s="213" t="s">
        <v>170</v>
      </c>
      <c r="D251" s="213" t="s">
        <v>192</v>
      </c>
      <c r="E251" s="213" t="s">
        <v>387</v>
      </c>
      <c r="F251" s="213"/>
      <c r="G251" s="27">
        <f>G255+G261+G252+G258+G264</f>
        <v>0</v>
      </c>
      <c r="H251" s="27">
        <f aca="true" t="shared" si="257" ref="H251:M251">H255+H261+H252+H258+H264</f>
        <v>0</v>
      </c>
      <c r="I251" s="27">
        <f t="shared" si="257"/>
        <v>0</v>
      </c>
      <c r="J251" s="27">
        <f t="shared" si="257"/>
        <v>95</v>
      </c>
      <c r="K251" s="27">
        <f t="shared" si="257"/>
        <v>95</v>
      </c>
      <c r="L251" s="27">
        <f t="shared" si="257"/>
        <v>95</v>
      </c>
      <c r="M251" s="27">
        <f t="shared" si="257"/>
        <v>95</v>
      </c>
      <c r="N251" s="27">
        <f aca="true" t="shared" si="258" ref="N251">N255+N261+N252+N258+N264</f>
        <v>0</v>
      </c>
      <c r="O251" s="27">
        <f t="shared" si="204"/>
        <v>0</v>
      </c>
    </row>
    <row r="252" spans="1:15" ht="47.25">
      <c r="A252" s="120" t="s">
        <v>922</v>
      </c>
      <c r="B252" s="215">
        <v>903</v>
      </c>
      <c r="C252" s="213" t="s">
        <v>170</v>
      </c>
      <c r="D252" s="213" t="s">
        <v>192</v>
      </c>
      <c r="E252" s="213" t="s">
        <v>389</v>
      </c>
      <c r="F252" s="213"/>
      <c r="G252" s="27">
        <f>G253</f>
        <v>0</v>
      </c>
      <c r="H252" s="27">
        <f aca="true" t="shared" si="259" ref="H252:H253">H253</f>
        <v>0</v>
      </c>
      <c r="I252" s="27">
        <f aca="true" t="shared" si="260" ref="I252:I253">I253</f>
        <v>0</v>
      </c>
      <c r="J252" s="27">
        <f aca="true" t="shared" si="261" ref="J252:J253">J253</f>
        <v>50</v>
      </c>
      <c r="K252" s="27">
        <f aca="true" t="shared" si="262" ref="K252:K253">K253</f>
        <v>50</v>
      </c>
      <c r="L252" s="27">
        <f aca="true" t="shared" si="263" ref="L252:L253">L253</f>
        <v>50</v>
      </c>
      <c r="M252" s="27">
        <f aca="true" t="shared" si="264" ref="M252:N253">M253</f>
        <v>50</v>
      </c>
      <c r="N252" s="27">
        <f t="shared" si="264"/>
        <v>0</v>
      </c>
      <c r="O252" s="27">
        <f t="shared" si="204"/>
        <v>0</v>
      </c>
    </row>
    <row r="253" spans="1:15" ht="31.5">
      <c r="A253" s="26" t="s">
        <v>183</v>
      </c>
      <c r="B253" s="215">
        <v>903</v>
      </c>
      <c r="C253" s="213" t="s">
        <v>170</v>
      </c>
      <c r="D253" s="213" t="s">
        <v>192</v>
      </c>
      <c r="E253" s="213" t="s">
        <v>389</v>
      </c>
      <c r="F253" s="213" t="s">
        <v>184</v>
      </c>
      <c r="G253" s="27">
        <f>G254</f>
        <v>0</v>
      </c>
      <c r="H253" s="27">
        <f t="shared" si="259"/>
        <v>0</v>
      </c>
      <c r="I253" s="27">
        <f t="shared" si="260"/>
        <v>0</v>
      </c>
      <c r="J253" s="27">
        <f t="shared" si="261"/>
        <v>50</v>
      </c>
      <c r="K253" s="27">
        <f t="shared" si="262"/>
        <v>50</v>
      </c>
      <c r="L253" s="27">
        <f t="shared" si="263"/>
        <v>50</v>
      </c>
      <c r="M253" s="27">
        <f t="shared" si="264"/>
        <v>50</v>
      </c>
      <c r="N253" s="27">
        <f t="shared" si="264"/>
        <v>0</v>
      </c>
      <c r="O253" s="27">
        <f t="shared" si="204"/>
        <v>0</v>
      </c>
    </row>
    <row r="254" spans="1:15" ht="47.25">
      <c r="A254" s="26" t="s">
        <v>185</v>
      </c>
      <c r="B254" s="215">
        <v>903</v>
      </c>
      <c r="C254" s="213" t="s">
        <v>170</v>
      </c>
      <c r="D254" s="213" t="s">
        <v>192</v>
      </c>
      <c r="E254" s="213" t="s">
        <v>389</v>
      </c>
      <c r="F254" s="213" t="s">
        <v>186</v>
      </c>
      <c r="G254" s="27">
        <v>0</v>
      </c>
      <c r="H254" s="27">
        <v>0</v>
      </c>
      <c r="I254" s="27">
        <v>0</v>
      </c>
      <c r="J254" s="27">
        <v>50</v>
      </c>
      <c r="K254" s="27">
        <v>50</v>
      </c>
      <c r="L254" s="27">
        <v>50</v>
      </c>
      <c r="M254" s="27">
        <v>50</v>
      </c>
      <c r="N254" s="27">
        <v>0</v>
      </c>
      <c r="O254" s="27">
        <f t="shared" si="204"/>
        <v>0</v>
      </c>
    </row>
    <row r="255" spans="1:15" ht="31.5">
      <c r="A255" s="26" t="s">
        <v>390</v>
      </c>
      <c r="B255" s="215">
        <v>903</v>
      </c>
      <c r="C255" s="213" t="s">
        <v>170</v>
      </c>
      <c r="D255" s="213" t="s">
        <v>192</v>
      </c>
      <c r="E255" s="213" t="s">
        <v>391</v>
      </c>
      <c r="F255" s="213"/>
      <c r="G255" s="27">
        <f>G256</f>
        <v>0</v>
      </c>
      <c r="H255" s="27">
        <f>H256</f>
        <v>0</v>
      </c>
      <c r="I255" s="27">
        <f aca="true" t="shared" si="265" ref="I255:N256">I256</f>
        <v>0</v>
      </c>
      <c r="J255" s="27">
        <f t="shared" si="265"/>
        <v>20</v>
      </c>
      <c r="K255" s="27">
        <f t="shared" si="265"/>
        <v>20</v>
      </c>
      <c r="L255" s="27">
        <f t="shared" si="265"/>
        <v>20</v>
      </c>
      <c r="M255" s="27">
        <f t="shared" si="265"/>
        <v>20</v>
      </c>
      <c r="N255" s="27">
        <f t="shared" si="265"/>
        <v>0</v>
      </c>
      <c r="O255" s="27">
        <f t="shared" si="204"/>
        <v>0</v>
      </c>
    </row>
    <row r="256" spans="1:15" ht="31.5">
      <c r="A256" s="26" t="s">
        <v>183</v>
      </c>
      <c r="B256" s="215">
        <v>903</v>
      </c>
      <c r="C256" s="213" t="s">
        <v>170</v>
      </c>
      <c r="D256" s="213" t="s">
        <v>192</v>
      </c>
      <c r="E256" s="213" t="s">
        <v>391</v>
      </c>
      <c r="F256" s="213" t="s">
        <v>184</v>
      </c>
      <c r="G256" s="27">
        <f>G257</f>
        <v>0</v>
      </c>
      <c r="H256" s="27">
        <f>H257</f>
        <v>0</v>
      </c>
      <c r="I256" s="27">
        <f t="shared" si="265"/>
        <v>0</v>
      </c>
      <c r="J256" s="27">
        <f t="shared" si="265"/>
        <v>20</v>
      </c>
      <c r="K256" s="27">
        <f t="shared" si="265"/>
        <v>20</v>
      </c>
      <c r="L256" s="27">
        <f t="shared" si="265"/>
        <v>20</v>
      </c>
      <c r="M256" s="27">
        <f t="shared" si="265"/>
        <v>20</v>
      </c>
      <c r="N256" s="27">
        <f t="shared" si="265"/>
        <v>0</v>
      </c>
      <c r="O256" s="27">
        <f t="shared" si="204"/>
        <v>0</v>
      </c>
    </row>
    <row r="257" spans="1:15" ht="47.25">
      <c r="A257" s="26" t="s">
        <v>185</v>
      </c>
      <c r="B257" s="215">
        <v>903</v>
      </c>
      <c r="C257" s="213" t="s">
        <v>170</v>
      </c>
      <c r="D257" s="213" t="s">
        <v>192</v>
      </c>
      <c r="E257" s="213" t="s">
        <v>391</v>
      </c>
      <c r="F257" s="213" t="s">
        <v>186</v>
      </c>
      <c r="G257" s="27">
        <v>0</v>
      </c>
      <c r="H257" s="27">
        <v>0</v>
      </c>
      <c r="I257" s="27">
        <v>0</v>
      </c>
      <c r="J257" s="27">
        <v>20</v>
      </c>
      <c r="K257" s="27">
        <v>20</v>
      </c>
      <c r="L257" s="27">
        <v>20</v>
      </c>
      <c r="M257" s="27">
        <v>20</v>
      </c>
      <c r="N257" s="27">
        <v>0</v>
      </c>
      <c r="O257" s="27">
        <f t="shared" si="204"/>
        <v>0</v>
      </c>
    </row>
    <row r="258" spans="1:15" ht="47.25">
      <c r="A258" s="33" t="s">
        <v>923</v>
      </c>
      <c r="B258" s="215">
        <v>903</v>
      </c>
      <c r="C258" s="213" t="s">
        <v>170</v>
      </c>
      <c r="D258" s="213" t="s">
        <v>192</v>
      </c>
      <c r="E258" s="213" t="s">
        <v>920</v>
      </c>
      <c r="F258" s="213"/>
      <c r="G258" s="27">
        <f>G259</f>
        <v>0</v>
      </c>
      <c r="H258" s="27">
        <f aca="true" t="shared" si="266" ref="H258:H259">H259</f>
        <v>0</v>
      </c>
      <c r="I258" s="27">
        <f aca="true" t="shared" si="267" ref="I258:I259">I259</f>
        <v>0</v>
      </c>
      <c r="J258" s="27">
        <f aca="true" t="shared" si="268" ref="J258:J259">J259</f>
        <v>5</v>
      </c>
      <c r="K258" s="27">
        <f aca="true" t="shared" si="269" ref="K258:K259">K259</f>
        <v>5</v>
      </c>
      <c r="L258" s="27">
        <f aca="true" t="shared" si="270" ref="L258:L259">L259</f>
        <v>5</v>
      </c>
      <c r="M258" s="27">
        <f aca="true" t="shared" si="271" ref="M258:N259">M259</f>
        <v>5</v>
      </c>
      <c r="N258" s="27">
        <f t="shared" si="271"/>
        <v>0</v>
      </c>
      <c r="O258" s="27">
        <f t="shared" si="204"/>
        <v>0</v>
      </c>
    </row>
    <row r="259" spans="1:15" ht="31.5">
      <c r="A259" s="26" t="s">
        <v>183</v>
      </c>
      <c r="B259" s="215">
        <v>903</v>
      </c>
      <c r="C259" s="213" t="s">
        <v>170</v>
      </c>
      <c r="D259" s="213" t="s">
        <v>192</v>
      </c>
      <c r="E259" s="213" t="s">
        <v>920</v>
      </c>
      <c r="F259" s="213" t="s">
        <v>184</v>
      </c>
      <c r="G259" s="27">
        <f>G260</f>
        <v>0</v>
      </c>
      <c r="H259" s="27">
        <f t="shared" si="266"/>
        <v>0</v>
      </c>
      <c r="I259" s="27">
        <f t="shared" si="267"/>
        <v>0</v>
      </c>
      <c r="J259" s="27">
        <f t="shared" si="268"/>
        <v>5</v>
      </c>
      <c r="K259" s="27">
        <f t="shared" si="269"/>
        <v>5</v>
      </c>
      <c r="L259" s="27">
        <f t="shared" si="270"/>
        <v>5</v>
      </c>
      <c r="M259" s="27">
        <f t="shared" si="271"/>
        <v>5</v>
      </c>
      <c r="N259" s="27">
        <f t="shared" si="271"/>
        <v>0</v>
      </c>
      <c r="O259" s="27">
        <f t="shared" si="204"/>
        <v>0</v>
      </c>
    </row>
    <row r="260" spans="1:15" ht="47.25">
      <c r="A260" s="26" t="s">
        <v>185</v>
      </c>
      <c r="B260" s="215">
        <v>903</v>
      </c>
      <c r="C260" s="213" t="s">
        <v>170</v>
      </c>
      <c r="D260" s="213" t="s">
        <v>192</v>
      </c>
      <c r="E260" s="213" t="s">
        <v>920</v>
      </c>
      <c r="F260" s="213" t="s">
        <v>186</v>
      </c>
      <c r="G260" s="27">
        <v>0</v>
      </c>
      <c r="H260" s="27">
        <v>0</v>
      </c>
      <c r="I260" s="27">
        <v>0</v>
      </c>
      <c r="J260" s="27">
        <v>5</v>
      </c>
      <c r="K260" s="27">
        <v>5</v>
      </c>
      <c r="L260" s="27">
        <v>5</v>
      </c>
      <c r="M260" s="27">
        <v>5</v>
      </c>
      <c r="N260" s="27">
        <v>0</v>
      </c>
      <c r="O260" s="27">
        <f t="shared" si="204"/>
        <v>0</v>
      </c>
    </row>
    <row r="261" spans="1:15" ht="63" hidden="1">
      <c r="A261" s="26" t="s">
        <v>806</v>
      </c>
      <c r="B261" s="215">
        <v>903</v>
      </c>
      <c r="C261" s="213" t="s">
        <v>170</v>
      </c>
      <c r="D261" s="213" t="s">
        <v>192</v>
      </c>
      <c r="E261" s="213" t="s">
        <v>925</v>
      </c>
      <c r="F261" s="213"/>
      <c r="G261" s="27">
        <f>G262</f>
        <v>0</v>
      </c>
      <c r="H261" s="27">
        <f>H262</f>
        <v>0</v>
      </c>
      <c r="I261" s="27">
        <f aca="true" t="shared" si="272" ref="I261:N262">I262</f>
        <v>0</v>
      </c>
      <c r="J261" s="27">
        <f t="shared" si="272"/>
        <v>0</v>
      </c>
      <c r="K261" s="27">
        <f t="shared" si="272"/>
        <v>0</v>
      </c>
      <c r="L261" s="27">
        <f t="shared" si="272"/>
        <v>0</v>
      </c>
      <c r="M261" s="27">
        <f t="shared" si="272"/>
        <v>0</v>
      </c>
      <c r="N261" s="27">
        <f t="shared" si="272"/>
        <v>0</v>
      </c>
      <c r="O261" s="27" t="e">
        <f t="shared" si="204"/>
        <v>#DIV/0!</v>
      </c>
    </row>
    <row r="262" spans="1:15" ht="31.5" hidden="1">
      <c r="A262" s="26" t="s">
        <v>183</v>
      </c>
      <c r="B262" s="215">
        <v>903</v>
      </c>
      <c r="C262" s="213" t="s">
        <v>170</v>
      </c>
      <c r="D262" s="213" t="s">
        <v>192</v>
      </c>
      <c r="E262" s="213" t="s">
        <v>925</v>
      </c>
      <c r="F262" s="213" t="s">
        <v>184</v>
      </c>
      <c r="G262" s="27">
        <f>G263</f>
        <v>0</v>
      </c>
      <c r="H262" s="27">
        <f>H263</f>
        <v>0</v>
      </c>
      <c r="I262" s="27">
        <f t="shared" si="272"/>
        <v>0</v>
      </c>
      <c r="J262" s="27">
        <f t="shared" si="272"/>
        <v>0</v>
      </c>
      <c r="K262" s="27">
        <f t="shared" si="272"/>
        <v>0</v>
      </c>
      <c r="L262" s="27">
        <f t="shared" si="272"/>
        <v>0</v>
      </c>
      <c r="M262" s="27">
        <f t="shared" si="272"/>
        <v>0</v>
      </c>
      <c r="N262" s="27">
        <f t="shared" si="272"/>
        <v>0</v>
      </c>
      <c r="O262" s="27" t="e">
        <f t="shared" si="204"/>
        <v>#DIV/0!</v>
      </c>
    </row>
    <row r="263" spans="1:15" ht="47.25" hidden="1">
      <c r="A263" s="26" t="s">
        <v>185</v>
      </c>
      <c r="B263" s="215">
        <v>903</v>
      </c>
      <c r="C263" s="213" t="s">
        <v>170</v>
      </c>
      <c r="D263" s="213" t="s">
        <v>192</v>
      </c>
      <c r="E263" s="213" t="s">
        <v>925</v>
      </c>
      <c r="F263" s="213" t="s">
        <v>186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 t="e">
        <f t="shared" si="204"/>
        <v>#DIV/0!</v>
      </c>
    </row>
    <row r="264" spans="1:15" ht="31.5">
      <c r="A264" s="33" t="s">
        <v>924</v>
      </c>
      <c r="B264" s="215">
        <v>903</v>
      </c>
      <c r="C264" s="213" t="s">
        <v>170</v>
      </c>
      <c r="D264" s="213" t="s">
        <v>192</v>
      </c>
      <c r="E264" s="213" t="s">
        <v>921</v>
      </c>
      <c r="F264" s="213"/>
      <c r="G264" s="27">
        <f>G265</f>
        <v>0</v>
      </c>
      <c r="H264" s="27">
        <f aca="true" t="shared" si="273" ref="H264:H265">H265</f>
        <v>0</v>
      </c>
      <c r="I264" s="27">
        <f aca="true" t="shared" si="274" ref="I264:I265">I265</f>
        <v>0</v>
      </c>
      <c r="J264" s="27">
        <f aca="true" t="shared" si="275" ref="J264:J265">J265</f>
        <v>20</v>
      </c>
      <c r="K264" s="27">
        <f aca="true" t="shared" si="276" ref="K264:K265">K265</f>
        <v>20</v>
      </c>
      <c r="L264" s="27">
        <f aca="true" t="shared" si="277" ref="L264:L265">L265</f>
        <v>20</v>
      </c>
      <c r="M264" s="27">
        <f aca="true" t="shared" si="278" ref="M264:N265">M265</f>
        <v>20</v>
      </c>
      <c r="N264" s="27">
        <f t="shared" si="278"/>
        <v>0</v>
      </c>
      <c r="O264" s="27">
        <f t="shared" si="204"/>
        <v>0</v>
      </c>
    </row>
    <row r="265" spans="1:15" ht="31.5">
      <c r="A265" s="26" t="s">
        <v>183</v>
      </c>
      <c r="B265" s="215">
        <v>903</v>
      </c>
      <c r="C265" s="213" t="s">
        <v>170</v>
      </c>
      <c r="D265" s="213" t="s">
        <v>192</v>
      </c>
      <c r="E265" s="213" t="s">
        <v>921</v>
      </c>
      <c r="F265" s="213" t="s">
        <v>184</v>
      </c>
      <c r="G265" s="27">
        <f>G266</f>
        <v>0</v>
      </c>
      <c r="H265" s="27">
        <f t="shared" si="273"/>
        <v>0</v>
      </c>
      <c r="I265" s="27">
        <f t="shared" si="274"/>
        <v>0</v>
      </c>
      <c r="J265" s="27">
        <f t="shared" si="275"/>
        <v>20</v>
      </c>
      <c r="K265" s="27">
        <f t="shared" si="276"/>
        <v>20</v>
      </c>
      <c r="L265" s="27">
        <f t="shared" si="277"/>
        <v>20</v>
      </c>
      <c r="M265" s="27">
        <f t="shared" si="278"/>
        <v>20</v>
      </c>
      <c r="N265" s="27">
        <f t="shared" si="278"/>
        <v>0</v>
      </c>
      <c r="O265" s="27">
        <f t="shared" si="204"/>
        <v>0</v>
      </c>
    </row>
    <row r="266" spans="1:15" ht="47.25">
      <c r="A266" s="26" t="s">
        <v>185</v>
      </c>
      <c r="B266" s="215">
        <v>903</v>
      </c>
      <c r="C266" s="213" t="s">
        <v>170</v>
      </c>
      <c r="D266" s="213" t="s">
        <v>192</v>
      </c>
      <c r="E266" s="213" t="s">
        <v>921</v>
      </c>
      <c r="F266" s="213" t="s">
        <v>186</v>
      </c>
      <c r="G266" s="27">
        <v>0</v>
      </c>
      <c r="H266" s="27">
        <v>0</v>
      </c>
      <c r="I266" s="27">
        <v>0</v>
      </c>
      <c r="J266" s="27">
        <v>20</v>
      </c>
      <c r="K266" s="27">
        <v>20</v>
      </c>
      <c r="L266" s="27">
        <v>20</v>
      </c>
      <c r="M266" s="27">
        <v>20</v>
      </c>
      <c r="N266" s="27">
        <v>0</v>
      </c>
      <c r="O266" s="27">
        <f t="shared" si="204"/>
        <v>0</v>
      </c>
    </row>
    <row r="267" spans="1:15" ht="63" hidden="1">
      <c r="A267" s="31" t="s">
        <v>805</v>
      </c>
      <c r="B267" s="215">
        <v>903</v>
      </c>
      <c r="C267" s="213" t="s">
        <v>170</v>
      </c>
      <c r="D267" s="213" t="s">
        <v>192</v>
      </c>
      <c r="E267" s="213" t="s">
        <v>803</v>
      </c>
      <c r="F267" s="213"/>
      <c r="G267" s="27">
        <f>G268</f>
        <v>0</v>
      </c>
      <c r="H267" s="27">
        <f aca="true" t="shared" si="279" ref="H267:N269">H268</f>
        <v>0</v>
      </c>
      <c r="I267" s="27">
        <f t="shared" si="279"/>
        <v>0</v>
      </c>
      <c r="J267" s="27">
        <f t="shared" si="279"/>
        <v>0</v>
      </c>
      <c r="K267" s="27">
        <f t="shared" si="279"/>
        <v>0</v>
      </c>
      <c r="L267" s="27">
        <f t="shared" si="279"/>
        <v>0</v>
      </c>
      <c r="M267" s="27">
        <f t="shared" si="279"/>
        <v>0</v>
      </c>
      <c r="N267" s="27">
        <f t="shared" si="279"/>
        <v>0</v>
      </c>
      <c r="O267" s="27" t="e">
        <f t="shared" si="204"/>
        <v>#DIV/0!</v>
      </c>
    </row>
    <row r="268" spans="1:15" ht="31.5" hidden="1">
      <c r="A268" s="26" t="s">
        <v>421</v>
      </c>
      <c r="B268" s="215">
        <v>903</v>
      </c>
      <c r="C268" s="213" t="s">
        <v>170</v>
      </c>
      <c r="D268" s="213" t="s">
        <v>192</v>
      </c>
      <c r="E268" s="213" t="s">
        <v>811</v>
      </c>
      <c r="F268" s="213"/>
      <c r="G268" s="27">
        <f>G269</f>
        <v>0</v>
      </c>
      <c r="H268" s="27">
        <f t="shared" si="279"/>
        <v>0</v>
      </c>
      <c r="I268" s="27">
        <f t="shared" si="279"/>
        <v>0</v>
      </c>
      <c r="J268" s="27">
        <f t="shared" si="279"/>
        <v>0</v>
      </c>
      <c r="K268" s="27">
        <f t="shared" si="279"/>
        <v>0</v>
      </c>
      <c r="L268" s="27">
        <f t="shared" si="279"/>
        <v>0</v>
      </c>
      <c r="M268" s="27">
        <f t="shared" si="279"/>
        <v>0</v>
      </c>
      <c r="N268" s="27">
        <f t="shared" si="279"/>
        <v>0</v>
      </c>
      <c r="O268" s="27" t="e">
        <f t="shared" si="204"/>
        <v>#DIV/0!</v>
      </c>
    </row>
    <row r="269" spans="1:15" ht="31.5" hidden="1">
      <c r="A269" s="26" t="s">
        <v>183</v>
      </c>
      <c r="B269" s="215">
        <v>903</v>
      </c>
      <c r="C269" s="213" t="s">
        <v>170</v>
      </c>
      <c r="D269" s="213" t="s">
        <v>192</v>
      </c>
      <c r="E269" s="213" t="s">
        <v>811</v>
      </c>
      <c r="F269" s="213" t="s">
        <v>184</v>
      </c>
      <c r="G269" s="27">
        <f>G270</f>
        <v>0</v>
      </c>
      <c r="H269" s="27">
        <f t="shared" si="279"/>
        <v>0</v>
      </c>
      <c r="I269" s="27">
        <f t="shared" si="279"/>
        <v>0</v>
      </c>
      <c r="J269" s="27">
        <f t="shared" si="279"/>
        <v>0</v>
      </c>
      <c r="K269" s="27">
        <f t="shared" si="279"/>
        <v>0</v>
      </c>
      <c r="L269" s="27">
        <f t="shared" si="279"/>
        <v>0</v>
      </c>
      <c r="M269" s="27">
        <f t="shared" si="279"/>
        <v>0</v>
      </c>
      <c r="N269" s="27">
        <f t="shared" si="279"/>
        <v>0</v>
      </c>
      <c r="O269" s="27" t="e">
        <f aca="true" t="shared" si="280" ref="O269:O332">N269/M269*100</f>
        <v>#DIV/0!</v>
      </c>
    </row>
    <row r="270" spans="1:15" ht="47.25" hidden="1">
      <c r="A270" s="26" t="s">
        <v>185</v>
      </c>
      <c r="B270" s="215">
        <v>903</v>
      </c>
      <c r="C270" s="213" t="s">
        <v>170</v>
      </c>
      <c r="D270" s="213" t="s">
        <v>192</v>
      </c>
      <c r="E270" s="213" t="s">
        <v>811</v>
      </c>
      <c r="F270" s="213" t="s">
        <v>186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 t="e">
        <f t="shared" si="280"/>
        <v>#DIV/0!</v>
      </c>
    </row>
    <row r="271" spans="1:15" ht="15.75" hidden="1">
      <c r="A271" s="26" t="s">
        <v>173</v>
      </c>
      <c r="B271" s="215">
        <v>903</v>
      </c>
      <c r="C271" s="213" t="s">
        <v>170</v>
      </c>
      <c r="D271" s="213" t="s">
        <v>192</v>
      </c>
      <c r="E271" s="213" t="s">
        <v>174</v>
      </c>
      <c r="F271" s="213"/>
      <c r="G271" s="27">
        <f>G272</f>
        <v>88.7</v>
      </c>
      <c r="H271" s="27">
        <f t="shared" si="251"/>
        <v>0</v>
      </c>
      <c r="I271" s="27">
        <f t="shared" si="252"/>
        <v>88.7</v>
      </c>
      <c r="J271" s="27">
        <f t="shared" si="252"/>
        <v>0</v>
      </c>
      <c r="K271" s="27">
        <f t="shared" si="252"/>
        <v>0</v>
      </c>
      <c r="L271" s="27">
        <f t="shared" si="252"/>
        <v>0</v>
      </c>
      <c r="M271" s="27">
        <f t="shared" si="253"/>
        <v>0</v>
      </c>
      <c r="N271" s="27">
        <f t="shared" si="253"/>
        <v>0</v>
      </c>
      <c r="O271" s="27" t="e">
        <f t="shared" si="280"/>
        <v>#DIV/0!</v>
      </c>
    </row>
    <row r="272" spans="1:15" ht="31.5" hidden="1">
      <c r="A272" s="26" t="s">
        <v>237</v>
      </c>
      <c r="B272" s="215">
        <v>903</v>
      </c>
      <c r="C272" s="213" t="s">
        <v>170</v>
      </c>
      <c r="D272" s="213" t="s">
        <v>192</v>
      </c>
      <c r="E272" s="213" t="s">
        <v>238</v>
      </c>
      <c r="F272" s="213"/>
      <c r="G272" s="27">
        <f>G273</f>
        <v>88.7</v>
      </c>
      <c r="H272" s="27">
        <f t="shared" si="251"/>
        <v>0</v>
      </c>
      <c r="I272" s="27">
        <f t="shared" si="252"/>
        <v>88.7</v>
      </c>
      <c r="J272" s="27">
        <f t="shared" si="252"/>
        <v>0</v>
      </c>
      <c r="K272" s="27">
        <f t="shared" si="252"/>
        <v>0</v>
      </c>
      <c r="L272" s="27">
        <f t="shared" si="252"/>
        <v>0</v>
      </c>
      <c r="M272" s="27">
        <f t="shared" si="253"/>
        <v>0</v>
      </c>
      <c r="N272" s="27">
        <f t="shared" si="253"/>
        <v>0</v>
      </c>
      <c r="O272" s="27" t="e">
        <f t="shared" si="280"/>
        <v>#DIV/0!</v>
      </c>
    </row>
    <row r="273" spans="1:15" ht="47.25" hidden="1">
      <c r="A273" s="37" t="s">
        <v>833</v>
      </c>
      <c r="B273" s="215">
        <v>903</v>
      </c>
      <c r="C273" s="213" t="s">
        <v>170</v>
      </c>
      <c r="D273" s="213" t="s">
        <v>192</v>
      </c>
      <c r="E273" s="213" t="s">
        <v>832</v>
      </c>
      <c r="F273" s="214"/>
      <c r="G273" s="27">
        <f aca="true" t="shared" si="281" ref="G273:L274">G274</f>
        <v>88.7</v>
      </c>
      <c r="H273" s="27">
        <f t="shared" si="251"/>
        <v>0</v>
      </c>
      <c r="I273" s="27">
        <f t="shared" si="281"/>
        <v>88.7</v>
      </c>
      <c r="J273" s="27">
        <f t="shared" si="281"/>
        <v>0</v>
      </c>
      <c r="K273" s="27">
        <f t="shared" si="281"/>
        <v>0</v>
      </c>
      <c r="L273" s="27">
        <f t="shared" si="281"/>
        <v>0</v>
      </c>
      <c r="M273" s="27">
        <f t="shared" si="253"/>
        <v>0</v>
      </c>
      <c r="N273" s="27">
        <f t="shared" si="253"/>
        <v>0</v>
      </c>
      <c r="O273" s="27" t="e">
        <f t="shared" si="280"/>
        <v>#DIV/0!</v>
      </c>
    </row>
    <row r="274" spans="1:15" ht="31.5" hidden="1">
      <c r="A274" s="26" t="s">
        <v>183</v>
      </c>
      <c r="B274" s="215">
        <v>903</v>
      </c>
      <c r="C274" s="213" t="s">
        <v>170</v>
      </c>
      <c r="D274" s="213" t="s">
        <v>192</v>
      </c>
      <c r="E274" s="213" t="s">
        <v>832</v>
      </c>
      <c r="F274" s="213" t="s">
        <v>184</v>
      </c>
      <c r="G274" s="27">
        <f t="shared" si="281"/>
        <v>88.7</v>
      </c>
      <c r="H274" s="27">
        <f t="shared" si="251"/>
        <v>0</v>
      </c>
      <c r="I274" s="27">
        <f t="shared" si="281"/>
        <v>88.7</v>
      </c>
      <c r="J274" s="27">
        <f t="shared" si="281"/>
        <v>0</v>
      </c>
      <c r="K274" s="27">
        <f t="shared" si="281"/>
        <v>0</v>
      </c>
      <c r="L274" s="27">
        <f t="shared" si="281"/>
        <v>0</v>
      </c>
      <c r="M274" s="27">
        <f t="shared" si="253"/>
        <v>0</v>
      </c>
      <c r="N274" s="27">
        <f t="shared" si="253"/>
        <v>0</v>
      </c>
      <c r="O274" s="27" t="e">
        <f t="shared" si="280"/>
        <v>#DIV/0!</v>
      </c>
    </row>
    <row r="275" spans="1:15" ht="53.25" customHeight="1" hidden="1">
      <c r="A275" s="26" t="s">
        <v>185</v>
      </c>
      <c r="B275" s="215">
        <v>903</v>
      </c>
      <c r="C275" s="213" t="s">
        <v>170</v>
      </c>
      <c r="D275" s="213" t="s">
        <v>192</v>
      </c>
      <c r="E275" s="213" t="s">
        <v>832</v>
      </c>
      <c r="F275" s="213" t="s">
        <v>186</v>
      </c>
      <c r="G275" s="27">
        <v>88.7</v>
      </c>
      <c r="H275" s="27">
        <v>0</v>
      </c>
      <c r="I275" s="27">
        <v>88.7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 t="e">
        <f t="shared" si="280"/>
        <v>#DIV/0!</v>
      </c>
    </row>
    <row r="276" spans="1:15" ht="66" customHeight="1">
      <c r="A276" s="31" t="s">
        <v>805</v>
      </c>
      <c r="B276" s="215">
        <v>903</v>
      </c>
      <c r="C276" s="213" t="s">
        <v>170</v>
      </c>
      <c r="D276" s="213" t="s">
        <v>192</v>
      </c>
      <c r="E276" s="213" t="s">
        <v>803</v>
      </c>
      <c r="F276" s="220"/>
      <c r="G276" s="27">
        <f>G277</f>
        <v>29</v>
      </c>
      <c r="H276" s="27">
        <f aca="true" t="shared" si="282" ref="H276:N278">H277</f>
        <v>19.1</v>
      </c>
      <c r="I276" s="27">
        <f t="shared" si="282"/>
        <v>29</v>
      </c>
      <c r="J276" s="27">
        <f t="shared" si="282"/>
        <v>0</v>
      </c>
      <c r="K276" s="27">
        <f t="shared" si="282"/>
        <v>0</v>
      </c>
      <c r="L276" s="27">
        <f t="shared" si="282"/>
        <v>0</v>
      </c>
      <c r="M276" s="27">
        <f>M277+M280</f>
        <v>1348.7</v>
      </c>
      <c r="N276" s="27">
        <f aca="true" t="shared" si="283" ref="N276">N277+N280</f>
        <v>600</v>
      </c>
      <c r="O276" s="27">
        <f t="shared" si="280"/>
        <v>44.48728405130867</v>
      </c>
    </row>
    <row r="277" spans="1:15" ht="53.25" customHeight="1">
      <c r="A277" s="122" t="s">
        <v>931</v>
      </c>
      <c r="B277" s="215">
        <v>903</v>
      </c>
      <c r="C277" s="213" t="s">
        <v>170</v>
      </c>
      <c r="D277" s="213" t="s">
        <v>192</v>
      </c>
      <c r="E277" s="213" t="s">
        <v>930</v>
      </c>
      <c r="F277" s="220"/>
      <c r="G277" s="27">
        <f>G278</f>
        <v>29</v>
      </c>
      <c r="H277" s="27">
        <f t="shared" si="282"/>
        <v>19.1</v>
      </c>
      <c r="I277" s="27">
        <f t="shared" si="282"/>
        <v>29</v>
      </c>
      <c r="J277" s="27">
        <f t="shared" si="282"/>
        <v>0</v>
      </c>
      <c r="K277" s="27">
        <f t="shared" si="282"/>
        <v>0</v>
      </c>
      <c r="L277" s="27">
        <f t="shared" si="282"/>
        <v>0</v>
      </c>
      <c r="M277" s="27">
        <f t="shared" si="282"/>
        <v>5</v>
      </c>
      <c r="N277" s="27">
        <f t="shared" si="282"/>
        <v>0</v>
      </c>
      <c r="O277" s="27">
        <f t="shared" si="280"/>
        <v>0</v>
      </c>
    </row>
    <row r="278" spans="1:15" ht="42" customHeight="1">
      <c r="A278" s="26" t="s">
        <v>183</v>
      </c>
      <c r="B278" s="215">
        <v>903</v>
      </c>
      <c r="C278" s="213" t="s">
        <v>170</v>
      </c>
      <c r="D278" s="213" t="s">
        <v>192</v>
      </c>
      <c r="E278" s="213" t="s">
        <v>930</v>
      </c>
      <c r="F278" s="220" t="s">
        <v>184</v>
      </c>
      <c r="G278" s="27">
        <f>G279</f>
        <v>29</v>
      </c>
      <c r="H278" s="27">
        <f t="shared" si="282"/>
        <v>19.1</v>
      </c>
      <c r="I278" s="27">
        <f t="shared" si="282"/>
        <v>29</v>
      </c>
      <c r="J278" s="27">
        <f t="shared" si="282"/>
        <v>0</v>
      </c>
      <c r="K278" s="27">
        <f t="shared" si="282"/>
        <v>0</v>
      </c>
      <c r="L278" s="27">
        <f t="shared" si="282"/>
        <v>0</v>
      </c>
      <c r="M278" s="27">
        <f t="shared" si="282"/>
        <v>5</v>
      </c>
      <c r="N278" s="27">
        <f t="shared" si="282"/>
        <v>0</v>
      </c>
      <c r="O278" s="27">
        <f t="shared" si="280"/>
        <v>0</v>
      </c>
    </row>
    <row r="279" spans="1:15" ht="43.5" customHeight="1">
      <c r="A279" s="26" t="s">
        <v>185</v>
      </c>
      <c r="B279" s="215">
        <v>903</v>
      </c>
      <c r="C279" s="213" t="s">
        <v>170</v>
      </c>
      <c r="D279" s="213" t="s">
        <v>192</v>
      </c>
      <c r="E279" s="213" t="s">
        <v>930</v>
      </c>
      <c r="F279" s="220" t="s">
        <v>186</v>
      </c>
      <c r="G279" s="27">
        <v>29</v>
      </c>
      <c r="H279" s="27">
        <v>19.1</v>
      </c>
      <c r="I279" s="27">
        <v>29</v>
      </c>
      <c r="J279" s="27">
        <v>0</v>
      </c>
      <c r="K279" s="27">
        <v>0</v>
      </c>
      <c r="L279" s="27">
        <v>0</v>
      </c>
      <c r="M279" s="27">
        <v>5</v>
      </c>
      <c r="N279" s="27">
        <v>0</v>
      </c>
      <c r="O279" s="27">
        <f t="shared" si="280"/>
        <v>0</v>
      </c>
    </row>
    <row r="280" spans="1:15" ht="51" customHeight="1">
      <c r="A280" s="122" t="s">
        <v>948</v>
      </c>
      <c r="B280" s="213" t="s">
        <v>705</v>
      </c>
      <c r="C280" s="213" t="s">
        <v>170</v>
      </c>
      <c r="D280" s="213" t="s">
        <v>192</v>
      </c>
      <c r="E280" s="213" t="s">
        <v>949</v>
      </c>
      <c r="F280" s="220"/>
      <c r="G280" s="27">
        <f>G281</f>
        <v>29</v>
      </c>
      <c r="H280" s="27">
        <f aca="true" t="shared" si="284" ref="H280:N281">H281</f>
        <v>19.1</v>
      </c>
      <c r="I280" s="27">
        <f t="shared" si="284"/>
        <v>29</v>
      </c>
      <c r="J280" s="27">
        <f t="shared" si="284"/>
        <v>0</v>
      </c>
      <c r="K280" s="27">
        <f t="shared" si="284"/>
        <v>0</v>
      </c>
      <c r="L280" s="27">
        <f t="shared" si="284"/>
        <v>0</v>
      </c>
      <c r="M280" s="27">
        <f t="shared" si="284"/>
        <v>1343.7</v>
      </c>
      <c r="N280" s="27">
        <f t="shared" si="284"/>
        <v>600</v>
      </c>
      <c r="O280" s="27">
        <f t="shared" si="280"/>
        <v>44.65282429113641</v>
      </c>
    </row>
    <row r="281" spans="1:15" ht="47.25" customHeight="1">
      <c r="A281" s="31" t="s">
        <v>324</v>
      </c>
      <c r="B281" s="215">
        <v>903</v>
      </c>
      <c r="C281" s="213" t="s">
        <v>170</v>
      </c>
      <c r="D281" s="213" t="s">
        <v>192</v>
      </c>
      <c r="E281" s="213" t="s">
        <v>949</v>
      </c>
      <c r="F281" s="220" t="s">
        <v>325</v>
      </c>
      <c r="G281" s="27">
        <f>G282</f>
        <v>29</v>
      </c>
      <c r="H281" s="27">
        <f t="shared" si="284"/>
        <v>19.1</v>
      </c>
      <c r="I281" s="27">
        <f t="shared" si="284"/>
        <v>29</v>
      </c>
      <c r="J281" s="27">
        <f t="shared" si="284"/>
        <v>0</v>
      </c>
      <c r="K281" s="27">
        <f t="shared" si="284"/>
        <v>0</v>
      </c>
      <c r="L281" s="27">
        <f t="shared" si="284"/>
        <v>0</v>
      </c>
      <c r="M281" s="27">
        <f t="shared" si="284"/>
        <v>1343.7</v>
      </c>
      <c r="N281" s="27">
        <f t="shared" si="284"/>
        <v>600</v>
      </c>
      <c r="O281" s="27">
        <f t="shared" si="280"/>
        <v>44.65282429113641</v>
      </c>
    </row>
    <row r="282" spans="1:15" ht="21" customHeight="1">
      <c r="A282" s="256" t="s">
        <v>326</v>
      </c>
      <c r="B282" s="215">
        <v>903</v>
      </c>
      <c r="C282" s="213" t="s">
        <v>170</v>
      </c>
      <c r="D282" s="213" t="s">
        <v>192</v>
      </c>
      <c r="E282" s="213" t="s">
        <v>949</v>
      </c>
      <c r="F282" s="220" t="s">
        <v>327</v>
      </c>
      <c r="G282" s="27">
        <v>29</v>
      </c>
      <c r="H282" s="27">
        <v>19.1</v>
      </c>
      <c r="I282" s="27">
        <v>29</v>
      </c>
      <c r="J282" s="27">
        <v>0</v>
      </c>
      <c r="K282" s="27">
        <v>0</v>
      </c>
      <c r="L282" s="27">
        <v>0</v>
      </c>
      <c r="M282" s="27">
        <f>1014.2+329.5</f>
        <v>1343.7</v>
      </c>
      <c r="N282" s="27">
        <v>600</v>
      </c>
      <c r="O282" s="27">
        <f t="shared" si="280"/>
        <v>44.65282429113641</v>
      </c>
    </row>
    <row r="283" spans="1:15" ht="15.75">
      <c r="A283" s="24" t="s">
        <v>315</v>
      </c>
      <c r="B283" s="212">
        <v>903</v>
      </c>
      <c r="C283" s="214" t="s">
        <v>316</v>
      </c>
      <c r="D283" s="213"/>
      <c r="E283" s="213"/>
      <c r="F283" s="213"/>
      <c r="G283" s="22">
        <f aca="true" t="shared" si="285" ref="G283:M283">G284+G322</f>
        <v>17482.699999999997</v>
      </c>
      <c r="H283" s="22">
        <f t="shared" si="285"/>
        <v>9307.8</v>
      </c>
      <c r="I283" s="22">
        <f t="shared" si="285"/>
        <v>12420.433333333334</v>
      </c>
      <c r="J283" s="22">
        <f t="shared" si="285"/>
        <v>22861.1</v>
      </c>
      <c r="K283" s="22">
        <f t="shared" si="285"/>
        <v>22534.699999999997</v>
      </c>
      <c r="L283" s="22">
        <f t="shared" si="285"/>
        <v>22761.899999999998</v>
      </c>
      <c r="M283" s="22">
        <f t="shared" si="285"/>
        <v>17761.5</v>
      </c>
      <c r="N283" s="22">
        <f aca="true" t="shared" si="286" ref="N283">N284+N322</f>
        <v>8883.599999999999</v>
      </c>
      <c r="O283" s="22">
        <f t="shared" si="280"/>
        <v>50.0160459420657</v>
      </c>
    </row>
    <row r="284" spans="1:15" ht="15.75">
      <c r="A284" s="24" t="s">
        <v>317</v>
      </c>
      <c r="B284" s="212">
        <v>903</v>
      </c>
      <c r="C284" s="214" t="s">
        <v>316</v>
      </c>
      <c r="D284" s="214" t="s">
        <v>267</v>
      </c>
      <c r="E284" s="214"/>
      <c r="F284" s="214"/>
      <c r="G284" s="22">
        <f aca="true" t="shared" si="287" ref="G284:M284">G285+G311</f>
        <v>17482.699999999997</v>
      </c>
      <c r="H284" s="22">
        <f t="shared" si="287"/>
        <v>9307.8</v>
      </c>
      <c r="I284" s="22">
        <f t="shared" si="287"/>
        <v>12420.433333333334</v>
      </c>
      <c r="J284" s="22">
        <f t="shared" si="287"/>
        <v>22861.1</v>
      </c>
      <c r="K284" s="22">
        <f t="shared" si="287"/>
        <v>22534.699999999997</v>
      </c>
      <c r="L284" s="22">
        <f t="shared" si="287"/>
        <v>22761.899999999998</v>
      </c>
      <c r="M284" s="22">
        <f t="shared" si="287"/>
        <v>17761.5</v>
      </c>
      <c r="N284" s="22">
        <f aca="true" t="shared" si="288" ref="N284">N285+N311</f>
        <v>8883.599999999999</v>
      </c>
      <c r="O284" s="22">
        <f t="shared" si="280"/>
        <v>50.0160459420657</v>
      </c>
    </row>
    <row r="285" spans="1:15" ht="47.25">
      <c r="A285" s="26" t="s">
        <v>318</v>
      </c>
      <c r="B285" s="215">
        <v>903</v>
      </c>
      <c r="C285" s="213" t="s">
        <v>316</v>
      </c>
      <c r="D285" s="213" t="s">
        <v>267</v>
      </c>
      <c r="E285" s="213" t="s">
        <v>319</v>
      </c>
      <c r="F285" s="213"/>
      <c r="G285" s="27">
        <f>G286</f>
        <v>16445.6</v>
      </c>
      <c r="H285" s="27">
        <f aca="true" t="shared" si="289" ref="H285:L285">H286</f>
        <v>8550</v>
      </c>
      <c r="I285" s="27">
        <f t="shared" si="289"/>
        <v>11383.333333333334</v>
      </c>
      <c r="J285" s="27">
        <f t="shared" si="289"/>
        <v>21824</v>
      </c>
      <c r="K285" s="27">
        <f t="shared" si="289"/>
        <v>21497.6</v>
      </c>
      <c r="L285" s="27">
        <f t="shared" si="289"/>
        <v>21724.8</v>
      </c>
      <c r="M285" s="27">
        <f aca="true" t="shared" si="290" ref="M285:N285">M286</f>
        <v>16723.8</v>
      </c>
      <c r="N285" s="27">
        <f t="shared" si="290"/>
        <v>8557.8</v>
      </c>
      <c r="O285" s="27">
        <f t="shared" si="280"/>
        <v>51.17138449395472</v>
      </c>
    </row>
    <row r="286" spans="1:15" ht="63">
      <c r="A286" s="26" t="s">
        <v>320</v>
      </c>
      <c r="B286" s="215">
        <v>903</v>
      </c>
      <c r="C286" s="213" t="s">
        <v>316</v>
      </c>
      <c r="D286" s="213" t="s">
        <v>267</v>
      </c>
      <c r="E286" s="213" t="s">
        <v>321</v>
      </c>
      <c r="F286" s="213"/>
      <c r="G286" s="27">
        <f>G287+G299+G302+G305+G308</f>
        <v>16445.6</v>
      </c>
      <c r="H286" s="27">
        <f aca="true" t="shared" si="291" ref="H286">H287+H299+H302+H305+H308</f>
        <v>8550</v>
      </c>
      <c r="I286" s="27">
        <f aca="true" t="shared" si="292" ref="I286:L286">I287+I299+I302+I305+I308</f>
        <v>11383.333333333334</v>
      </c>
      <c r="J286" s="27">
        <f t="shared" si="292"/>
        <v>21824</v>
      </c>
      <c r="K286" s="27">
        <f t="shared" si="292"/>
        <v>21497.6</v>
      </c>
      <c r="L286" s="27">
        <f t="shared" si="292"/>
        <v>21724.8</v>
      </c>
      <c r="M286" s="27">
        <f>M287+M299+M302+M305+M308+M293</f>
        <v>16723.8</v>
      </c>
      <c r="N286" s="27">
        <f aca="true" t="shared" si="293" ref="N286">N287+N299+N302+N305+N308+N293</f>
        <v>8557.8</v>
      </c>
      <c r="O286" s="27">
        <f t="shared" si="280"/>
        <v>51.17138449395472</v>
      </c>
    </row>
    <row r="287" spans="1:15" ht="47.25">
      <c r="A287" s="26" t="s">
        <v>322</v>
      </c>
      <c r="B287" s="215">
        <v>903</v>
      </c>
      <c r="C287" s="213" t="s">
        <v>316</v>
      </c>
      <c r="D287" s="213" t="s">
        <v>267</v>
      </c>
      <c r="E287" s="213" t="s">
        <v>323</v>
      </c>
      <c r="F287" s="213"/>
      <c r="G287" s="27">
        <f>G288</f>
        <v>16395.6</v>
      </c>
      <c r="H287" s="27">
        <f>H288</f>
        <v>8500</v>
      </c>
      <c r="I287" s="27">
        <f aca="true" t="shared" si="294" ref="I287:L287">I288</f>
        <v>11333.333333333334</v>
      </c>
      <c r="J287" s="27">
        <f t="shared" si="294"/>
        <v>20227.2</v>
      </c>
      <c r="K287" s="27">
        <f t="shared" si="294"/>
        <v>20500.8</v>
      </c>
      <c r="L287" s="27">
        <f t="shared" si="294"/>
        <v>20728</v>
      </c>
      <c r="M287" s="27">
        <f aca="true" t="shared" si="295" ref="M287:N288">M288</f>
        <v>15893.46</v>
      </c>
      <c r="N287" s="27">
        <f t="shared" si="295"/>
        <v>7846</v>
      </c>
      <c r="O287" s="27">
        <f t="shared" si="280"/>
        <v>49.36621729944267</v>
      </c>
    </row>
    <row r="288" spans="1:15" ht="47.25">
      <c r="A288" s="26" t="s">
        <v>324</v>
      </c>
      <c r="B288" s="215">
        <v>903</v>
      </c>
      <c r="C288" s="213" t="s">
        <v>316</v>
      </c>
      <c r="D288" s="213" t="s">
        <v>267</v>
      </c>
      <c r="E288" s="213" t="s">
        <v>323</v>
      </c>
      <c r="F288" s="213" t="s">
        <v>325</v>
      </c>
      <c r="G288" s="27">
        <f>G289</f>
        <v>16395.6</v>
      </c>
      <c r="H288" s="27">
        <f>H289</f>
        <v>8500</v>
      </c>
      <c r="I288" s="27">
        <f aca="true" t="shared" si="296" ref="I288:L288">I289</f>
        <v>11333.333333333334</v>
      </c>
      <c r="J288" s="27">
        <f t="shared" si="296"/>
        <v>20227.2</v>
      </c>
      <c r="K288" s="27">
        <f t="shared" si="296"/>
        <v>20500.8</v>
      </c>
      <c r="L288" s="27">
        <f t="shared" si="296"/>
        <v>20728</v>
      </c>
      <c r="M288" s="27">
        <f t="shared" si="295"/>
        <v>15893.46</v>
      </c>
      <c r="N288" s="27">
        <f t="shared" si="295"/>
        <v>7846</v>
      </c>
      <c r="O288" s="27">
        <f t="shared" si="280"/>
        <v>49.36621729944267</v>
      </c>
    </row>
    <row r="289" spans="1:15" ht="15.75">
      <c r="A289" s="26" t="s">
        <v>326</v>
      </c>
      <c r="B289" s="215">
        <v>903</v>
      </c>
      <c r="C289" s="213" t="s">
        <v>316</v>
      </c>
      <c r="D289" s="213" t="s">
        <v>267</v>
      </c>
      <c r="E289" s="213" t="s">
        <v>323</v>
      </c>
      <c r="F289" s="213" t="s">
        <v>327</v>
      </c>
      <c r="G289" s="28">
        <f>15572+756.3+67.3</f>
        <v>16395.6</v>
      </c>
      <c r="H289" s="28">
        <v>8500</v>
      </c>
      <c r="I289" s="28">
        <f>H289/9*12</f>
        <v>11333.333333333334</v>
      </c>
      <c r="J289" s="28">
        <v>20227.2</v>
      </c>
      <c r="K289" s="28">
        <v>20500.8</v>
      </c>
      <c r="L289" s="28">
        <v>20728</v>
      </c>
      <c r="M289" s="28">
        <f>16378.1-221-37.94-80.6-145.1</f>
        <v>15893.46</v>
      </c>
      <c r="N289" s="28">
        <v>7846</v>
      </c>
      <c r="O289" s="27">
        <f t="shared" si="280"/>
        <v>49.36621729944267</v>
      </c>
    </row>
    <row r="290" spans="1:15" ht="47.25" customHeight="1" hidden="1">
      <c r="A290" s="26" t="s">
        <v>328</v>
      </c>
      <c r="B290" s="215">
        <v>903</v>
      </c>
      <c r="C290" s="213" t="s">
        <v>316</v>
      </c>
      <c r="D290" s="213" t="s">
        <v>267</v>
      </c>
      <c r="E290" s="213" t="s">
        <v>329</v>
      </c>
      <c r="F290" s="213"/>
      <c r="G290" s="27">
        <f aca="true" t="shared" si="297" ref="G290:L291">G291</f>
        <v>0</v>
      </c>
      <c r="H290" s="22">
        <f>H291+H326</f>
        <v>8569.3</v>
      </c>
      <c r="I290" s="27">
        <f t="shared" si="297"/>
        <v>0</v>
      </c>
      <c r="J290" s="27">
        <f t="shared" si="297"/>
        <v>0</v>
      </c>
      <c r="K290" s="27">
        <f t="shared" si="297"/>
        <v>0</v>
      </c>
      <c r="L290" s="27">
        <f t="shared" si="297"/>
        <v>0</v>
      </c>
      <c r="M290" s="27">
        <f aca="true" t="shared" si="298" ref="M290:N291">M291</f>
        <v>0</v>
      </c>
      <c r="N290" s="27">
        <f t="shared" si="298"/>
        <v>0</v>
      </c>
      <c r="O290" s="27" t="e">
        <f t="shared" si="280"/>
        <v>#DIV/0!</v>
      </c>
    </row>
    <row r="291" spans="1:15" ht="47.25" customHeight="1" hidden="1">
      <c r="A291" s="26" t="s">
        <v>324</v>
      </c>
      <c r="B291" s="215">
        <v>903</v>
      </c>
      <c r="C291" s="213" t="s">
        <v>316</v>
      </c>
      <c r="D291" s="213" t="s">
        <v>267</v>
      </c>
      <c r="E291" s="213" t="s">
        <v>329</v>
      </c>
      <c r="F291" s="213" t="s">
        <v>325</v>
      </c>
      <c r="G291" s="27">
        <f t="shared" si="297"/>
        <v>0</v>
      </c>
      <c r="H291" s="22">
        <f>H292+H315</f>
        <v>8569.3</v>
      </c>
      <c r="I291" s="27">
        <f t="shared" si="297"/>
        <v>0</v>
      </c>
      <c r="J291" s="27">
        <f t="shared" si="297"/>
        <v>0</v>
      </c>
      <c r="K291" s="27">
        <f t="shared" si="297"/>
        <v>0</v>
      </c>
      <c r="L291" s="27">
        <f t="shared" si="297"/>
        <v>0</v>
      </c>
      <c r="M291" s="27">
        <f t="shared" si="298"/>
        <v>0</v>
      </c>
      <c r="N291" s="27">
        <f t="shared" si="298"/>
        <v>0</v>
      </c>
      <c r="O291" s="27" t="e">
        <f t="shared" si="280"/>
        <v>#DIV/0!</v>
      </c>
    </row>
    <row r="292" spans="1:15" ht="15.75" customHeight="1" hidden="1">
      <c r="A292" s="26" t="s">
        <v>326</v>
      </c>
      <c r="B292" s="215">
        <v>903</v>
      </c>
      <c r="C292" s="213" t="s">
        <v>316</v>
      </c>
      <c r="D292" s="213" t="s">
        <v>267</v>
      </c>
      <c r="E292" s="213" t="s">
        <v>329</v>
      </c>
      <c r="F292" s="213" t="s">
        <v>327</v>
      </c>
      <c r="G292" s="27">
        <v>0</v>
      </c>
      <c r="H292" s="27">
        <f>H293</f>
        <v>8500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 t="e">
        <f t="shared" si="280"/>
        <v>#DIV/0!</v>
      </c>
    </row>
    <row r="293" spans="1:15" ht="47.25" customHeight="1">
      <c r="A293" s="26" t="s">
        <v>330</v>
      </c>
      <c r="B293" s="215">
        <v>903</v>
      </c>
      <c r="C293" s="213" t="s">
        <v>316</v>
      </c>
      <c r="D293" s="213" t="s">
        <v>267</v>
      </c>
      <c r="E293" s="213" t="s">
        <v>331</v>
      </c>
      <c r="F293" s="213"/>
      <c r="G293" s="27">
        <f aca="true" t="shared" si="299" ref="G293:L294">G294</f>
        <v>0</v>
      </c>
      <c r="H293" s="27">
        <f>H294+H306</f>
        <v>8500</v>
      </c>
      <c r="I293" s="27">
        <f t="shared" si="299"/>
        <v>0</v>
      </c>
      <c r="J293" s="27">
        <f t="shared" si="299"/>
        <v>0</v>
      </c>
      <c r="K293" s="27">
        <f t="shared" si="299"/>
        <v>0</v>
      </c>
      <c r="L293" s="27">
        <f t="shared" si="299"/>
        <v>0</v>
      </c>
      <c r="M293" s="27">
        <f aca="true" t="shared" si="300" ref="M293:N294">M294</f>
        <v>80.6</v>
      </c>
      <c r="N293" s="27">
        <f t="shared" si="300"/>
        <v>0</v>
      </c>
      <c r="O293" s="27">
        <f t="shared" si="280"/>
        <v>0</v>
      </c>
    </row>
    <row r="294" spans="1:15" ht="47.25" customHeight="1">
      <c r="A294" s="26" t="s">
        <v>324</v>
      </c>
      <c r="B294" s="215">
        <v>903</v>
      </c>
      <c r="C294" s="213" t="s">
        <v>316</v>
      </c>
      <c r="D294" s="213" t="s">
        <v>267</v>
      </c>
      <c r="E294" s="213" t="s">
        <v>331</v>
      </c>
      <c r="F294" s="213" t="s">
        <v>325</v>
      </c>
      <c r="G294" s="27">
        <f t="shared" si="299"/>
        <v>0</v>
      </c>
      <c r="H294" s="27">
        <f>H295</f>
        <v>8500</v>
      </c>
      <c r="I294" s="27">
        <f t="shared" si="299"/>
        <v>0</v>
      </c>
      <c r="J294" s="27">
        <f t="shared" si="299"/>
        <v>0</v>
      </c>
      <c r="K294" s="27">
        <f t="shared" si="299"/>
        <v>0</v>
      </c>
      <c r="L294" s="27">
        <f t="shared" si="299"/>
        <v>0</v>
      </c>
      <c r="M294" s="27">
        <f t="shared" si="300"/>
        <v>80.6</v>
      </c>
      <c r="N294" s="27">
        <f t="shared" si="300"/>
        <v>0</v>
      </c>
      <c r="O294" s="27">
        <f t="shared" si="280"/>
        <v>0</v>
      </c>
    </row>
    <row r="295" spans="1:15" ht="15.75" customHeight="1">
      <c r="A295" s="26" t="s">
        <v>326</v>
      </c>
      <c r="B295" s="215">
        <v>903</v>
      </c>
      <c r="C295" s="213" t="s">
        <v>316</v>
      </c>
      <c r="D295" s="213" t="s">
        <v>267</v>
      </c>
      <c r="E295" s="213" t="s">
        <v>331</v>
      </c>
      <c r="F295" s="213" t="s">
        <v>327</v>
      </c>
      <c r="G295" s="27">
        <v>0</v>
      </c>
      <c r="H295" s="27">
        <f>H296</f>
        <v>8500</v>
      </c>
      <c r="I295" s="27">
        <v>0</v>
      </c>
      <c r="J295" s="27">
        <v>0</v>
      </c>
      <c r="K295" s="27">
        <v>0</v>
      </c>
      <c r="L295" s="27">
        <v>0</v>
      </c>
      <c r="M295" s="27">
        <v>80.6</v>
      </c>
      <c r="N295" s="27">
        <v>0</v>
      </c>
      <c r="O295" s="27">
        <f t="shared" si="280"/>
        <v>0</v>
      </c>
    </row>
    <row r="296" spans="1:15" ht="31.5" customHeight="1" hidden="1">
      <c r="A296" s="26" t="s">
        <v>332</v>
      </c>
      <c r="B296" s="215">
        <v>903</v>
      </c>
      <c r="C296" s="213" t="s">
        <v>316</v>
      </c>
      <c r="D296" s="213" t="s">
        <v>267</v>
      </c>
      <c r="E296" s="213" t="s">
        <v>333</v>
      </c>
      <c r="F296" s="213"/>
      <c r="G296" s="27">
        <f aca="true" t="shared" si="301" ref="G296:L297">G297</f>
        <v>0</v>
      </c>
      <c r="H296" s="28">
        <v>8500</v>
      </c>
      <c r="I296" s="27">
        <f t="shared" si="301"/>
        <v>0</v>
      </c>
      <c r="J296" s="27">
        <f t="shared" si="301"/>
        <v>0</v>
      </c>
      <c r="K296" s="27">
        <f t="shared" si="301"/>
        <v>0</v>
      </c>
      <c r="L296" s="27">
        <f t="shared" si="301"/>
        <v>0</v>
      </c>
      <c r="M296" s="27">
        <f aca="true" t="shared" si="302" ref="M296:N297">M297</f>
        <v>0</v>
      </c>
      <c r="N296" s="27">
        <f t="shared" si="302"/>
        <v>0</v>
      </c>
      <c r="O296" s="27" t="e">
        <f t="shared" si="280"/>
        <v>#DIV/0!</v>
      </c>
    </row>
    <row r="297" spans="1:15" ht="47.25" customHeight="1" hidden="1">
      <c r="A297" s="26" t="s">
        <v>324</v>
      </c>
      <c r="B297" s="215">
        <v>903</v>
      </c>
      <c r="C297" s="213" t="s">
        <v>316</v>
      </c>
      <c r="D297" s="213" t="s">
        <v>267</v>
      </c>
      <c r="E297" s="213" t="s">
        <v>333</v>
      </c>
      <c r="F297" s="213" t="s">
        <v>325</v>
      </c>
      <c r="G297" s="27">
        <f t="shared" si="301"/>
        <v>0</v>
      </c>
      <c r="H297" s="27"/>
      <c r="I297" s="27">
        <f t="shared" si="301"/>
        <v>0</v>
      </c>
      <c r="J297" s="27">
        <f t="shared" si="301"/>
        <v>0</v>
      </c>
      <c r="K297" s="27">
        <f t="shared" si="301"/>
        <v>0</v>
      </c>
      <c r="L297" s="27">
        <f t="shared" si="301"/>
        <v>0</v>
      </c>
      <c r="M297" s="27">
        <f t="shared" si="302"/>
        <v>0</v>
      </c>
      <c r="N297" s="27">
        <f t="shared" si="302"/>
        <v>0</v>
      </c>
      <c r="O297" s="27" t="e">
        <f t="shared" si="280"/>
        <v>#DIV/0!</v>
      </c>
    </row>
    <row r="298" spans="1:15" ht="15.75" customHeight="1" hidden="1">
      <c r="A298" s="26" t="s">
        <v>326</v>
      </c>
      <c r="B298" s="215">
        <v>903</v>
      </c>
      <c r="C298" s="213" t="s">
        <v>316</v>
      </c>
      <c r="D298" s="213" t="s">
        <v>267</v>
      </c>
      <c r="E298" s="213" t="s">
        <v>333</v>
      </c>
      <c r="F298" s="213" t="s">
        <v>327</v>
      </c>
      <c r="G298" s="27">
        <v>0</v>
      </c>
      <c r="H298" s="27"/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 t="e">
        <f t="shared" si="280"/>
        <v>#DIV/0!</v>
      </c>
    </row>
    <row r="299" spans="1:15" ht="39.75" customHeight="1">
      <c r="A299" s="26" t="s">
        <v>334</v>
      </c>
      <c r="B299" s="215">
        <v>903</v>
      </c>
      <c r="C299" s="213" t="s">
        <v>316</v>
      </c>
      <c r="D299" s="213" t="s">
        <v>267</v>
      </c>
      <c r="E299" s="213" t="s">
        <v>335</v>
      </c>
      <c r="F299" s="213"/>
      <c r="G299" s="27">
        <f>G300</f>
        <v>50</v>
      </c>
      <c r="H299" s="27">
        <f>H300</f>
        <v>50</v>
      </c>
      <c r="I299" s="27">
        <f aca="true" t="shared" si="303" ref="I299:L299">I300</f>
        <v>50</v>
      </c>
      <c r="J299" s="27">
        <f t="shared" si="303"/>
        <v>60</v>
      </c>
      <c r="K299" s="27">
        <f t="shared" si="303"/>
        <v>60</v>
      </c>
      <c r="L299" s="27">
        <f t="shared" si="303"/>
        <v>60</v>
      </c>
      <c r="M299" s="27">
        <f aca="true" t="shared" si="304" ref="M299:N300">M300</f>
        <v>50</v>
      </c>
      <c r="N299" s="27">
        <f t="shared" si="304"/>
        <v>50</v>
      </c>
      <c r="O299" s="27">
        <f t="shared" si="280"/>
        <v>100</v>
      </c>
    </row>
    <row r="300" spans="1:15" ht="47.25">
      <c r="A300" s="26" t="s">
        <v>324</v>
      </c>
      <c r="B300" s="215">
        <v>903</v>
      </c>
      <c r="C300" s="213" t="s">
        <v>316</v>
      </c>
      <c r="D300" s="213" t="s">
        <v>267</v>
      </c>
      <c r="E300" s="213" t="s">
        <v>335</v>
      </c>
      <c r="F300" s="213" t="s">
        <v>325</v>
      </c>
      <c r="G300" s="27">
        <f aca="true" t="shared" si="305" ref="G300:L300">G301</f>
        <v>50</v>
      </c>
      <c r="H300" s="27">
        <f>H301</f>
        <v>50</v>
      </c>
      <c r="I300" s="27">
        <f t="shared" si="305"/>
        <v>50</v>
      </c>
      <c r="J300" s="27">
        <f t="shared" si="305"/>
        <v>60</v>
      </c>
      <c r="K300" s="27">
        <f t="shared" si="305"/>
        <v>60</v>
      </c>
      <c r="L300" s="27">
        <f t="shared" si="305"/>
        <v>60</v>
      </c>
      <c r="M300" s="27">
        <f t="shared" si="304"/>
        <v>50</v>
      </c>
      <c r="N300" s="27">
        <f t="shared" si="304"/>
        <v>50</v>
      </c>
      <c r="O300" s="27">
        <f t="shared" si="280"/>
        <v>100</v>
      </c>
    </row>
    <row r="301" spans="1:15" ht="15.75">
      <c r="A301" s="26" t="s">
        <v>326</v>
      </c>
      <c r="B301" s="215">
        <v>903</v>
      </c>
      <c r="C301" s="213" t="s">
        <v>316</v>
      </c>
      <c r="D301" s="213" t="s">
        <v>267</v>
      </c>
      <c r="E301" s="213" t="s">
        <v>335</v>
      </c>
      <c r="F301" s="213" t="s">
        <v>327</v>
      </c>
      <c r="G301" s="27">
        <v>50</v>
      </c>
      <c r="H301" s="27">
        <v>50</v>
      </c>
      <c r="I301" s="27">
        <v>50</v>
      </c>
      <c r="J301" s="27">
        <v>60</v>
      </c>
      <c r="K301" s="27">
        <v>60</v>
      </c>
      <c r="L301" s="27">
        <v>60</v>
      </c>
      <c r="M301" s="27">
        <v>50</v>
      </c>
      <c r="N301" s="27">
        <v>50</v>
      </c>
      <c r="O301" s="27">
        <f t="shared" si="280"/>
        <v>100</v>
      </c>
    </row>
    <row r="302" spans="1:15" ht="31.5" customHeight="1">
      <c r="A302" s="26" t="s">
        <v>336</v>
      </c>
      <c r="B302" s="215">
        <v>903</v>
      </c>
      <c r="C302" s="213" t="s">
        <v>316</v>
      </c>
      <c r="D302" s="213" t="s">
        <v>267</v>
      </c>
      <c r="E302" s="213" t="s">
        <v>338</v>
      </c>
      <c r="F302" s="213"/>
      <c r="G302" s="27">
        <f aca="true" t="shared" si="306" ref="G302:L303">G303</f>
        <v>0</v>
      </c>
      <c r="H302" s="27">
        <v>0</v>
      </c>
      <c r="I302" s="27">
        <f t="shared" si="306"/>
        <v>0</v>
      </c>
      <c r="J302" s="27">
        <f t="shared" si="306"/>
        <v>275</v>
      </c>
      <c r="K302" s="27">
        <f t="shared" si="306"/>
        <v>275</v>
      </c>
      <c r="L302" s="27">
        <f t="shared" si="306"/>
        <v>275</v>
      </c>
      <c r="M302" s="27">
        <f aca="true" t="shared" si="307" ref="M302:N303">M303</f>
        <v>37.94</v>
      </c>
      <c r="N302" s="27">
        <f t="shared" si="307"/>
        <v>0</v>
      </c>
      <c r="O302" s="27">
        <f t="shared" si="280"/>
        <v>0</v>
      </c>
    </row>
    <row r="303" spans="1:15" ht="47.25" customHeight="1">
      <c r="A303" s="26" t="s">
        <v>324</v>
      </c>
      <c r="B303" s="215">
        <v>903</v>
      </c>
      <c r="C303" s="213" t="s">
        <v>316</v>
      </c>
      <c r="D303" s="213" t="s">
        <v>267</v>
      </c>
      <c r="E303" s="213" t="s">
        <v>338</v>
      </c>
      <c r="F303" s="213" t="s">
        <v>325</v>
      </c>
      <c r="G303" s="27">
        <f t="shared" si="306"/>
        <v>0</v>
      </c>
      <c r="H303" s="27">
        <v>0</v>
      </c>
      <c r="I303" s="27">
        <f t="shared" si="306"/>
        <v>0</v>
      </c>
      <c r="J303" s="27">
        <f t="shared" si="306"/>
        <v>275</v>
      </c>
      <c r="K303" s="27">
        <f t="shared" si="306"/>
        <v>275</v>
      </c>
      <c r="L303" s="27">
        <f t="shared" si="306"/>
        <v>275</v>
      </c>
      <c r="M303" s="27">
        <f t="shared" si="307"/>
        <v>37.94</v>
      </c>
      <c r="N303" s="27">
        <f t="shared" si="307"/>
        <v>0</v>
      </c>
      <c r="O303" s="27">
        <f t="shared" si="280"/>
        <v>0</v>
      </c>
    </row>
    <row r="304" spans="1:15" ht="15.75" customHeight="1">
      <c r="A304" s="26" t="s">
        <v>326</v>
      </c>
      <c r="B304" s="215">
        <v>903</v>
      </c>
      <c r="C304" s="213" t="s">
        <v>316</v>
      </c>
      <c r="D304" s="213" t="s">
        <v>267</v>
      </c>
      <c r="E304" s="213" t="s">
        <v>338</v>
      </c>
      <c r="F304" s="213" t="s">
        <v>327</v>
      </c>
      <c r="G304" s="27">
        <v>0</v>
      </c>
      <c r="H304" s="27">
        <v>0</v>
      </c>
      <c r="I304" s="27">
        <v>0</v>
      </c>
      <c r="J304" s="27">
        <v>275</v>
      </c>
      <c r="K304" s="27">
        <v>275</v>
      </c>
      <c r="L304" s="27">
        <v>275</v>
      </c>
      <c r="M304" s="27">
        <v>37.94</v>
      </c>
      <c r="N304" s="27">
        <v>0</v>
      </c>
      <c r="O304" s="27">
        <f t="shared" si="280"/>
        <v>0</v>
      </c>
    </row>
    <row r="305" spans="1:15" ht="47.25" customHeight="1" hidden="1">
      <c r="A305" s="70" t="s">
        <v>339</v>
      </c>
      <c r="B305" s="215">
        <v>903</v>
      </c>
      <c r="C305" s="213" t="s">
        <v>316</v>
      </c>
      <c r="D305" s="213" t="s">
        <v>267</v>
      </c>
      <c r="E305" s="213" t="s">
        <v>340</v>
      </c>
      <c r="F305" s="213"/>
      <c r="G305" s="27">
        <f aca="true" t="shared" si="308" ref="G305:L309">G306</f>
        <v>0</v>
      </c>
      <c r="H305" s="27">
        <v>0</v>
      </c>
      <c r="I305" s="27">
        <f t="shared" si="308"/>
        <v>0</v>
      </c>
      <c r="J305" s="27">
        <f t="shared" si="308"/>
        <v>600</v>
      </c>
      <c r="K305" s="27">
        <f t="shared" si="308"/>
        <v>0</v>
      </c>
      <c r="L305" s="27">
        <f t="shared" si="308"/>
        <v>0</v>
      </c>
      <c r="M305" s="27">
        <f aca="true" t="shared" si="309" ref="M305:N306">M306</f>
        <v>0</v>
      </c>
      <c r="N305" s="27">
        <f t="shared" si="309"/>
        <v>0</v>
      </c>
      <c r="O305" s="27" t="e">
        <f t="shared" si="280"/>
        <v>#DIV/0!</v>
      </c>
    </row>
    <row r="306" spans="1:15" ht="47.25" customHeight="1" hidden="1">
      <c r="A306" s="31" t="s">
        <v>324</v>
      </c>
      <c r="B306" s="215">
        <v>903</v>
      </c>
      <c r="C306" s="213" t="s">
        <v>316</v>
      </c>
      <c r="D306" s="213" t="s">
        <v>267</v>
      </c>
      <c r="E306" s="213" t="s">
        <v>340</v>
      </c>
      <c r="F306" s="213" t="s">
        <v>325</v>
      </c>
      <c r="G306" s="27">
        <f t="shared" si="308"/>
        <v>0</v>
      </c>
      <c r="H306" s="27">
        <v>0</v>
      </c>
      <c r="I306" s="27">
        <f t="shared" si="308"/>
        <v>0</v>
      </c>
      <c r="J306" s="27">
        <f t="shared" si="308"/>
        <v>600</v>
      </c>
      <c r="K306" s="27">
        <f t="shared" si="308"/>
        <v>0</v>
      </c>
      <c r="L306" s="27">
        <f t="shared" si="308"/>
        <v>0</v>
      </c>
      <c r="M306" s="27">
        <f t="shared" si="309"/>
        <v>0</v>
      </c>
      <c r="N306" s="27">
        <f t="shared" si="309"/>
        <v>0</v>
      </c>
      <c r="O306" s="27" t="e">
        <f t="shared" si="280"/>
        <v>#DIV/0!</v>
      </c>
    </row>
    <row r="307" spans="1:15" ht="15.75" customHeight="1" hidden="1">
      <c r="A307" s="256" t="s">
        <v>326</v>
      </c>
      <c r="B307" s="215">
        <v>903</v>
      </c>
      <c r="C307" s="213" t="s">
        <v>316</v>
      </c>
      <c r="D307" s="213" t="s">
        <v>267</v>
      </c>
      <c r="E307" s="213" t="s">
        <v>340</v>
      </c>
      <c r="F307" s="213" t="s">
        <v>327</v>
      </c>
      <c r="G307" s="27">
        <v>0</v>
      </c>
      <c r="H307" s="27">
        <v>0</v>
      </c>
      <c r="I307" s="27">
        <v>0</v>
      </c>
      <c r="J307" s="27">
        <v>600</v>
      </c>
      <c r="K307" s="27">
        <v>0</v>
      </c>
      <c r="L307" s="27">
        <v>0</v>
      </c>
      <c r="M307" s="27">
        <v>0</v>
      </c>
      <c r="N307" s="27">
        <v>0</v>
      </c>
      <c r="O307" s="27" t="e">
        <f t="shared" si="280"/>
        <v>#DIV/0!</v>
      </c>
    </row>
    <row r="308" spans="1:15" ht="48" customHeight="1">
      <c r="A308" s="70" t="s">
        <v>865</v>
      </c>
      <c r="B308" s="215">
        <v>903</v>
      </c>
      <c r="C308" s="213" t="s">
        <v>316</v>
      </c>
      <c r="D308" s="213" t="s">
        <v>267</v>
      </c>
      <c r="E308" s="213" t="s">
        <v>871</v>
      </c>
      <c r="F308" s="213"/>
      <c r="G308" s="27">
        <f t="shared" si="308"/>
        <v>0</v>
      </c>
      <c r="H308" s="27">
        <v>0</v>
      </c>
      <c r="I308" s="27">
        <f>I309</f>
        <v>0</v>
      </c>
      <c r="J308" s="27">
        <f aca="true" t="shared" si="310" ref="J308:L309">J309</f>
        <v>661.8</v>
      </c>
      <c r="K308" s="27">
        <f t="shared" si="310"/>
        <v>661.8</v>
      </c>
      <c r="L308" s="27">
        <f t="shared" si="310"/>
        <v>661.8</v>
      </c>
      <c r="M308" s="27">
        <f>M309</f>
        <v>661.8</v>
      </c>
      <c r="N308" s="27">
        <f aca="true" t="shared" si="311" ref="N308:N309">N309</f>
        <v>661.8</v>
      </c>
      <c r="O308" s="27">
        <f t="shared" si="280"/>
        <v>100</v>
      </c>
    </row>
    <row r="309" spans="1:15" ht="51.75" customHeight="1">
      <c r="A309" s="31" t="s">
        <v>324</v>
      </c>
      <c r="B309" s="215">
        <v>903</v>
      </c>
      <c r="C309" s="213" t="s">
        <v>316</v>
      </c>
      <c r="D309" s="213" t="s">
        <v>267</v>
      </c>
      <c r="E309" s="213" t="s">
        <v>871</v>
      </c>
      <c r="F309" s="213" t="s">
        <v>325</v>
      </c>
      <c r="G309" s="27">
        <f t="shared" si="308"/>
        <v>0</v>
      </c>
      <c r="H309" s="27">
        <v>0</v>
      </c>
      <c r="I309" s="27">
        <f>I310</f>
        <v>0</v>
      </c>
      <c r="J309" s="27">
        <f t="shared" si="310"/>
        <v>661.8</v>
      </c>
      <c r="K309" s="27">
        <f t="shared" si="310"/>
        <v>661.8</v>
      </c>
      <c r="L309" s="27">
        <f t="shared" si="310"/>
        <v>661.8</v>
      </c>
      <c r="M309" s="27">
        <f>M310</f>
        <v>661.8</v>
      </c>
      <c r="N309" s="27">
        <f t="shared" si="311"/>
        <v>661.8</v>
      </c>
      <c r="O309" s="27">
        <f t="shared" si="280"/>
        <v>100</v>
      </c>
    </row>
    <row r="310" spans="1:15" ht="15.75" customHeight="1">
      <c r="A310" s="256" t="s">
        <v>326</v>
      </c>
      <c r="B310" s="215">
        <v>903</v>
      </c>
      <c r="C310" s="213" t="s">
        <v>316</v>
      </c>
      <c r="D310" s="213" t="s">
        <v>267</v>
      </c>
      <c r="E310" s="213" t="s">
        <v>871</v>
      </c>
      <c r="F310" s="213" t="s">
        <v>327</v>
      </c>
      <c r="G310" s="27">
        <v>0</v>
      </c>
      <c r="H310" s="27">
        <v>0</v>
      </c>
      <c r="I310" s="27">
        <v>0</v>
      </c>
      <c r="J310" s="27">
        <v>661.8</v>
      </c>
      <c r="K310" s="27">
        <v>661.8</v>
      </c>
      <c r="L310" s="27">
        <v>661.8</v>
      </c>
      <c r="M310" s="27">
        <v>661.8</v>
      </c>
      <c r="N310" s="27">
        <v>661.8</v>
      </c>
      <c r="O310" s="27">
        <f t="shared" si="280"/>
        <v>100</v>
      </c>
    </row>
    <row r="311" spans="1:15" ht="15.75">
      <c r="A311" s="26" t="s">
        <v>173</v>
      </c>
      <c r="B311" s="215">
        <v>903</v>
      </c>
      <c r="C311" s="213" t="s">
        <v>316</v>
      </c>
      <c r="D311" s="213" t="s">
        <v>267</v>
      </c>
      <c r="E311" s="213" t="s">
        <v>174</v>
      </c>
      <c r="F311" s="213"/>
      <c r="G311" s="27">
        <f aca="true" t="shared" si="312" ref="G311:L311">G312</f>
        <v>1037.1000000000001</v>
      </c>
      <c r="H311" s="27">
        <f t="shared" si="312"/>
        <v>757.8</v>
      </c>
      <c r="I311" s="27">
        <f t="shared" si="312"/>
        <v>1037.1000000000001</v>
      </c>
      <c r="J311" s="27">
        <f t="shared" si="312"/>
        <v>1037.1000000000001</v>
      </c>
      <c r="K311" s="27">
        <f t="shared" si="312"/>
        <v>1037.1000000000001</v>
      </c>
      <c r="L311" s="27">
        <f t="shared" si="312"/>
        <v>1037.1000000000001</v>
      </c>
      <c r="M311" s="27">
        <f aca="true" t="shared" si="313" ref="M311:N311">M312</f>
        <v>1037.7</v>
      </c>
      <c r="N311" s="27">
        <f t="shared" si="313"/>
        <v>325.79999999999995</v>
      </c>
      <c r="O311" s="27">
        <f t="shared" si="280"/>
        <v>31.396357328707715</v>
      </c>
    </row>
    <row r="312" spans="1:15" ht="31.5">
      <c r="A312" s="26" t="s">
        <v>237</v>
      </c>
      <c r="B312" s="215">
        <v>903</v>
      </c>
      <c r="C312" s="213" t="s">
        <v>316</v>
      </c>
      <c r="D312" s="213" t="s">
        <v>267</v>
      </c>
      <c r="E312" s="213" t="s">
        <v>238</v>
      </c>
      <c r="F312" s="213"/>
      <c r="G312" s="27">
        <f>G313+G316+G319</f>
        <v>1037.1000000000001</v>
      </c>
      <c r="H312" s="27">
        <f>H313+H316+H319</f>
        <v>757.8</v>
      </c>
      <c r="I312" s="27">
        <f aca="true" t="shared" si="314" ref="I312:L312">I313+I316+I319</f>
        <v>1037.1000000000001</v>
      </c>
      <c r="J312" s="27">
        <f t="shared" si="314"/>
        <v>1037.1000000000001</v>
      </c>
      <c r="K312" s="27">
        <f t="shared" si="314"/>
        <v>1037.1000000000001</v>
      </c>
      <c r="L312" s="27">
        <f t="shared" si="314"/>
        <v>1037.1000000000001</v>
      </c>
      <c r="M312" s="27">
        <f aca="true" t="shared" si="315" ref="M312:N312">M313+M316+M319</f>
        <v>1037.7</v>
      </c>
      <c r="N312" s="27">
        <f t="shared" si="315"/>
        <v>325.79999999999995</v>
      </c>
      <c r="O312" s="27">
        <f t="shared" si="280"/>
        <v>31.396357328707715</v>
      </c>
    </row>
    <row r="313" spans="1:15" ht="63">
      <c r="A313" s="33" t="s">
        <v>341</v>
      </c>
      <c r="B313" s="215">
        <v>903</v>
      </c>
      <c r="C313" s="213" t="s">
        <v>316</v>
      </c>
      <c r="D313" s="213" t="s">
        <v>267</v>
      </c>
      <c r="E313" s="213" t="s">
        <v>342</v>
      </c>
      <c r="F313" s="213"/>
      <c r="G313" s="27">
        <f>G314</f>
        <v>126.69999999999999</v>
      </c>
      <c r="H313" s="27">
        <f>H314</f>
        <v>69.3</v>
      </c>
      <c r="I313" s="27">
        <f aca="true" t="shared" si="316" ref="I313:L314">I314</f>
        <v>126.69999999999999</v>
      </c>
      <c r="J313" s="27">
        <f t="shared" si="316"/>
        <v>126.69999999999999</v>
      </c>
      <c r="K313" s="27">
        <f t="shared" si="316"/>
        <v>126.69999999999999</v>
      </c>
      <c r="L313" s="27">
        <f t="shared" si="316"/>
        <v>126.69999999999999</v>
      </c>
      <c r="M313" s="27">
        <f aca="true" t="shared" si="317" ref="M313:N314">M314</f>
        <v>126.69999999999999</v>
      </c>
      <c r="N313" s="27">
        <f t="shared" si="317"/>
        <v>44.3</v>
      </c>
      <c r="O313" s="27">
        <f t="shared" si="280"/>
        <v>34.96448303078137</v>
      </c>
    </row>
    <row r="314" spans="1:15" ht="47.25">
      <c r="A314" s="26" t="s">
        <v>324</v>
      </c>
      <c r="B314" s="215">
        <v>903</v>
      </c>
      <c r="C314" s="213" t="s">
        <v>316</v>
      </c>
      <c r="D314" s="213" t="s">
        <v>267</v>
      </c>
      <c r="E314" s="213" t="s">
        <v>342</v>
      </c>
      <c r="F314" s="213" t="s">
        <v>325</v>
      </c>
      <c r="G314" s="27">
        <f>G315</f>
        <v>126.69999999999999</v>
      </c>
      <c r="H314" s="27">
        <f>H315</f>
        <v>69.3</v>
      </c>
      <c r="I314" s="27">
        <f t="shared" si="316"/>
        <v>126.69999999999999</v>
      </c>
      <c r="J314" s="27">
        <f t="shared" si="316"/>
        <v>126.69999999999999</v>
      </c>
      <c r="K314" s="27">
        <f t="shared" si="316"/>
        <v>126.69999999999999</v>
      </c>
      <c r="L314" s="27">
        <f t="shared" si="316"/>
        <v>126.69999999999999</v>
      </c>
      <c r="M314" s="27">
        <f t="shared" si="317"/>
        <v>126.69999999999999</v>
      </c>
      <c r="N314" s="27">
        <f t="shared" si="317"/>
        <v>44.3</v>
      </c>
      <c r="O314" s="27">
        <f t="shared" si="280"/>
        <v>34.96448303078137</v>
      </c>
    </row>
    <row r="315" spans="1:15" ht="15.75">
      <c r="A315" s="26" t="s">
        <v>326</v>
      </c>
      <c r="B315" s="215">
        <v>903</v>
      </c>
      <c r="C315" s="213" t="s">
        <v>316</v>
      </c>
      <c r="D315" s="213" t="s">
        <v>267</v>
      </c>
      <c r="E315" s="213" t="s">
        <v>342</v>
      </c>
      <c r="F315" s="213" t="s">
        <v>327</v>
      </c>
      <c r="G315" s="27">
        <f>162.6-35.9</f>
        <v>126.69999999999999</v>
      </c>
      <c r="H315" s="27">
        <v>69.3</v>
      </c>
      <c r="I315" s="27">
        <f aca="true" t="shared" si="318" ref="I315:L315">162.6-35.9</f>
        <v>126.69999999999999</v>
      </c>
      <c r="J315" s="27">
        <f t="shared" si="318"/>
        <v>126.69999999999999</v>
      </c>
      <c r="K315" s="27">
        <f t="shared" si="318"/>
        <v>126.69999999999999</v>
      </c>
      <c r="L315" s="27">
        <f t="shared" si="318"/>
        <v>126.69999999999999</v>
      </c>
      <c r="M315" s="27">
        <f aca="true" t="shared" si="319" ref="M315">162.6-35.9</f>
        <v>126.69999999999999</v>
      </c>
      <c r="N315" s="27">
        <v>44.3</v>
      </c>
      <c r="O315" s="27">
        <f t="shared" si="280"/>
        <v>34.96448303078137</v>
      </c>
    </row>
    <row r="316" spans="1:15" ht="78.75">
      <c r="A316" s="33" t="s">
        <v>343</v>
      </c>
      <c r="B316" s="215">
        <v>903</v>
      </c>
      <c r="C316" s="213" t="s">
        <v>316</v>
      </c>
      <c r="D316" s="213" t="s">
        <v>267</v>
      </c>
      <c r="E316" s="213" t="s">
        <v>344</v>
      </c>
      <c r="F316" s="213"/>
      <c r="G316" s="27">
        <f>G317</f>
        <v>310.70000000000005</v>
      </c>
      <c r="H316" s="27">
        <f>H317</f>
        <v>151.1</v>
      </c>
      <c r="I316" s="27">
        <f aca="true" t="shared" si="320" ref="I316:L317">I317</f>
        <v>310.70000000000005</v>
      </c>
      <c r="J316" s="27">
        <f t="shared" si="320"/>
        <v>310.70000000000005</v>
      </c>
      <c r="K316" s="27">
        <f t="shared" si="320"/>
        <v>310.70000000000005</v>
      </c>
      <c r="L316" s="27">
        <f t="shared" si="320"/>
        <v>310.70000000000005</v>
      </c>
      <c r="M316" s="27">
        <f aca="true" t="shared" si="321" ref="M316:N317">M317</f>
        <v>321.50000000000006</v>
      </c>
      <c r="N316" s="27">
        <f t="shared" si="321"/>
        <v>92.6</v>
      </c>
      <c r="O316" s="27">
        <f t="shared" si="280"/>
        <v>28.802488335925343</v>
      </c>
    </row>
    <row r="317" spans="1:15" ht="47.25">
      <c r="A317" s="26" t="s">
        <v>324</v>
      </c>
      <c r="B317" s="215">
        <v>903</v>
      </c>
      <c r="C317" s="213" t="s">
        <v>316</v>
      </c>
      <c r="D317" s="213" t="s">
        <v>267</v>
      </c>
      <c r="E317" s="213" t="s">
        <v>344</v>
      </c>
      <c r="F317" s="213" t="s">
        <v>325</v>
      </c>
      <c r="G317" s="27">
        <f>G318</f>
        <v>310.70000000000005</v>
      </c>
      <c r="H317" s="27">
        <f>H318</f>
        <v>151.1</v>
      </c>
      <c r="I317" s="27">
        <f t="shared" si="320"/>
        <v>310.70000000000005</v>
      </c>
      <c r="J317" s="27">
        <f t="shared" si="320"/>
        <v>310.70000000000005</v>
      </c>
      <c r="K317" s="27">
        <f t="shared" si="320"/>
        <v>310.70000000000005</v>
      </c>
      <c r="L317" s="27">
        <f t="shared" si="320"/>
        <v>310.70000000000005</v>
      </c>
      <c r="M317" s="27">
        <f t="shared" si="321"/>
        <v>321.50000000000006</v>
      </c>
      <c r="N317" s="27">
        <f t="shared" si="321"/>
        <v>92.6</v>
      </c>
      <c r="O317" s="27">
        <f t="shared" si="280"/>
        <v>28.802488335925343</v>
      </c>
    </row>
    <row r="318" spans="1:15" ht="15.75">
      <c r="A318" s="26" t="s">
        <v>326</v>
      </c>
      <c r="B318" s="215">
        <v>903</v>
      </c>
      <c r="C318" s="213" t="s">
        <v>316</v>
      </c>
      <c r="D318" s="213" t="s">
        <v>267</v>
      </c>
      <c r="E318" s="213" t="s">
        <v>344</v>
      </c>
      <c r="F318" s="213" t="s">
        <v>327</v>
      </c>
      <c r="G318" s="27">
        <f>393.3-82.6</f>
        <v>310.70000000000005</v>
      </c>
      <c r="H318" s="27">
        <v>151.1</v>
      </c>
      <c r="I318" s="27">
        <f aca="true" t="shared" si="322" ref="I318:L318">393.3-82.6</f>
        <v>310.70000000000005</v>
      </c>
      <c r="J318" s="27">
        <f t="shared" si="322"/>
        <v>310.70000000000005</v>
      </c>
      <c r="K318" s="27">
        <f t="shared" si="322"/>
        <v>310.70000000000005</v>
      </c>
      <c r="L318" s="27">
        <f t="shared" si="322"/>
        <v>310.70000000000005</v>
      </c>
      <c r="M318" s="27">
        <f>393.3-82.6+10.8</f>
        <v>321.50000000000006</v>
      </c>
      <c r="N318" s="27">
        <v>92.6</v>
      </c>
      <c r="O318" s="27">
        <f t="shared" si="280"/>
        <v>28.802488335925343</v>
      </c>
    </row>
    <row r="319" spans="1:15" ht="110.25">
      <c r="A319" s="33" t="s">
        <v>345</v>
      </c>
      <c r="B319" s="215">
        <v>903</v>
      </c>
      <c r="C319" s="213" t="s">
        <v>316</v>
      </c>
      <c r="D319" s="213" t="s">
        <v>267</v>
      </c>
      <c r="E319" s="213" t="s">
        <v>346</v>
      </c>
      <c r="F319" s="213"/>
      <c r="G319" s="27">
        <f>G320</f>
        <v>599.7</v>
      </c>
      <c r="H319" s="27">
        <f>H320</f>
        <v>537.4</v>
      </c>
      <c r="I319" s="27">
        <f aca="true" t="shared" si="323" ref="I319:L320">I320</f>
        <v>599.7</v>
      </c>
      <c r="J319" s="27">
        <f t="shared" si="323"/>
        <v>599.7</v>
      </c>
      <c r="K319" s="27">
        <f t="shared" si="323"/>
        <v>599.7</v>
      </c>
      <c r="L319" s="27">
        <f t="shared" si="323"/>
        <v>599.7</v>
      </c>
      <c r="M319" s="27">
        <f aca="true" t="shared" si="324" ref="M319:N320">M320</f>
        <v>589.5</v>
      </c>
      <c r="N319" s="27">
        <f t="shared" si="324"/>
        <v>188.9</v>
      </c>
      <c r="O319" s="27">
        <f t="shared" si="280"/>
        <v>32.04410517387617</v>
      </c>
    </row>
    <row r="320" spans="1:15" ht="47.25">
      <c r="A320" s="26" t="s">
        <v>324</v>
      </c>
      <c r="B320" s="215">
        <v>903</v>
      </c>
      <c r="C320" s="213" t="s">
        <v>316</v>
      </c>
      <c r="D320" s="213" t="s">
        <v>267</v>
      </c>
      <c r="E320" s="213" t="s">
        <v>346</v>
      </c>
      <c r="F320" s="213" t="s">
        <v>325</v>
      </c>
      <c r="G320" s="27">
        <f>G321</f>
        <v>599.7</v>
      </c>
      <c r="H320" s="27">
        <f>H321</f>
        <v>537.4</v>
      </c>
      <c r="I320" s="27">
        <f t="shared" si="323"/>
        <v>599.7</v>
      </c>
      <c r="J320" s="27">
        <f t="shared" si="323"/>
        <v>599.7</v>
      </c>
      <c r="K320" s="27">
        <f t="shared" si="323"/>
        <v>599.7</v>
      </c>
      <c r="L320" s="27">
        <f t="shared" si="323"/>
        <v>599.7</v>
      </c>
      <c r="M320" s="27">
        <f t="shared" si="324"/>
        <v>589.5</v>
      </c>
      <c r="N320" s="27">
        <f t="shared" si="324"/>
        <v>188.9</v>
      </c>
      <c r="O320" s="27">
        <f t="shared" si="280"/>
        <v>32.04410517387617</v>
      </c>
    </row>
    <row r="321" spans="1:15" ht="15.75">
      <c r="A321" s="26" t="s">
        <v>326</v>
      </c>
      <c r="B321" s="215">
        <v>903</v>
      </c>
      <c r="C321" s="213" t="s">
        <v>316</v>
      </c>
      <c r="D321" s="213" t="s">
        <v>267</v>
      </c>
      <c r="E321" s="213" t="s">
        <v>346</v>
      </c>
      <c r="F321" s="213" t="s">
        <v>327</v>
      </c>
      <c r="G321" s="27">
        <f>600-0.3</f>
        <v>599.7</v>
      </c>
      <c r="H321" s="27">
        <v>537.4</v>
      </c>
      <c r="I321" s="27">
        <f aca="true" t="shared" si="325" ref="I321:L321">600-0.3</f>
        <v>599.7</v>
      </c>
      <c r="J321" s="27">
        <f t="shared" si="325"/>
        <v>599.7</v>
      </c>
      <c r="K321" s="27">
        <f t="shared" si="325"/>
        <v>599.7</v>
      </c>
      <c r="L321" s="27">
        <f t="shared" si="325"/>
        <v>599.7</v>
      </c>
      <c r="M321" s="27">
        <f>600-0.3-10.2</f>
        <v>589.5</v>
      </c>
      <c r="N321" s="27">
        <v>188.9</v>
      </c>
      <c r="O321" s="27">
        <f t="shared" si="280"/>
        <v>32.04410517387617</v>
      </c>
    </row>
    <row r="322" spans="1:15" ht="15.75" customHeight="1" hidden="1">
      <c r="A322" s="24" t="s">
        <v>347</v>
      </c>
      <c r="B322" s="212">
        <v>903</v>
      </c>
      <c r="C322" s="214" t="s">
        <v>316</v>
      </c>
      <c r="D322" s="214" t="s">
        <v>271</v>
      </c>
      <c r="E322" s="214"/>
      <c r="F322" s="214"/>
      <c r="G322" s="27">
        <f aca="true" t="shared" si="326" ref="G322:L324">G323</f>
        <v>0</v>
      </c>
      <c r="H322" s="27"/>
      <c r="I322" s="27">
        <f t="shared" si="326"/>
        <v>0</v>
      </c>
      <c r="J322" s="27">
        <f t="shared" si="326"/>
        <v>0</v>
      </c>
      <c r="K322" s="27">
        <f t="shared" si="326"/>
        <v>0</v>
      </c>
      <c r="L322" s="27">
        <f t="shared" si="326"/>
        <v>0</v>
      </c>
      <c r="M322" s="27">
        <f aca="true" t="shared" si="327" ref="M322:N326">M323</f>
        <v>0</v>
      </c>
      <c r="N322" s="27">
        <f t="shared" si="327"/>
        <v>0</v>
      </c>
      <c r="O322" s="22" t="e">
        <f t="shared" si="280"/>
        <v>#DIV/0!</v>
      </c>
    </row>
    <row r="323" spans="1:15" ht="15.75" customHeight="1" hidden="1">
      <c r="A323" s="26" t="s">
        <v>173</v>
      </c>
      <c r="B323" s="215">
        <v>903</v>
      </c>
      <c r="C323" s="213" t="s">
        <v>316</v>
      </c>
      <c r="D323" s="213" t="s">
        <v>271</v>
      </c>
      <c r="E323" s="213" t="s">
        <v>174</v>
      </c>
      <c r="F323" s="213"/>
      <c r="G323" s="27">
        <f t="shared" si="326"/>
        <v>0</v>
      </c>
      <c r="H323" s="27"/>
      <c r="I323" s="27">
        <f t="shared" si="326"/>
        <v>0</v>
      </c>
      <c r="J323" s="27">
        <f t="shared" si="326"/>
        <v>0</v>
      </c>
      <c r="K323" s="27">
        <f t="shared" si="326"/>
        <v>0</v>
      </c>
      <c r="L323" s="27">
        <f t="shared" si="326"/>
        <v>0</v>
      </c>
      <c r="M323" s="27">
        <f t="shared" si="327"/>
        <v>0</v>
      </c>
      <c r="N323" s="27">
        <f t="shared" si="327"/>
        <v>0</v>
      </c>
      <c r="O323" s="22" t="e">
        <f t="shared" si="280"/>
        <v>#DIV/0!</v>
      </c>
    </row>
    <row r="324" spans="1:15" ht="31.5" customHeight="1" hidden="1">
      <c r="A324" s="26" t="s">
        <v>237</v>
      </c>
      <c r="B324" s="215">
        <v>903</v>
      </c>
      <c r="C324" s="213" t="s">
        <v>316</v>
      </c>
      <c r="D324" s="213" t="s">
        <v>271</v>
      </c>
      <c r="E324" s="213" t="s">
        <v>238</v>
      </c>
      <c r="F324" s="213"/>
      <c r="G324" s="27">
        <f t="shared" si="326"/>
        <v>0</v>
      </c>
      <c r="H324" s="27"/>
      <c r="I324" s="27">
        <f t="shared" si="326"/>
        <v>0</v>
      </c>
      <c r="J324" s="27">
        <f t="shared" si="326"/>
        <v>0</v>
      </c>
      <c r="K324" s="27">
        <f t="shared" si="326"/>
        <v>0</v>
      </c>
      <c r="L324" s="27">
        <f t="shared" si="326"/>
        <v>0</v>
      </c>
      <c r="M324" s="27">
        <f t="shared" si="327"/>
        <v>0</v>
      </c>
      <c r="N324" s="27">
        <f t="shared" si="327"/>
        <v>0</v>
      </c>
      <c r="O324" s="22" t="e">
        <f t="shared" si="280"/>
        <v>#DIV/0!</v>
      </c>
    </row>
    <row r="325" spans="1:15" ht="31.5" customHeight="1" hidden="1">
      <c r="A325" s="38" t="s">
        <v>348</v>
      </c>
      <c r="B325" s="221">
        <v>903</v>
      </c>
      <c r="C325" s="213" t="s">
        <v>316</v>
      </c>
      <c r="D325" s="213" t="s">
        <v>271</v>
      </c>
      <c r="E325" s="213" t="s">
        <v>349</v>
      </c>
      <c r="F325" s="213"/>
      <c r="G325" s="27">
        <f aca="true" t="shared" si="328" ref="G325:L326">G326</f>
        <v>0</v>
      </c>
      <c r="H325" s="27"/>
      <c r="I325" s="27">
        <f t="shared" si="328"/>
        <v>0</v>
      </c>
      <c r="J325" s="27">
        <f t="shared" si="328"/>
        <v>0</v>
      </c>
      <c r="K325" s="27">
        <f t="shared" si="328"/>
        <v>0</v>
      </c>
      <c r="L325" s="27">
        <f t="shared" si="328"/>
        <v>0</v>
      </c>
      <c r="M325" s="27">
        <f t="shared" si="327"/>
        <v>0</v>
      </c>
      <c r="N325" s="27">
        <f t="shared" si="327"/>
        <v>0</v>
      </c>
      <c r="O325" s="22" t="e">
        <f t="shared" si="280"/>
        <v>#DIV/0!</v>
      </c>
    </row>
    <row r="326" spans="1:15" ht="15.75" customHeight="1" hidden="1">
      <c r="A326" s="26" t="s">
        <v>187</v>
      </c>
      <c r="B326" s="215">
        <v>903</v>
      </c>
      <c r="C326" s="213" t="s">
        <v>316</v>
      </c>
      <c r="D326" s="213" t="s">
        <v>271</v>
      </c>
      <c r="E326" s="213" t="s">
        <v>349</v>
      </c>
      <c r="F326" s="213" t="s">
        <v>197</v>
      </c>
      <c r="G326" s="27">
        <f t="shared" si="328"/>
        <v>0</v>
      </c>
      <c r="H326" s="27"/>
      <c r="I326" s="27">
        <f t="shared" si="328"/>
        <v>0</v>
      </c>
      <c r="J326" s="27">
        <f t="shared" si="328"/>
        <v>0</v>
      </c>
      <c r="K326" s="27">
        <f t="shared" si="328"/>
        <v>0</v>
      </c>
      <c r="L326" s="27">
        <f t="shared" si="328"/>
        <v>0</v>
      </c>
      <c r="M326" s="27">
        <f t="shared" si="327"/>
        <v>0</v>
      </c>
      <c r="N326" s="27">
        <f t="shared" si="327"/>
        <v>0</v>
      </c>
      <c r="O326" s="22" t="e">
        <f t="shared" si="280"/>
        <v>#DIV/0!</v>
      </c>
    </row>
    <row r="327" spans="1:15" ht="63" customHeight="1" hidden="1">
      <c r="A327" s="26" t="s">
        <v>236</v>
      </c>
      <c r="B327" s="215">
        <v>903</v>
      </c>
      <c r="C327" s="213" t="s">
        <v>316</v>
      </c>
      <c r="D327" s="213" t="s">
        <v>271</v>
      </c>
      <c r="E327" s="213" t="s">
        <v>349</v>
      </c>
      <c r="F327" s="213" t="s">
        <v>212</v>
      </c>
      <c r="G327" s="27"/>
      <c r="H327" s="27"/>
      <c r="I327" s="27"/>
      <c r="J327" s="27"/>
      <c r="K327" s="27"/>
      <c r="L327" s="27"/>
      <c r="M327" s="27"/>
      <c r="N327" s="27"/>
      <c r="O327" s="22" t="e">
        <f t="shared" si="280"/>
        <v>#DIV/0!</v>
      </c>
    </row>
    <row r="328" spans="1:15" ht="15.75">
      <c r="A328" s="24" t="s">
        <v>350</v>
      </c>
      <c r="B328" s="212">
        <v>903</v>
      </c>
      <c r="C328" s="214" t="s">
        <v>351</v>
      </c>
      <c r="D328" s="214"/>
      <c r="E328" s="214"/>
      <c r="F328" s="214"/>
      <c r="G328" s="22">
        <f aca="true" t="shared" si="329" ref="G328:M328">G329+G415</f>
        <v>61699.8</v>
      </c>
      <c r="H328" s="22">
        <f t="shared" si="329"/>
        <v>54459.8</v>
      </c>
      <c r="I328" s="22">
        <f t="shared" si="329"/>
        <v>62134.1843137255</v>
      </c>
      <c r="J328" s="22">
        <f t="shared" si="329"/>
        <v>72053.1</v>
      </c>
      <c r="K328" s="22">
        <f t="shared" si="329"/>
        <v>73293.1</v>
      </c>
      <c r="L328" s="22">
        <f t="shared" si="329"/>
        <v>74048.9</v>
      </c>
      <c r="M328" s="22">
        <f t="shared" si="329"/>
        <v>59918.1</v>
      </c>
      <c r="N328" s="22">
        <f aca="true" t="shared" si="330" ref="N328">N329+N415</f>
        <v>30066.300000000003</v>
      </c>
      <c r="O328" s="22">
        <f t="shared" si="280"/>
        <v>50.17899432725671</v>
      </c>
    </row>
    <row r="329" spans="1:15" ht="15.75">
      <c r="A329" s="24" t="s">
        <v>352</v>
      </c>
      <c r="B329" s="212">
        <v>903</v>
      </c>
      <c r="C329" s="214" t="s">
        <v>351</v>
      </c>
      <c r="D329" s="214" t="s">
        <v>170</v>
      </c>
      <c r="E329" s="214"/>
      <c r="F329" s="214"/>
      <c r="G329" s="22">
        <f aca="true" t="shared" si="331" ref="G329:M329">G330+G394+G390</f>
        <v>44421.00000000001</v>
      </c>
      <c r="H329" s="22">
        <f t="shared" si="331"/>
        <v>41967.9</v>
      </c>
      <c r="I329" s="22">
        <f t="shared" si="331"/>
        <v>44421.00000000001</v>
      </c>
      <c r="J329" s="22">
        <f t="shared" si="331"/>
        <v>52460.700000000004</v>
      </c>
      <c r="K329" s="22">
        <f t="shared" si="331"/>
        <v>53585</v>
      </c>
      <c r="L329" s="22">
        <f t="shared" si="331"/>
        <v>54232.700000000004</v>
      </c>
      <c r="M329" s="22">
        <f t="shared" si="331"/>
        <v>43285.7</v>
      </c>
      <c r="N329" s="22">
        <f aca="true" t="shared" si="332" ref="N329">N330+N394+N390</f>
        <v>21639.2</v>
      </c>
      <c r="O329" s="22">
        <f t="shared" si="280"/>
        <v>49.99156765398273</v>
      </c>
    </row>
    <row r="330" spans="1:15" ht="47.25">
      <c r="A330" s="26" t="s">
        <v>318</v>
      </c>
      <c r="B330" s="215">
        <v>903</v>
      </c>
      <c r="C330" s="213" t="s">
        <v>351</v>
      </c>
      <c r="D330" s="213" t="s">
        <v>170</v>
      </c>
      <c r="E330" s="213" t="s">
        <v>319</v>
      </c>
      <c r="F330" s="213"/>
      <c r="G330" s="27">
        <f>G331+G360</f>
        <v>42083.100000000006</v>
      </c>
      <c r="H330" s="27">
        <f aca="true" t="shared" si="333" ref="H330">H331+H360</f>
        <v>40923.3</v>
      </c>
      <c r="I330" s="27">
        <f aca="true" t="shared" si="334" ref="I330:L330">I331+I360</f>
        <v>42083.100000000006</v>
      </c>
      <c r="J330" s="27">
        <f>J331+J360</f>
        <v>50326.8</v>
      </c>
      <c r="K330" s="27">
        <f t="shared" si="334"/>
        <v>51451.1</v>
      </c>
      <c r="L330" s="27">
        <f t="shared" si="334"/>
        <v>52098.8</v>
      </c>
      <c r="M330" s="27">
        <f aca="true" t="shared" si="335" ref="M330:N330">M331+M360</f>
        <v>41201.399999999994</v>
      </c>
      <c r="N330" s="27">
        <f t="shared" si="335"/>
        <v>20707.5</v>
      </c>
      <c r="O330" s="27">
        <f t="shared" si="280"/>
        <v>50.25921449271142</v>
      </c>
    </row>
    <row r="331" spans="1:15" ht="63">
      <c r="A331" s="26" t="s">
        <v>353</v>
      </c>
      <c r="B331" s="215">
        <v>903</v>
      </c>
      <c r="C331" s="213" t="s">
        <v>351</v>
      </c>
      <c r="D331" s="213" t="s">
        <v>170</v>
      </c>
      <c r="E331" s="213" t="s">
        <v>354</v>
      </c>
      <c r="F331" s="213"/>
      <c r="G331" s="27">
        <f>G332+G353+G335+G338+G341+G344+G347+G350</f>
        <v>25422.5</v>
      </c>
      <c r="H331" s="27">
        <f aca="true" t="shared" si="336" ref="H331">H332+H353+H335+H338+H341+H344+H347+H350</f>
        <v>24267.699999999997</v>
      </c>
      <c r="I331" s="27">
        <f aca="true" t="shared" si="337" ref="I331:L331">I332+I353+I335+I338+I341+I344+I347+I350</f>
        <v>25422.5</v>
      </c>
      <c r="J331" s="27">
        <f t="shared" si="337"/>
        <v>30257.6</v>
      </c>
      <c r="K331" s="27">
        <f t="shared" si="337"/>
        <v>31110.899999999998</v>
      </c>
      <c r="L331" s="27">
        <f t="shared" si="337"/>
        <v>31536.199999999997</v>
      </c>
      <c r="M331" s="27">
        <f aca="true" t="shared" si="338" ref="M331:N331">M332+M353+M335+M338+M341+M344+M347+M350</f>
        <v>24175.1</v>
      </c>
      <c r="N331" s="27">
        <f t="shared" si="338"/>
        <v>12193.1</v>
      </c>
      <c r="O331" s="27">
        <f t="shared" si="280"/>
        <v>50.436606260160254</v>
      </c>
    </row>
    <row r="332" spans="1:15" ht="52.5" customHeight="1">
      <c r="A332" s="26" t="s">
        <v>355</v>
      </c>
      <c r="B332" s="215">
        <v>903</v>
      </c>
      <c r="C332" s="213" t="s">
        <v>351</v>
      </c>
      <c r="D332" s="213" t="s">
        <v>170</v>
      </c>
      <c r="E332" s="213" t="s">
        <v>356</v>
      </c>
      <c r="F332" s="213"/>
      <c r="G332" s="27">
        <f>G333</f>
        <v>23654.800000000003</v>
      </c>
      <c r="H332" s="27">
        <f aca="true" t="shared" si="339" ref="H332:L332">H333</f>
        <v>22500</v>
      </c>
      <c r="I332" s="27">
        <f t="shared" si="339"/>
        <v>23654.800000000003</v>
      </c>
      <c r="J332" s="27">
        <f t="shared" si="339"/>
        <v>26579.5</v>
      </c>
      <c r="K332" s="27">
        <f t="shared" si="339"/>
        <v>27182.8</v>
      </c>
      <c r="L332" s="27">
        <f t="shared" si="339"/>
        <v>27608.1</v>
      </c>
      <c r="M332" s="27">
        <f aca="true" t="shared" si="340" ref="M332:N333">M333</f>
        <v>23276.9</v>
      </c>
      <c r="N332" s="27">
        <f t="shared" si="340"/>
        <v>11440</v>
      </c>
      <c r="O332" s="27">
        <f t="shared" si="280"/>
        <v>49.14743801794913</v>
      </c>
    </row>
    <row r="333" spans="1:15" ht="47.25">
      <c r="A333" s="26" t="s">
        <v>324</v>
      </c>
      <c r="B333" s="215">
        <v>903</v>
      </c>
      <c r="C333" s="213" t="s">
        <v>351</v>
      </c>
      <c r="D333" s="213" t="s">
        <v>170</v>
      </c>
      <c r="E333" s="213" t="s">
        <v>356</v>
      </c>
      <c r="F333" s="213" t="s">
        <v>325</v>
      </c>
      <c r="G333" s="27">
        <f aca="true" t="shared" si="341" ref="G333:L333">G334</f>
        <v>23654.800000000003</v>
      </c>
      <c r="H333" s="27">
        <f t="shared" si="341"/>
        <v>22500</v>
      </c>
      <c r="I333" s="27">
        <f t="shared" si="341"/>
        <v>23654.800000000003</v>
      </c>
      <c r="J333" s="27">
        <f t="shared" si="341"/>
        <v>26579.5</v>
      </c>
      <c r="K333" s="27">
        <f t="shared" si="341"/>
        <v>27182.8</v>
      </c>
      <c r="L333" s="27">
        <f t="shared" si="341"/>
        <v>27608.1</v>
      </c>
      <c r="M333" s="27">
        <f t="shared" si="340"/>
        <v>23276.9</v>
      </c>
      <c r="N333" s="27">
        <f t="shared" si="340"/>
        <v>11440</v>
      </c>
      <c r="O333" s="27">
        <f aca="true" t="shared" si="342" ref="O333:O396">N333/M333*100</f>
        <v>49.14743801794913</v>
      </c>
    </row>
    <row r="334" spans="1:15" ht="15.75">
      <c r="A334" s="26" t="s">
        <v>326</v>
      </c>
      <c r="B334" s="215">
        <v>903</v>
      </c>
      <c r="C334" s="213" t="s">
        <v>351</v>
      </c>
      <c r="D334" s="213" t="s">
        <v>170</v>
      </c>
      <c r="E334" s="213" t="s">
        <v>356</v>
      </c>
      <c r="F334" s="213" t="s">
        <v>327</v>
      </c>
      <c r="G334" s="28">
        <f>25081.9+2671.4-3136.8-961.7</f>
        <v>23654.800000000003</v>
      </c>
      <c r="H334" s="28">
        <v>22500</v>
      </c>
      <c r="I334" s="28">
        <f aca="true" t="shared" si="343" ref="I334">25081.9+2671.4-3136.8-961.7</f>
        <v>23654.800000000003</v>
      </c>
      <c r="J334" s="28">
        <v>26579.5</v>
      </c>
      <c r="K334" s="28">
        <v>27182.8</v>
      </c>
      <c r="L334" s="28">
        <v>27608.1</v>
      </c>
      <c r="M334" s="28">
        <f>23616.9-340</f>
        <v>23276.9</v>
      </c>
      <c r="N334" s="28">
        <v>11440</v>
      </c>
      <c r="O334" s="27">
        <f t="shared" si="342"/>
        <v>49.14743801794913</v>
      </c>
    </row>
    <row r="335" spans="1:15" ht="47.25">
      <c r="A335" s="26" t="s">
        <v>798</v>
      </c>
      <c r="B335" s="215">
        <v>903</v>
      </c>
      <c r="C335" s="213" t="s">
        <v>351</v>
      </c>
      <c r="D335" s="213" t="s">
        <v>170</v>
      </c>
      <c r="E335" s="213" t="s">
        <v>357</v>
      </c>
      <c r="F335" s="213"/>
      <c r="G335" s="27">
        <f aca="true" t="shared" si="344" ref="G335:L336">G336</f>
        <v>96.1</v>
      </c>
      <c r="H335" s="27">
        <f t="shared" si="344"/>
        <v>96.1</v>
      </c>
      <c r="I335" s="27">
        <f t="shared" si="344"/>
        <v>96.1</v>
      </c>
      <c r="J335" s="27">
        <f t="shared" si="344"/>
        <v>650</v>
      </c>
      <c r="K335" s="27">
        <f t="shared" si="344"/>
        <v>800</v>
      </c>
      <c r="L335" s="27">
        <f t="shared" si="344"/>
        <v>900</v>
      </c>
      <c r="M335" s="27">
        <f aca="true" t="shared" si="345" ref="M335:N336">M336</f>
        <v>145.1</v>
      </c>
      <c r="N335" s="27">
        <f t="shared" si="345"/>
        <v>0</v>
      </c>
      <c r="O335" s="27">
        <f t="shared" si="342"/>
        <v>0</v>
      </c>
    </row>
    <row r="336" spans="1:15" ht="47.25">
      <c r="A336" s="26" t="s">
        <v>324</v>
      </c>
      <c r="B336" s="215">
        <v>903</v>
      </c>
      <c r="C336" s="213" t="s">
        <v>351</v>
      </c>
      <c r="D336" s="213" t="s">
        <v>170</v>
      </c>
      <c r="E336" s="213" t="s">
        <v>357</v>
      </c>
      <c r="F336" s="213" t="s">
        <v>325</v>
      </c>
      <c r="G336" s="27">
        <f t="shared" si="344"/>
        <v>96.1</v>
      </c>
      <c r="H336" s="27">
        <f t="shared" si="344"/>
        <v>96.1</v>
      </c>
      <c r="I336" s="27">
        <f t="shared" si="344"/>
        <v>96.1</v>
      </c>
      <c r="J336" s="27">
        <f t="shared" si="344"/>
        <v>650</v>
      </c>
      <c r="K336" s="27">
        <f t="shared" si="344"/>
        <v>800</v>
      </c>
      <c r="L336" s="27">
        <f t="shared" si="344"/>
        <v>900</v>
      </c>
      <c r="M336" s="27">
        <f t="shared" si="345"/>
        <v>145.1</v>
      </c>
      <c r="N336" s="27">
        <f t="shared" si="345"/>
        <v>0</v>
      </c>
      <c r="O336" s="27">
        <f t="shared" si="342"/>
        <v>0</v>
      </c>
    </row>
    <row r="337" spans="1:15" ht="15.75">
      <c r="A337" s="26" t="s">
        <v>326</v>
      </c>
      <c r="B337" s="215">
        <v>903</v>
      </c>
      <c r="C337" s="213" t="s">
        <v>351</v>
      </c>
      <c r="D337" s="213" t="s">
        <v>170</v>
      </c>
      <c r="E337" s="213" t="s">
        <v>357</v>
      </c>
      <c r="F337" s="213" t="s">
        <v>327</v>
      </c>
      <c r="G337" s="27">
        <v>96.1</v>
      </c>
      <c r="H337" s="27">
        <v>96.1</v>
      </c>
      <c r="I337" s="27">
        <v>96.1</v>
      </c>
      <c r="J337" s="27">
        <v>650</v>
      </c>
      <c r="K337" s="27">
        <v>800</v>
      </c>
      <c r="L337" s="27">
        <v>900</v>
      </c>
      <c r="M337" s="27">
        <v>145.1</v>
      </c>
      <c r="N337" s="27">
        <v>0</v>
      </c>
      <c r="O337" s="27">
        <f t="shared" si="342"/>
        <v>0</v>
      </c>
    </row>
    <row r="338" spans="1:15" ht="47.25" hidden="1">
      <c r="A338" s="26" t="s">
        <v>330</v>
      </c>
      <c r="B338" s="215">
        <v>903</v>
      </c>
      <c r="C338" s="213" t="s">
        <v>351</v>
      </c>
      <c r="D338" s="213" t="s">
        <v>170</v>
      </c>
      <c r="E338" s="213" t="s">
        <v>358</v>
      </c>
      <c r="F338" s="213"/>
      <c r="G338" s="27">
        <f aca="true" t="shared" si="346" ref="G338:L339">G339</f>
        <v>142.1</v>
      </c>
      <c r="H338" s="27">
        <f t="shared" si="346"/>
        <v>142.1</v>
      </c>
      <c r="I338" s="27">
        <f t="shared" si="346"/>
        <v>142.1</v>
      </c>
      <c r="J338" s="27">
        <f t="shared" si="346"/>
        <v>2000</v>
      </c>
      <c r="K338" s="27">
        <f t="shared" si="346"/>
        <v>1500</v>
      </c>
      <c r="L338" s="27">
        <f t="shared" si="346"/>
        <v>2000</v>
      </c>
      <c r="M338" s="27">
        <f aca="true" t="shared" si="347" ref="M338:N339">M339</f>
        <v>0</v>
      </c>
      <c r="N338" s="27">
        <f t="shared" si="347"/>
        <v>0</v>
      </c>
      <c r="O338" s="27" t="e">
        <f t="shared" si="342"/>
        <v>#DIV/0!</v>
      </c>
    </row>
    <row r="339" spans="1:15" ht="47.25" hidden="1">
      <c r="A339" s="26" t="s">
        <v>324</v>
      </c>
      <c r="B339" s="215">
        <v>903</v>
      </c>
      <c r="C339" s="213" t="s">
        <v>351</v>
      </c>
      <c r="D339" s="213" t="s">
        <v>170</v>
      </c>
      <c r="E339" s="213" t="s">
        <v>358</v>
      </c>
      <c r="F339" s="213" t="s">
        <v>325</v>
      </c>
      <c r="G339" s="27">
        <f>G340</f>
        <v>142.1</v>
      </c>
      <c r="H339" s="27">
        <f>H340</f>
        <v>142.1</v>
      </c>
      <c r="I339" s="27">
        <f t="shared" si="346"/>
        <v>142.1</v>
      </c>
      <c r="J339" s="27">
        <f t="shared" si="346"/>
        <v>2000</v>
      </c>
      <c r="K339" s="27">
        <f t="shared" si="346"/>
        <v>1500</v>
      </c>
      <c r="L339" s="27">
        <f t="shared" si="346"/>
        <v>2000</v>
      </c>
      <c r="M339" s="27">
        <f t="shared" si="347"/>
        <v>0</v>
      </c>
      <c r="N339" s="27">
        <f t="shared" si="347"/>
        <v>0</v>
      </c>
      <c r="O339" s="27" t="e">
        <f t="shared" si="342"/>
        <v>#DIV/0!</v>
      </c>
    </row>
    <row r="340" spans="1:15" ht="15.75" hidden="1">
      <c r="A340" s="26" t="s">
        <v>326</v>
      </c>
      <c r="B340" s="215">
        <v>903</v>
      </c>
      <c r="C340" s="213" t="s">
        <v>351</v>
      </c>
      <c r="D340" s="213" t="s">
        <v>170</v>
      </c>
      <c r="E340" s="213" t="s">
        <v>358</v>
      </c>
      <c r="F340" s="213" t="s">
        <v>327</v>
      </c>
      <c r="G340" s="27">
        <v>142.1</v>
      </c>
      <c r="H340" s="27">
        <v>142.1</v>
      </c>
      <c r="I340" s="27">
        <v>142.1</v>
      </c>
      <c r="J340" s="27">
        <v>2000</v>
      </c>
      <c r="K340" s="27">
        <v>1500</v>
      </c>
      <c r="L340" s="27">
        <v>2000</v>
      </c>
      <c r="M340" s="27">
        <v>0</v>
      </c>
      <c r="N340" s="27">
        <v>0</v>
      </c>
      <c r="O340" s="27" t="e">
        <f t="shared" si="342"/>
        <v>#DIV/0!</v>
      </c>
    </row>
    <row r="341" spans="1:15" ht="15.75" hidden="1">
      <c r="A341" s="26" t="s">
        <v>359</v>
      </c>
      <c r="B341" s="215">
        <v>903</v>
      </c>
      <c r="C341" s="213" t="s">
        <v>351</v>
      </c>
      <c r="D341" s="213" t="s">
        <v>170</v>
      </c>
      <c r="E341" s="213" t="s">
        <v>360</v>
      </c>
      <c r="F341" s="213"/>
      <c r="G341" s="27">
        <f>G342</f>
        <v>1529.5</v>
      </c>
      <c r="H341" s="27">
        <f>H342</f>
        <v>1529.5</v>
      </c>
      <c r="I341" s="27">
        <f aca="true" t="shared" si="348" ref="I341:L341">I342</f>
        <v>1529.5</v>
      </c>
      <c r="J341" s="27">
        <f t="shared" si="348"/>
        <v>0</v>
      </c>
      <c r="K341" s="27">
        <f t="shared" si="348"/>
        <v>0</v>
      </c>
      <c r="L341" s="27">
        <f t="shared" si="348"/>
        <v>0</v>
      </c>
      <c r="M341" s="27">
        <f aca="true" t="shared" si="349" ref="M341:N342">M342</f>
        <v>0</v>
      </c>
      <c r="N341" s="27">
        <f t="shared" si="349"/>
        <v>0</v>
      </c>
      <c r="O341" s="27" t="e">
        <f t="shared" si="342"/>
        <v>#DIV/0!</v>
      </c>
    </row>
    <row r="342" spans="1:15" ht="47.25" hidden="1">
      <c r="A342" s="26" t="s">
        <v>324</v>
      </c>
      <c r="B342" s="215">
        <v>903</v>
      </c>
      <c r="C342" s="213" t="s">
        <v>351</v>
      </c>
      <c r="D342" s="213" t="s">
        <v>170</v>
      </c>
      <c r="E342" s="213" t="s">
        <v>360</v>
      </c>
      <c r="F342" s="213" t="s">
        <v>325</v>
      </c>
      <c r="G342" s="27">
        <f aca="true" t="shared" si="350" ref="G342:L342">G343</f>
        <v>1529.5</v>
      </c>
      <c r="H342" s="27">
        <f t="shared" si="350"/>
        <v>1529.5</v>
      </c>
      <c r="I342" s="27">
        <f t="shared" si="350"/>
        <v>1529.5</v>
      </c>
      <c r="J342" s="27">
        <f t="shared" si="350"/>
        <v>0</v>
      </c>
      <c r="K342" s="27">
        <f t="shared" si="350"/>
        <v>0</v>
      </c>
      <c r="L342" s="27">
        <f t="shared" si="350"/>
        <v>0</v>
      </c>
      <c r="M342" s="27">
        <f t="shared" si="349"/>
        <v>0</v>
      </c>
      <c r="N342" s="27">
        <f t="shared" si="349"/>
        <v>0</v>
      </c>
      <c r="O342" s="27" t="e">
        <f t="shared" si="342"/>
        <v>#DIV/0!</v>
      </c>
    </row>
    <row r="343" spans="1:15" ht="15.75" hidden="1">
      <c r="A343" s="26" t="s">
        <v>326</v>
      </c>
      <c r="B343" s="215">
        <v>903</v>
      </c>
      <c r="C343" s="213" t="s">
        <v>351</v>
      </c>
      <c r="D343" s="213" t="s">
        <v>170</v>
      </c>
      <c r="E343" s="213" t="s">
        <v>360</v>
      </c>
      <c r="F343" s="213" t="s">
        <v>327</v>
      </c>
      <c r="G343" s="27">
        <f>411.9+1117.6</f>
        <v>1529.5</v>
      </c>
      <c r="H343" s="27">
        <f>411.9+1117.6</f>
        <v>1529.5</v>
      </c>
      <c r="I343" s="27">
        <f aca="true" t="shared" si="351" ref="I343">411.9+1117.6</f>
        <v>1529.5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 t="e">
        <f t="shared" si="342"/>
        <v>#DIV/0!</v>
      </c>
    </row>
    <row r="344" spans="1:15" ht="31.5" customHeight="1" hidden="1">
      <c r="A344" s="26" t="s">
        <v>336</v>
      </c>
      <c r="B344" s="215">
        <v>903</v>
      </c>
      <c r="C344" s="213" t="s">
        <v>351</v>
      </c>
      <c r="D344" s="213" t="s">
        <v>170</v>
      </c>
      <c r="E344" s="213" t="s">
        <v>337</v>
      </c>
      <c r="F344" s="213"/>
      <c r="G344" s="27">
        <f aca="true" t="shared" si="352" ref="G344:L345">G345</f>
        <v>0</v>
      </c>
      <c r="H344" s="27">
        <v>0</v>
      </c>
      <c r="I344" s="27">
        <f t="shared" si="352"/>
        <v>0</v>
      </c>
      <c r="J344" s="27">
        <f t="shared" si="352"/>
        <v>275</v>
      </c>
      <c r="K344" s="27">
        <f t="shared" si="352"/>
        <v>275</v>
      </c>
      <c r="L344" s="27">
        <f t="shared" si="352"/>
        <v>275</v>
      </c>
      <c r="M344" s="27">
        <f aca="true" t="shared" si="353" ref="M344:N345">M345</f>
        <v>0</v>
      </c>
      <c r="N344" s="27">
        <f t="shared" si="353"/>
        <v>0</v>
      </c>
      <c r="O344" s="27" t="e">
        <f t="shared" si="342"/>
        <v>#DIV/0!</v>
      </c>
    </row>
    <row r="345" spans="1:15" ht="47.25" customHeight="1" hidden="1">
      <c r="A345" s="26" t="s">
        <v>324</v>
      </c>
      <c r="B345" s="215">
        <v>903</v>
      </c>
      <c r="C345" s="213" t="s">
        <v>351</v>
      </c>
      <c r="D345" s="213" t="s">
        <v>170</v>
      </c>
      <c r="E345" s="213" t="s">
        <v>337</v>
      </c>
      <c r="F345" s="213" t="s">
        <v>325</v>
      </c>
      <c r="G345" s="27">
        <f t="shared" si="352"/>
        <v>0</v>
      </c>
      <c r="H345" s="27">
        <v>0</v>
      </c>
      <c r="I345" s="27">
        <f t="shared" si="352"/>
        <v>0</v>
      </c>
      <c r="J345" s="27">
        <f t="shared" si="352"/>
        <v>275</v>
      </c>
      <c r="K345" s="27">
        <f t="shared" si="352"/>
        <v>275</v>
      </c>
      <c r="L345" s="27">
        <f t="shared" si="352"/>
        <v>275</v>
      </c>
      <c r="M345" s="27">
        <f t="shared" si="353"/>
        <v>0</v>
      </c>
      <c r="N345" s="27">
        <f t="shared" si="353"/>
        <v>0</v>
      </c>
      <c r="O345" s="27" t="e">
        <f t="shared" si="342"/>
        <v>#DIV/0!</v>
      </c>
    </row>
    <row r="346" spans="1:15" ht="15.75" customHeight="1" hidden="1">
      <c r="A346" s="26" t="s">
        <v>326</v>
      </c>
      <c r="B346" s="215">
        <v>903</v>
      </c>
      <c r="C346" s="213" t="s">
        <v>351</v>
      </c>
      <c r="D346" s="213" t="s">
        <v>170</v>
      </c>
      <c r="E346" s="213" t="s">
        <v>337</v>
      </c>
      <c r="F346" s="213" t="s">
        <v>327</v>
      </c>
      <c r="G346" s="27">
        <v>0</v>
      </c>
      <c r="H346" s="27">
        <v>0</v>
      </c>
      <c r="I346" s="27">
        <v>0</v>
      </c>
      <c r="J346" s="27">
        <v>275</v>
      </c>
      <c r="K346" s="27">
        <v>275</v>
      </c>
      <c r="L346" s="27">
        <v>275</v>
      </c>
      <c r="M346" s="27">
        <v>0</v>
      </c>
      <c r="N346" s="27">
        <v>0</v>
      </c>
      <c r="O346" s="27" t="e">
        <f t="shared" si="342"/>
        <v>#DIV/0!</v>
      </c>
    </row>
    <row r="347" spans="1:15" ht="47.25" customHeight="1" hidden="1">
      <c r="A347" s="37" t="s">
        <v>339</v>
      </c>
      <c r="B347" s="215">
        <v>903</v>
      </c>
      <c r="C347" s="213" t="s">
        <v>351</v>
      </c>
      <c r="D347" s="213" t="s">
        <v>170</v>
      </c>
      <c r="E347" s="213" t="s">
        <v>361</v>
      </c>
      <c r="F347" s="213"/>
      <c r="G347" s="27">
        <f aca="true" t="shared" si="354" ref="G347:L348">G348</f>
        <v>0</v>
      </c>
      <c r="H347" s="27">
        <v>0</v>
      </c>
      <c r="I347" s="27">
        <f t="shared" si="354"/>
        <v>0</v>
      </c>
      <c r="J347" s="27">
        <f t="shared" si="354"/>
        <v>0</v>
      </c>
      <c r="K347" s="27">
        <f t="shared" si="354"/>
        <v>600</v>
      </c>
      <c r="L347" s="27">
        <f t="shared" si="354"/>
        <v>0</v>
      </c>
      <c r="M347" s="27">
        <f aca="true" t="shared" si="355" ref="M347:N348">M348</f>
        <v>0</v>
      </c>
      <c r="N347" s="27">
        <f t="shared" si="355"/>
        <v>0</v>
      </c>
      <c r="O347" s="27" t="e">
        <f t="shared" si="342"/>
        <v>#DIV/0!</v>
      </c>
    </row>
    <row r="348" spans="1:15" ht="47.25" customHeight="1" hidden="1">
      <c r="A348" s="26" t="s">
        <v>324</v>
      </c>
      <c r="B348" s="215">
        <v>903</v>
      </c>
      <c r="C348" s="213" t="s">
        <v>351</v>
      </c>
      <c r="D348" s="213" t="s">
        <v>170</v>
      </c>
      <c r="E348" s="213" t="s">
        <v>361</v>
      </c>
      <c r="F348" s="213" t="s">
        <v>325</v>
      </c>
      <c r="G348" s="27">
        <f t="shared" si="354"/>
        <v>0</v>
      </c>
      <c r="H348" s="27">
        <v>0</v>
      </c>
      <c r="I348" s="27">
        <f t="shared" si="354"/>
        <v>0</v>
      </c>
      <c r="J348" s="27">
        <f t="shared" si="354"/>
        <v>0</v>
      </c>
      <c r="K348" s="27">
        <f t="shared" si="354"/>
        <v>600</v>
      </c>
      <c r="L348" s="27">
        <f t="shared" si="354"/>
        <v>0</v>
      </c>
      <c r="M348" s="27">
        <f t="shared" si="355"/>
        <v>0</v>
      </c>
      <c r="N348" s="27">
        <f t="shared" si="355"/>
        <v>0</v>
      </c>
      <c r="O348" s="27" t="e">
        <f t="shared" si="342"/>
        <v>#DIV/0!</v>
      </c>
    </row>
    <row r="349" spans="1:15" ht="15.75" customHeight="1" hidden="1">
      <c r="A349" s="26" t="s">
        <v>326</v>
      </c>
      <c r="B349" s="215">
        <v>903</v>
      </c>
      <c r="C349" s="213" t="s">
        <v>351</v>
      </c>
      <c r="D349" s="213" t="s">
        <v>170</v>
      </c>
      <c r="E349" s="213" t="s">
        <v>361</v>
      </c>
      <c r="F349" s="213" t="s">
        <v>327</v>
      </c>
      <c r="G349" s="27">
        <v>0</v>
      </c>
      <c r="H349" s="27">
        <v>0</v>
      </c>
      <c r="I349" s="27">
        <v>0</v>
      </c>
      <c r="J349" s="27">
        <v>0</v>
      </c>
      <c r="K349" s="27">
        <v>600</v>
      </c>
      <c r="L349" s="27">
        <v>0</v>
      </c>
      <c r="M349" s="27">
        <v>0</v>
      </c>
      <c r="N349" s="27">
        <v>0</v>
      </c>
      <c r="O349" s="27" t="e">
        <f t="shared" si="342"/>
        <v>#DIV/0!</v>
      </c>
    </row>
    <row r="350" spans="1:15" ht="44.25" customHeight="1">
      <c r="A350" s="70" t="s">
        <v>865</v>
      </c>
      <c r="B350" s="215">
        <v>903</v>
      </c>
      <c r="C350" s="213" t="s">
        <v>351</v>
      </c>
      <c r="D350" s="213" t="s">
        <v>170</v>
      </c>
      <c r="E350" s="213" t="s">
        <v>870</v>
      </c>
      <c r="F350" s="213"/>
      <c r="G350" s="27">
        <f aca="true" t="shared" si="356" ref="G350:G351">G351</f>
        <v>0</v>
      </c>
      <c r="H350" s="27">
        <v>0</v>
      </c>
      <c r="I350" s="27">
        <f>I351</f>
        <v>0</v>
      </c>
      <c r="J350" s="27">
        <f aca="true" t="shared" si="357" ref="J350:L351">J351</f>
        <v>753.1</v>
      </c>
      <c r="K350" s="27">
        <f t="shared" si="357"/>
        <v>753.1</v>
      </c>
      <c r="L350" s="27">
        <f t="shared" si="357"/>
        <v>753.1</v>
      </c>
      <c r="M350" s="27">
        <f>M351</f>
        <v>753.1</v>
      </c>
      <c r="N350" s="27">
        <f aca="true" t="shared" si="358" ref="N350:N351">N351</f>
        <v>753.1</v>
      </c>
      <c r="O350" s="27">
        <f t="shared" si="342"/>
        <v>100</v>
      </c>
    </row>
    <row r="351" spans="1:15" ht="54.75" customHeight="1">
      <c r="A351" s="31" t="s">
        <v>324</v>
      </c>
      <c r="B351" s="215">
        <v>903</v>
      </c>
      <c r="C351" s="213" t="s">
        <v>351</v>
      </c>
      <c r="D351" s="213" t="s">
        <v>170</v>
      </c>
      <c r="E351" s="213" t="s">
        <v>870</v>
      </c>
      <c r="F351" s="213" t="s">
        <v>325</v>
      </c>
      <c r="G351" s="27">
        <f t="shared" si="356"/>
        <v>0</v>
      </c>
      <c r="H351" s="27">
        <v>0</v>
      </c>
      <c r="I351" s="27">
        <f>I352</f>
        <v>0</v>
      </c>
      <c r="J351" s="27">
        <f t="shared" si="357"/>
        <v>753.1</v>
      </c>
      <c r="K351" s="27">
        <f t="shared" si="357"/>
        <v>753.1</v>
      </c>
      <c r="L351" s="27">
        <f t="shared" si="357"/>
        <v>753.1</v>
      </c>
      <c r="M351" s="27">
        <f>M352</f>
        <v>753.1</v>
      </c>
      <c r="N351" s="27">
        <f t="shared" si="358"/>
        <v>753.1</v>
      </c>
      <c r="O351" s="27">
        <f t="shared" si="342"/>
        <v>100</v>
      </c>
    </row>
    <row r="352" spans="1:15" ht="15.75" customHeight="1">
      <c r="A352" s="256" t="s">
        <v>326</v>
      </c>
      <c r="B352" s="215">
        <v>903</v>
      </c>
      <c r="C352" s="213" t="s">
        <v>351</v>
      </c>
      <c r="D352" s="213" t="s">
        <v>170</v>
      </c>
      <c r="E352" s="213" t="s">
        <v>870</v>
      </c>
      <c r="F352" s="213" t="s">
        <v>327</v>
      </c>
      <c r="G352" s="27">
        <v>0</v>
      </c>
      <c r="H352" s="27">
        <v>0</v>
      </c>
      <c r="I352" s="27">
        <v>0</v>
      </c>
      <c r="J352" s="27">
        <v>753.1</v>
      </c>
      <c r="K352" s="27">
        <v>753.1</v>
      </c>
      <c r="L352" s="27">
        <v>753.1</v>
      </c>
      <c r="M352" s="27">
        <v>753.1</v>
      </c>
      <c r="N352" s="27">
        <v>753.1</v>
      </c>
      <c r="O352" s="27">
        <f t="shared" si="342"/>
        <v>100</v>
      </c>
    </row>
    <row r="353" spans="1:15" ht="47.25" customHeight="1" hidden="1">
      <c r="A353" s="26" t="s">
        <v>362</v>
      </c>
      <c r="B353" s="215">
        <v>903</v>
      </c>
      <c r="C353" s="213" t="s">
        <v>351</v>
      </c>
      <c r="D353" s="213" t="s">
        <v>170</v>
      </c>
      <c r="E353" s="213" t="s">
        <v>363</v>
      </c>
      <c r="F353" s="213"/>
      <c r="G353" s="27">
        <f aca="true" t="shared" si="359" ref="G353:L353">G354+G356+G358</f>
        <v>0</v>
      </c>
      <c r="H353" s="27"/>
      <c r="I353" s="27">
        <f t="shared" si="359"/>
        <v>0</v>
      </c>
      <c r="J353" s="27">
        <f t="shared" si="359"/>
        <v>0</v>
      </c>
      <c r="K353" s="27">
        <f t="shared" si="359"/>
        <v>0</v>
      </c>
      <c r="L353" s="27">
        <f t="shared" si="359"/>
        <v>0</v>
      </c>
      <c r="M353" s="27">
        <f aca="true" t="shared" si="360" ref="M353:N353">M354+M356+M358</f>
        <v>0</v>
      </c>
      <c r="N353" s="27">
        <f t="shared" si="360"/>
        <v>0</v>
      </c>
      <c r="O353" s="27" t="e">
        <f t="shared" si="342"/>
        <v>#DIV/0!</v>
      </c>
    </row>
    <row r="354" spans="1:15" ht="94.5" customHeight="1" hidden="1">
      <c r="A354" s="26" t="s">
        <v>179</v>
      </c>
      <c r="B354" s="215">
        <v>903</v>
      </c>
      <c r="C354" s="213" t="s">
        <v>351</v>
      </c>
      <c r="D354" s="213" t="s">
        <v>170</v>
      </c>
      <c r="E354" s="213" t="s">
        <v>363</v>
      </c>
      <c r="F354" s="213" t="s">
        <v>180</v>
      </c>
      <c r="G354" s="27">
        <f aca="true" t="shared" si="361" ref="G354:L354">G355</f>
        <v>0</v>
      </c>
      <c r="H354" s="27"/>
      <c r="I354" s="27">
        <f t="shared" si="361"/>
        <v>0</v>
      </c>
      <c r="J354" s="27">
        <f t="shared" si="361"/>
        <v>0</v>
      </c>
      <c r="K354" s="27">
        <f t="shared" si="361"/>
        <v>0</v>
      </c>
      <c r="L354" s="27">
        <f t="shared" si="361"/>
        <v>0</v>
      </c>
      <c r="M354" s="27">
        <f aca="true" t="shared" si="362" ref="M354:N354">M355</f>
        <v>0</v>
      </c>
      <c r="N354" s="27">
        <f t="shared" si="362"/>
        <v>0</v>
      </c>
      <c r="O354" s="27" t="e">
        <f t="shared" si="342"/>
        <v>#DIV/0!</v>
      </c>
    </row>
    <row r="355" spans="1:15" ht="31.5" customHeight="1" hidden="1">
      <c r="A355" s="26" t="s">
        <v>260</v>
      </c>
      <c r="B355" s="215">
        <v>903</v>
      </c>
      <c r="C355" s="213" t="s">
        <v>351</v>
      </c>
      <c r="D355" s="213" t="s">
        <v>170</v>
      </c>
      <c r="E355" s="213" t="s">
        <v>363</v>
      </c>
      <c r="F355" s="213" t="s">
        <v>261</v>
      </c>
      <c r="G355" s="28">
        <v>0</v>
      </c>
      <c r="H355" s="28"/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7" t="e">
        <f t="shared" si="342"/>
        <v>#DIV/0!</v>
      </c>
    </row>
    <row r="356" spans="1:15" ht="31.5" customHeight="1" hidden="1">
      <c r="A356" s="26" t="s">
        <v>183</v>
      </c>
      <c r="B356" s="215">
        <v>903</v>
      </c>
      <c r="C356" s="213" t="s">
        <v>351</v>
      </c>
      <c r="D356" s="213" t="s">
        <v>170</v>
      </c>
      <c r="E356" s="213" t="s">
        <v>363</v>
      </c>
      <c r="F356" s="213" t="s">
        <v>184</v>
      </c>
      <c r="G356" s="27">
        <f aca="true" t="shared" si="363" ref="G356:L356">G357</f>
        <v>0</v>
      </c>
      <c r="H356" s="27"/>
      <c r="I356" s="27">
        <f t="shared" si="363"/>
        <v>0</v>
      </c>
      <c r="J356" s="27">
        <f t="shared" si="363"/>
        <v>0</v>
      </c>
      <c r="K356" s="27">
        <f t="shared" si="363"/>
        <v>0</v>
      </c>
      <c r="L356" s="27">
        <f t="shared" si="363"/>
        <v>0</v>
      </c>
      <c r="M356" s="27">
        <f aca="true" t="shared" si="364" ref="M356:N356">M357</f>
        <v>0</v>
      </c>
      <c r="N356" s="27">
        <f t="shared" si="364"/>
        <v>0</v>
      </c>
      <c r="O356" s="27" t="e">
        <f t="shared" si="342"/>
        <v>#DIV/0!</v>
      </c>
    </row>
    <row r="357" spans="1:15" ht="47.25" customHeight="1" hidden="1">
      <c r="A357" s="26" t="s">
        <v>185</v>
      </c>
      <c r="B357" s="215">
        <v>903</v>
      </c>
      <c r="C357" s="213" t="s">
        <v>351</v>
      </c>
      <c r="D357" s="213" t="s">
        <v>170</v>
      </c>
      <c r="E357" s="213" t="s">
        <v>363</v>
      </c>
      <c r="F357" s="213" t="s">
        <v>186</v>
      </c>
      <c r="G357" s="28">
        <v>0</v>
      </c>
      <c r="H357" s="28"/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7" t="e">
        <f t="shared" si="342"/>
        <v>#DIV/0!</v>
      </c>
    </row>
    <row r="358" spans="1:15" ht="15.75" customHeight="1" hidden="1">
      <c r="A358" s="26" t="s">
        <v>187</v>
      </c>
      <c r="B358" s="215">
        <v>903</v>
      </c>
      <c r="C358" s="213" t="s">
        <v>351</v>
      </c>
      <c r="D358" s="213" t="s">
        <v>170</v>
      </c>
      <c r="E358" s="213" t="s">
        <v>363</v>
      </c>
      <c r="F358" s="213" t="s">
        <v>197</v>
      </c>
      <c r="G358" s="27">
        <f aca="true" t="shared" si="365" ref="G358:L358">G359</f>
        <v>0</v>
      </c>
      <c r="H358" s="27"/>
      <c r="I358" s="27">
        <f t="shared" si="365"/>
        <v>0</v>
      </c>
      <c r="J358" s="27">
        <f t="shared" si="365"/>
        <v>0</v>
      </c>
      <c r="K358" s="27">
        <f t="shared" si="365"/>
        <v>0</v>
      </c>
      <c r="L358" s="27">
        <f t="shared" si="365"/>
        <v>0</v>
      </c>
      <c r="M358" s="27">
        <f aca="true" t="shared" si="366" ref="M358:N358">M359</f>
        <v>0</v>
      </c>
      <c r="N358" s="27">
        <f t="shared" si="366"/>
        <v>0</v>
      </c>
      <c r="O358" s="27" t="e">
        <f t="shared" si="342"/>
        <v>#DIV/0!</v>
      </c>
    </row>
    <row r="359" spans="1:15" ht="15.75" customHeight="1" hidden="1">
      <c r="A359" s="26" t="s">
        <v>189</v>
      </c>
      <c r="B359" s="215">
        <v>903</v>
      </c>
      <c r="C359" s="213" t="s">
        <v>351</v>
      </c>
      <c r="D359" s="213" t="s">
        <v>170</v>
      </c>
      <c r="E359" s="213" t="s">
        <v>363</v>
      </c>
      <c r="F359" s="213" t="s">
        <v>190</v>
      </c>
      <c r="G359" s="27">
        <v>0</v>
      </c>
      <c r="H359" s="27"/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 t="e">
        <f t="shared" si="342"/>
        <v>#DIV/0!</v>
      </c>
    </row>
    <row r="360" spans="1:15" ht="47.25">
      <c r="A360" s="26" t="s">
        <v>364</v>
      </c>
      <c r="B360" s="215">
        <v>903</v>
      </c>
      <c r="C360" s="213" t="s">
        <v>351</v>
      </c>
      <c r="D360" s="213" t="s">
        <v>170</v>
      </c>
      <c r="E360" s="213" t="s">
        <v>365</v>
      </c>
      <c r="F360" s="213"/>
      <c r="G360" s="27">
        <f>G361+G384+G372+G375+G378+G381+G364+G369+G387</f>
        <v>16660.600000000002</v>
      </c>
      <c r="H360" s="27">
        <f>H361+H384+H372+H375+H378+H381+H364+H369</f>
        <v>16655.600000000002</v>
      </c>
      <c r="I360" s="27">
        <f aca="true" t="shared" si="367" ref="I360:L360">I361+I384+I372+I375+I378+I381+I364+I369+I387</f>
        <v>16660.600000000002</v>
      </c>
      <c r="J360" s="27">
        <f t="shared" si="367"/>
        <v>20069.2</v>
      </c>
      <c r="K360" s="27">
        <f t="shared" si="367"/>
        <v>20340.2</v>
      </c>
      <c r="L360" s="27">
        <f t="shared" si="367"/>
        <v>20562.600000000002</v>
      </c>
      <c r="M360" s="27">
        <f>M361+M384+M372+M375+M378+M381+M364+M369+M387</f>
        <v>17026.3</v>
      </c>
      <c r="N360" s="27">
        <f aca="true" t="shared" si="368" ref="N360">N361+N384+N372+N375+N378+N381+N364+N369+N387</f>
        <v>8514.4</v>
      </c>
      <c r="O360" s="27">
        <f t="shared" si="342"/>
        <v>50.007341583315224</v>
      </c>
    </row>
    <row r="361" spans="1:15" ht="51" customHeight="1">
      <c r="A361" s="26" t="s">
        <v>355</v>
      </c>
      <c r="B361" s="215">
        <v>903</v>
      </c>
      <c r="C361" s="213" t="s">
        <v>351</v>
      </c>
      <c r="D361" s="213" t="s">
        <v>170</v>
      </c>
      <c r="E361" s="213" t="s">
        <v>366</v>
      </c>
      <c r="F361" s="213"/>
      <c r="G361" s="27">
        <f>G362</f>
        <v>16655.2</v>
      </c>
      <c r="H361" s="27">
        <f>H362</f>
        <v>16655.2</v>
      </c>
      <c r="I361" s="27">
        <f aca="true" t="shared" si="369" ref="I361:L361">I362</f>
        <v>16655.2</v>
      </c>
      <c r="J361" s="27">
        <f t="shared" si="369"/>
        <v>19144</v>
      </c>
      <c r="K361" s="27">
        <f t="shared" si="369"/>
        <v>19415</v>
      </c>
      <c r="L361" s="27">
        <f t="shared" si="369"/>
        <v>19637.4</v>
      </c>
      <c r="M361" s="27">
        <f aca="true" t="shared" si="370" ref="M361:N362">M362</f>
        <v>16370.599999999999</v>
      </c>
      <c r="N361" s="27">
        <f t="shared" si="370"/>
        <v>7864.2</v>
      </c>
      <c r="O361" s="27">
        <f t="shared" si="342"/>
        <v>48.0385569252196</v>
      </c>
    </row>
    <row r="362" spans="1:15" ht="47.25">
      <c r="A362" s="26" t="s">
        <v>324</v>
      </c>
      <c r="B362" s="215">
        <v>903</v>
      </c>
      <c r="C362" s="213" t="s">
        <v>351</v>
      </c>
      <c r="D362" s="213" t="s">
        <v>170</v>
      </c>
      <c r="E362" s="213" t="s">
        <v>366</v>
      </c>
      <c r="F362" s="213" t="s">
        <v>325</v>
      </c>
      <c r="G362" s="27">
        <f aca="true" t="shared" si="371" ref="G362:L362">G363</f>
        <v>16655.2</v>
      </c>
      <c r="H362" s="27">
        <f t="shared" si="371"/>
        <v>16655.2</v>
      </c>
      <c r="I362" s="27">
        <f t="shared" si="371"/>
        <v>16655.2</v>
      </c>
      <c r="J362" s="27">
        <f t="shared" si="371"/>
        <v>19144</v>
      </c>
      <c r="K362" s="27">
        <f t="shared" si="371"/>
        <v>19415</v>
      </c>
      <c r="L362" s="27">
        <f t="shared" si="371"/>
        <v>19637.4</v>
      </c>
      <c r="M362" s="27">
        <f t="shared" si="370"/>
        <v>16370.599999999999</v>
      </c>
      <c r="N362" s="27">
        <f t="shared" si="370"/>
        <v>7864.2</v>
      </c>
      <c r="O362" s="27">
        <f t="shared" si="342"/>
        <v>48.0385569252196</v>
      </c>
    </row>
    <row r="363" spans="1:15" ht="15.75">
      <c r="A363" s="26" t="s">
        <v>326</v>
      </c>
      <c r="B363" s="215">
        <v>903</v>
      </c>
      <c r="C363" s="213" t="s">
        <v>351</v>
      </c>
      <c r="D363" s="213" t="s">
        <v>170</v>
      </c>
      <c r="E363" s="213" t="s">
        <v>366</v>
      </c>
      <c r="F363" s="213" t="s">
        <v>327</v>
      </c>
      <c r="G363" s="28">
        <f>18073+419.6-1705.8+78.4-210</f>
        <v>16655.2</v>
      </c>
      <c r="H363" s="28">
        <f>18073+419.6-1705.8+78.4-210</f>
        <v>16655.2</v>
      </c>
      <c r="I363" s="28">
        <f aca="true" t="shared" si="372" ref="I363">18073+419.6-1705.8+78.4-210</f>
        <v>16655.2</v>
      </c>
      <c r="J363" s="28">
        <v>19144</v>
      </c>
      <c r="K363" s="28">
        <v>19415</v>
      </c>
      <c r="L363" s="28">
        <v>19637.4</v>
      </c>
      <c r="M363" s="28">
        <f>16823.8-453.2</f>
        <v>16370.599999999999</v>
      </c>
      <c r="N363" s="28">
        <v>7864.2</v>
      </c>
      <c r="O363" s="27">
        <f t="shared" si="342"/>
        <v>48.0385569252196</v>
      </c>
    </row>
    <row r="364" spans="1:15" ht="38.25" customHeight="1">
      <c r="A364" s="26" t="s">
        <v>367</v>
      </c>
      <c r="B364" s="215">
        <v>903</v>
      </c>
      <c r="C364" s="213" t="s">
        <v>351</v>
      </c>
      <c r="D364" s="213" t="s">
        <v>170</v>
      </c>
      <c r="E364" s="213" t="s">
        <v>368</v>
      </c>
      <c r="F364" s="213"/>
      <c r="G364" s="28">
        <f aca="true" t="shared" si="373" ref="G364:L364">G365+G367</f>
        <v>5</v>
      </c>
      <c r="H364" s="28">
        <f t="shared" si="373"/>
        <v>0</v>
      </c>
      <c r="I364" s="28">
        <f t="shared" si="373"/>
        <v>5</v>
      </c>
      <c r="J364" s="28">
        <f t="shared" si="373"/>
        <v>0</v>
      </c>
      <c r="K364" s="28">
        <f t="shared" si="373"/>
        <v>0</v>
      </c>
      <c r="L364" s="28">
        <f t="shared" si="373"/>
        <v>0</v>
      </c>
      <c r="M364" s="28">
        <f aca="true" t="shared" si="374" ref="M364:N364">M365+M367</f>
        <v>5</v>
      </c>
      <c r="N364" s="28">
        <f t="shared" si="374"/>
        <v>0</v>
      </c>
      <c r="O364" s="27">
        <f t="shared" si="342"/>
        <v>0</v>
      </c>
    </row>
    <row r="365" spans="1:15" ht="31.5" customHeight="1" hidden="1">
      <c r="A365" s="26" t="s">
        <v>183</v>
      </c>
      <c r="B365" s="215">
        <v>903</v>
      </c>
      <c r="C365" s="213" t="s">
        <v>351</v>
      </c>
      <c r="D365" s="213" t="s">
        <v>170</v>
      </c>
      <c r="E365" s="213" t="s">
        <v>368</v>
      </c>
      <c r="F365" s="213" t="s">
        <v>184</v>
      </c>
      <c r="G365" s="28">
        <f aca="true" t="shared" si="375" ref="G365:L365">G366</f>
        <v>0</v>
      </c>
      <c r="H365" s="28">
        <f t="shared" si="375"/>
        <v>0</v>
      </c>
      <c r="I365" s="28">
        <f t="shared" si="375"/>
        <v>0</v>
      </c>
      <c r="J365" s="28">
        <f t="shared" si="375"/>
        <v>0</v>
      </c>
      <c r="K365" s="28">
        <f t="shared" si="375"/>
        <v>0</v>
      </c>
      <c r="L365" s="28">
        <f t="shared" si="375"/>
        <v>0</v>
      </c>
      <c r="M365" s="28">
        <f aca="true" t="shared" si="376" ref="M365:N365">M366</f>
        <v>0</v>
      </c>
      <c r="N365" s="28">
        <f t="shared" si="376"/>
        <v>0</v>
      </c>
      <c r="O365" s="27" t="e">
        <f t="shared" si="342"/>
        <v>#DIV/0!</v>
      </c>
    </row>
    <row r="366" spans="1:15" ht="47.25" customHeight="1" hidden="1">
      <c r="A366" s="26" t="s">
        <v>185</v>
      </c>
      <c r="B366" s="215">
        <v>903</v>
      </c>
      <c r="C366" s="213" t="s">
        <v>351</v>
      </c>
      <c r="D366" s="213" t="s">
        <v>170</v>
      </c>
      <c r="E366" s="213" t="s">
        <v>368</v>
      </c>
      <c r="F366" s="213" t="s">
        <v>186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7" t="e">
        <f t="shared" si="342"/>
        <v>#DIV/0!</v>
      </c>
    </row>
    <row r="367" spans="1:15" ht="47.25">
      <c r="A367" s="26" t="s">
        <v>324</v>
      </c>
      <c r="B367" s="215">
        <v>903</v>
      </c>
      <c r="C367" s="213" t="s">
        <v>351</v>
      </c>
      <c r="D367" s="213" t="s">
        <v>170</v>
      </c>
      <c r="E367" s="213" t="s">
        <v>368</v>
      </c>
      <c r="F367" s="213" t="s">
        <v>325</v>
      </c>
      <c r="G367" s="28">
        <f>G368</f>
        <v>5</v>
      </c>
      <c r="H367" s="28">
        <f>H368</f>
        <v>0</v>
      </c>
      <c r="I367" s="28">
        <f aca="true" t="shared" si="377" ref="I367:L367">I368</f>
        <v>5</v>
      </c>
      <c r="J367" s="28">
        <f t="shared" si="377"/>
        <v>0</v>
      </c>
      <c r="K367" s="28">
        <f t="shared" si="377"/>
        <v>0</v>
      </c>
      <c r="L367" s="28">
        <f t="shared" si="377"/>
        <v>0</v>
      </c>
      <c r="M367" s="28">
        <f aca="true" t="shared" si="378" ref="M367:N367">M368</f>
        <v>5</v>
      </c>
      <c r="N367" s="28">
        <f t="shared" si="378"/>
        <v>0</v>
      </c>
      <c r="O367" s="27">
        <f t="shared" si="342"/>
        <v>0</v>
      </c>
    </row>
    <row r="368" spans="1:15" ht="15.75">
      <c r="A368" s="26" t="s">
        <v>326</v>
      </c>
      <c r="B368" s="215">
        <v>903</v>
      </c>
      <c r="C368" s="213" t="s">
        <v>351</v>
      </c>
      <c r="D368" s="213" t="s">
        <v>170</v>
      </c>
      <c r="E368" s="213" t="s">
        <v>368</v>
      </c>
      <c r="F368" s="213" t="s">
        <v>327</v>
      </c>
      <c r="G368" s="28">
        <v>5</v>
      </c>
      <c r="H368" s="28">
        <v>0</v>
      </c>
      <c r="I368" s="28">
        <v>5</v>
      </c>
      <c r="J368" s="28"/>
      <c r="K368" s="28"/>
      <c r="L368" s="28"/>
      <c r="M368" s="28">
        <v>5</v>
      </c>
      <c r="N368" s="28">
        <v>0</v>
      </c>
      <c r="O368" s="27">
        <f t="shared" si="342"/>
        <v>0</v>
      </c>
    </row>
    <row r="369" spans="1:15" ht="15.75">
      <c r="A369" s="26" t="s">
        <v>766</v>
      </c>
      <c r="B369" s="215">
        <v>903</v>
      </c>
      <c r="C369" s="213" t="s">
        <v>351</v>
      </c>
      <c r="D369" s="213" t="s">
        <v>170</v>
      </c>
      <c r="E369" s="213" t="s">
        <v>767</v>
      </c>
      <c r="F369" s="213"/>
      <c r="G369" s="28">
        <f>G370</f>
        <v>0.4</v>
      </c>
      <c r="H369" s="28">
        <f>H370</f>
        <v>0.4</v>
      </c>
      <c r="I369" s="28">
        <f aca="true" t="shared" si="379" ref="I369:L370">I370</f>
        <v>0.4</v>
      </c>
      <c r="J369" s="28">
        <f t="shared" si="379"/>
        <v>0</v>
      </c>
      <c r="K369" s="28">
        <f t="shared" si="379"/>
        <v>0</v>
      </c>
      <c r="L369" s="28">
        <f t="shared" si="379"/>
        <v>0</v>
      </c>
      <c r="M369" s="28">
        <f aca="true" t="shared" si="380" ref="M369:N370">M370</f>
        <v>0.5</v>
      </c>
      <c r="N369" s="28">
        <f t="shared" si="380"/>
        <v>0</v>
      </c>
      <c r="O369" s="27">
        <f t="shared" si="342"/>
        <v>0</v>
      </c>
    </row>
    <row r="370" spans="1:15" ht="47.25">
      <c r="A370" s="26" t="s">
        <v>324</v>
      </c>
      <c r="B370" s="215">
        <v>903</v>
      </c>
      <c r="C370" s="213" t="s">
        <v>351</v>
      </c>
      <c r="D370" s="213" t="s">
        <v>170</v>
      </c>
      <c r="E370" s="213" t="s">
        <v>767</v>
      </c>
      <c r="F370" s="213" t="s">
        <v>325</v>
      </c>
      <c r="G370" s="28">
        <f>G371</f>
        <v>0.4</v>
      </c>
      <c r="H370" s="28">
        <f>H371</f>
        <v>0.4</v>
      </c>
      <c r="I370" s="28">
        <f t="shared" si="379"/>
        <v>0.4</v>
      </c>
      <c r="J370" s="28">
        <f t="shared" si="379"/>
        <v>0</v>
      </c>
      <c r="K370" s="28">
        <f t="shared" si="379"/>
        <v>0</v>
      </c>
      <c r="L370" s="28">
        <f t="shared" si="379"/>
        <v>0</v>
      </c>
      <c r="M370" s="28">
        <f t="shared" si="380"/>
        <v>0.5</v>
      </c>
      <c r="N370" s="28">
        <f t="shared" si="380"/>
        <v>0</v>
      </c>
      <c r="O370" s="27">
        <f t="shared" si="342"/>
        <v>0</v>
      </c>
    </row>
    <row r="371" spans="1:15" ht="15.75">
      <c r="A371" s="26" t="s">
        <v>326</v>
      </c>
      <c r="B371" s="215">
        <v>903</v>
      </c>
      <c r="C371" s="213" t="s">
        <v>351</v>
      </c>
      <c r="D371" s="213" t="s">
        <v>170</v>
      </c>
      <c r="E371" s="213" t="s">
        <v>767</v>
      </c>
      <c r="F371" s="213" t="s">
        <v>327</v>
      </c>
      <c r="G371" s="28">
        <v>0.4</v>
      </c>
      <c r="H371" s="28">
        <v>0.4</v>
      </c>
      <c r="I371" s="28">
        <v>0.4</v>
      </c>
      <c r="J371" s="28"/>
      <c r="K371" s="28"/>
      <c r="L371" s="28"/>
      <c r="M371" s="28">
        <v>0.5</v>
      </c>
      <c r="N371" s="28">
        <v>0</v>
      </c>
      <c r="O371" s="27">
        <f t="shared" si="342"/>
        <v>0</v>
      </c>
    </row>
    <row r="372" spans="1:15" ht="47.25" customHeight="1" hidden="1">
      <c r="A372" s="26" t="s">
        <v>328</v>
      </c>
      <c r="B372" s="215">
        <v>903</v>
      </c>
      <c r="C372" s="213" t="s">
        <v>351</v>
      </c>
      <c r="D372" s="213" t="s">
        <v>170</v>
      </c>
      <c r="E372" s="213" t="s">
        <v>369</v>
      </c>
      <c r="F372" s="213"/>
      <c r="G372" s="27">
        <f aca="true" t="shared" si="381" ref="G372:L373">G373</f>
        <v>0</v>
      </c>
      <c r="H372" s="27">
        <v>0</v>
      </c>
      <c r="I372" s="27">
        <f t="shared" si="381"/>
        <v>0</v>
      </c>
      <c r="J372" s="27">
        <f t="shared" si="381"/>
        <v>0</v>
      </c>
      <c r="K372" s="27">
        <f t="shared" si="381"/>
        <v>0</v>
      </c>
      <c r="L372" s="27">
        <f t="shared" si="381"/>
        <v>0</v>
      </c>
      <c r="M372" s="27">
        <f aca="true" t="shared" si="382" ref="M372:N373">M373</f>
        <v>0</v>
      </c>
      <c r="N372" s="27">
        <f t="shared" si="382"/>
        <v>0</v>
      </c>
      <c r="O372" s="27" t="e">
        <f t="shared" si="342"/>
        <v>#DIV/0!</v>
      </c>
    </row>
    <row r="373" spans="1:15" ht="47.25" customHeight="1" hidden="1">
      <c r="A373" s="26" t="s">
        <v>324</v>
      </c>
      <c r="B373" s="215">
        <v>903</v>
      </c>
      <c r="C373" s="213" t="s">
        <v>351</v>
      </c>
      <c r="D373" s="213" t="s">
        <v>170</v>
      </c>
      <c r="E373" s="213" t="s">
        <v>369</v>
      </c>
      <c r="F373" s="213" t="s">
        <v>325</v>
      </c>
      <c r="G373" s="27">
        <f t="shared" si="381"/>
        <v>0</v>
      </c>
      <c r="H373" s="27">
        <v>0</v>
      </c>
      <c r="I373" s="27">
        <f t="shared" si="381"/>
        <v>0</v>
      </c>
      <c r="J373" s="27">
        <f t="shared" si="381"/>
        <v>0</v>
      </c>
      <c r="K373" s="27">
        <f t="shared" si="381"/>
        <v>0</v>
      </c>
      <c r="L373" s="27">
        <f t="shared" si="381"/>
        <v>0</v>
      </c>
      <c r="M373" s="27">
        <f t="shared" si="382"/>
        <v>0</v>
      </c>
      <c r="N373" s="27">
        <f t="shared" si="382"/>
        <v>0</v>
      </c>
      <c r="O373" s="27" t="e">
        <f t="shared" si="342"/>
        <v>#DIV/0!</v>
      </c>
    </row>
    <row r="374" spans="1:15" ht="15.75" customHeight="1" hidden="1">
      <c r="A374" s="26" t="s">
        <v>326</v>
      </c>
      <c r="B374" s="215">
        <v>903</v>
      </c>
      <c r="C374" s="213" t="s">
        <v>351</v>
      </c>
      <c r="D374" s="213" t="s">
        <v>170</v>
      </c>
      <c r="E374" s="213" t="s">
        <v>369</v>
      </c>
      <c r="F374" s="213" t="s">
        <v>327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 t="e">
        <f t="shared" si="342"/>
        <v>#DIV/0!</v>
      </c>
    </row>
    <row r="375" spans="1:15" ht="47.25" customHeight="1" hidden="1">
      <c r="A375" s="26" t="s">
        <v>330</v>
      </c>
      <c r="B375" s="215">
        <v>903</v>
      </c>
      <c r="C375" s="213" t="s">
        <v>351</v>
      </c>
      <c r="D375" s="213" t="s">
        <v>170</v>
      </c>
      <c r="E375" s="213" t="s">
        <v>370</v>
      </c>
      <c r="F375" s="213"/>
      <c r="G375" s="27">
        <f aca="true" t="shared" si="383" ref="G375:L376">G376</f>
        <v>0</v>
      </c>
      <c r="H375" s="27">
        <v>0</v>
      </c>
      <c r="I375" s="27">
        <f t="shared" si="383"/>
        <v>0</v>
      </c>
      <c r="J375" s="27">
        <f t="shared" si="383"/>
        <v>0</v>
      </c>
      <c r="K375" s="27">
        <f t="shared" si="383"/>
        <v>0</v>
      </c>
      <c r="L375" s="27">
        <f t="shared" si="383"/>
        <v>0</v>
      </c>
      <c r="M375" s="27">
        <f aca="true" t="shared" si="384" ref="M375:N376">M376</f>
        <v>0</v>
      </c>
      <c r="N375" s="27">
        <f t="shared" si="384"/>
        <v>0</v>
      </c>
      <c r="O375" s="27" t="e">
        <f t="shared" si="342"/>
        <v>#DIV/0!</v>
      </c>
    </row>
    <row r="376" spans="1:15" ht="47.25" customHeight="1" hidden="1">
      <c r="A376" s="26" t="s">
        <v>324</v>
      </c>
      <c r="B376" s="215">
        <v>903</v>
      </c>
      <c r="C376" s="213" t="s">
        <v>351</v>
      </c>
      <c r="D376" s="213" t="s">
        <v>170</v>
      </c>
      <c r="E376" s="213" t="s">
        <v>370</v>
      </c>
      <c r="F376" s="213" t="s">
        <v>325</v>
      </c>
      <c r="G376" s="27">
        <f t="shared" si="383"/>
        <v>0</v>
      </c>
      <c r="H376" s="27">
        <v>0</v>
      </c>
      <c r="I376" s="27">
        <f t="shared" si="383"/>
        <v>0</v>
      </c>
      <c r="J376" s="27">
        <f t="shared" si="383"/>
        <v>0</v>
      </c>
      <c r="K376" s="27">
        <f t="shared" si="383"/>
        <v>0</v>
      </c>
      <c r="L376" s="27">
        <f t="shared" si="383"/>
        <v>0</v>
      </c>
      <c r="M376" s="27">
        <f t="shared" si="384"/>
        <v>0</v>
      </c>
      <c r="N376" s="27">
        <f t="shared" si="384"/>
        <v>0</v>
      </c>
      <c r="O376" s="27" t="e">
        <f t="shared" si="342"/>
        <v>#DIV/0!</v>
      </c>
    </row>
    <row r="377" spans="1:15" ht="15.75" customHeight="1" hidden="1">
      <c r="A377" s="26" t="s">
        <v>326</v>
      </c>
      <c r="B377" s="215">
        <v>903</v>
      </c>
      <c r="C377" s="213" t="s">
        <v>351</v>
      </c>
      <c r="D377" s="213" t="s">
        <v>170</v>
      </c>
      <c r="E377" s="213" t="s">
        <v>370</v>
      </c>
      <c r="F377" s="213" t="s">
        <v>327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 t="e">
        <f t="shared" si="342"/>
        <v>#DIV/0!</v>
      </c>
    </row>
    <row r="378" spans="1:15" ht="31.5" customHeight="1" hidden="1">
      <c r="A378" s="26" t="s">
        <v>332</v>
      </c>
      <c r="B378" s="215">
        <v>903</v>
      </c>
      <c r="C378" s="213" t="s">
        <v>351</v>
      </c>
      <c r="D378" s="213" t="s">
        <v>170</v>
      </c>
      <c r="E378" s="213" t="s">
        <v>371</v>
      </c>
      <c r="F378" s="213"/>
      <c r="G378" s="27">
        <f aca="true" t="shared" si="385" ref="G378:L379">G379</f>
        <v>0</v>
      </c>
      <c r="H378" s="27">
        <v>0</v>
      </c>
      <c r="I378" s="27">
        <f t="shared" si="385"/>
        <v>0</v>
      </c>
      <c r="J378" s="27">
        <f t="shared" si="385"/>
        <v>0</v>
      </c>
      <c r="K378" s="27">
        <f t="shared" si="385"/>
        <v>0</v>
      </c>
      <c r="L378" s="27">
        <f t="shared" si="385"/>
        <v>0</v>
      </c>
      <c r="M378" s="27">
        <f aca="true" t="shared" si="386" ref="M378:N379">M379</f>
        <v>0</v>
      </c>
      <c r="N378" s="27">
        <f t="shared" si="386"/>
        <v>0</v>
      </c>
      <c r="O378" s="27" t="e">
        <f t="shared" si="342"/>
        <v>#DIV/0!</v>
      </c>
    </row>
    <row r="379" spans="1:15" ht="47.25" customHeight="1" hidden="1">
      <c r="A379" s="26" t="s">
        <v>324</v>
      </c>
      <c r="B379" s="215">
        <v>903</v>
      </c>
      <c r="C379" s="213" t="s">
        <v>351</v>
      </c>
      <c r="D379" s="213" t="s">
        <v>170</v>
      </c>
      <c r="E379" s="213" t="s">
        <v>371</v>
      </c>
      <c r="F379" s="213" t="s">
        <v>325</v>
      </c>
      <c r="G379" s="27">
        <f t="shared" si="385"/>
        <v>0</v>
      </c>
      <c r="H379" s="27">
        <v>0</v>
      </c>
      <c r="I379" s="27">
        <f t="shared" si="385"/>
        <v>0</v>
      </c>
      <c r="J379" s="27">
        <f t="shared" si="385"/>
        <v>0</v>
      </c>
      <c r="K379" s="27">
        <f t="shared" si="385"/>
        <v>0</v>
      </c>
      <c r="L379" s="27">
        <f t="shared" si="385"/>
        <v>0</v>
      </c>
      <c r="M379" s="27">
        <f t="shared" si="386"/>
        <v>0</v>
      </c>
      <c r="N379" s="27">
        <f t="shared" si="386"/>
        <v>0</v>
      </c>
      <c r="O379" s="27" t="e">
        <f t="shared" si="342"/>
        <v>#DIV/0!</v>
      </c>
    </row>
    <row r="380" spans="1:15" ht="15.75" customHeight="1" hidden="1">
      <c r="A380" s="26" t="s">
        <v>326</v>
      </c>
      <c r="B380" s="215">
        <v>903</v>
      </c>
      <c r="C380" s="213" t="s">
        <v>351</v>
      </c>
      <c r="D380" s="213" t="s">
        <v>170</v>
      </c>
      <c r="E380" s="213" t="s">
        <v>371</v>
      </c>
      <c r="F380" s="213" t="s">
        <v>327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 t="e">
        <f t="shared" si="342"/>
        <v>#DIV/0!</v>
      </c>
    </row>
    <row r="381" spans="1:15" ht="31.5" customHeight="1" hidden="1">
      <c r="A381" s="26" t="s">
        <v>336</v>
      </c>
      <c r="B381" s="215">
        <v>903</v>
      </c>
      <c r="C381" s="213" t="s">
        <v>351</v>
      </c>
      <c r="D381" s="213" t="s">
        <v>170</v>
      </c>
      <c r="E381" s="213" t="s">
        <v>372</v>
      </c>
      <c r="F381" s="213"/>
      <c r="G381" s="27">
        <f aca="true" t="shared" si="387" ref="G381:L382">G382</f>
        <v>0</v>
      </c>
      <c r="H381" s="27">
        <v>0</v>
      </c>
      <c r="I381" s="27">
        <f t="shared" si="387"/>
        <v>0</v>
      </c>
      <c r="J381" s="27">
        <f t="shared" si="387"/>
        <v>275</v>
      </c>
      <c r="K381" s="27">
        <f t="shared" si="387"/>
        <v>275</v>
      </c>
      <c r="L381" s="27">
        <f t="shared" si="387"/>
        <v>275</v>
      </c>
      <c r="M381" s="27">
        <f aca="true" t="shared" si="388" ref="M381:N382">M382</f>
        <v>0</v>
      </c>
      <c r="N381" s="27">
        <f t="shared" si="388"/>
        <v>0</v>
      </c>
      <c r="O381" s="27" t="e">
        <f t="shared" si="342"/>
        <v>#DIV/0!</v>
      </c>
    </row>
    <row r="382" spans="1:15" ht="47.25" customHeight="1" hidden="1">
      <c r="A382" s="26" t="s">
        <v>324</v>
      </c>
      <c r="B382" s="215">
        <v>903</v>
      </c>
      <c r="C382" s="213" t="s">
        <v>351</v>
      </c>
      <c r="D382" s="213" t="s">
        <v>170</v>
      </c>
      <c r="E382" s="213" t="s">
        <v>372</v>
      </c>
      <c r="F382" s="213" t="s">
        <v>325</v>
      </c>
      <c r="G382" s="27">
        <f t="shared" si="387"/>
        <v>0</v>
      </c>
      <c r="H382" s="27">
        <v>0</v>
      </c>
      <c r="I382" s="27">
        <f t="shared" si="387"/>
        <v>0</v>
      </c>
      <c r="J382" s="27">
        <f t="shared" si="387"/>
        <v>275</v>
      </c>
      <c r="K382" s="27">
        <f t="shared" si="387"/>
        <v>275</v>
      </c>
      <c r="L382" s="27">
        <f t="shared" si="387"/>
        <v>275</v>
      </c>
      <c r="M382" s="27">
        <f t="shared" si="388"/>
        <v>0</v>
      </c>
      <c r="N382" s="27">
        <f t="shared" si="388"/>
        <v>0</v>
      </c>
      <c r="O382" s="27" t="e">
        <f t="shared" si="342"/>
        <v>#DIV/0!</v>
      </c>
    </row>
    <row r="383" spans="1:15" ht="15.75" customHeight="1" hidden="1">
      <c r="A383" s="26" t="s">
        <v>326</v>
      </c>
      <c r="B383" s="215">
        <v>903</v>
      </c>
      <c r="C383" s="213" t="s">
        <v>351</v>
      </c>
      <c r="D383" s="213" t="s">
        <v>170</v>
      </c>
      <c r="E383" s="213" t="s">
        <v>372</v>
      </c>
      <c r="F383" s="213" t="s">
        <v>327</v>
      </c>
      <c r="G383" s="27">
        <v>0</v>
      </c>
      <c r="H383" s="27">
        <v>0</v>
      </c>
      <c r="I383" s="27">
        <v>0</v>
      </c>
      <c r="J383" s="27">
        <v>275</v>
      </c>
      <c r="K383" s="27">
        <v>275</v>
      </c>
      <c r="L383" s="27">
        <v>275</v>
      </c>
      <c r="M383" s="27">
        <v>0</v>
      </c>
      <c r="N383" s="27">
        <v>0</v>
      </c>
      <c r="O383" s="27" t="e">
        <f t="shared" si="342"/>
        <v>#DIV/0!</v>
      </c>
    </row>
    <row r="384" spans="1:15" ht="47.25" customHeight="1" hidden="1">
      <c r="A384" s="37" t="s">
        <v>373</v>
      </c>
      <c r="B384" s="215">
        <v>903</v>
      </c>
      <c r="C384" s="213" t="s">
        <v>351</v>
      </c>
      <c r="D384" s="213" t="s">
        <v>170</v>
      </c>
      <c r="E384" s="213" t="s">
        <v>374</v>
      </c>
      <c r="F384" s="213"/>
      <c r="G384" s="27">
        <f aca="true" t="shared" si="389" ref="G384:L385">G385</f>
        <v>0</v>
      </c>
      <c r="H384" s="27"/>
      <c r="I384" s="27">
        <f t="shared" si="389"/>
        <v>0</v>
      </c>
      <c r="J384" s="27">
        <f t="shared" si="389"/>
        <v>0</v>
      </c>
      <c r="K384" s="27">
        <f t="shared" si="389"/>
        <v>0</v>
      </c>
      <c r="L384" s="27">
        <f t="shared" si="389"/>
        <v>0</v>
      </c>
      <c r="M384" s="27">
        <f aca="true" t="shared" si="390" ref="M384:N385">M385</f>
        <v>0</v>
      </c>
      <c r="N384" s="27">
        <f t="shared" si="390"/>
        <v>0</v>
      </c>
      <c r="O384" s="27" t="e">
        <f t="shared" si="342"/>
        <v>#DIV/0!</v>
      </c>
    </row>
    <row r="385" spans="1:15" ht="47.25" customHeight="1" hidden="1">
      <c r="A385" s="26" t="s">
        <v>324</v>
      </c>
      <c r="B385" s="215">
        <v>903</v>
      </c>
      <c r="C385" s="213" t="s">
        <v>351</v>
      </c>
      <c r="D385" s="213" t="s">
        <v>170</v>
      </c>
      <c r="E385" s="213" t="s">
        <v>374</v>
      </c>
      <c r="F385" s="213" t="s">
        <v>325</v>
      </c>
      <c r="G385" s="27">
        <f t="shared" si="389"/>
        <v>0</v>
      </c>
      <c r="H385" s="27"/>
      <c r="I385" s="27">
        <f t="shared" si="389"/>
        <v>0</v>
      </c>
      <c r="J385" s="27">
        <f t="shared" si="389"/>
        <v>0</v>
      </c>
      <c r="K385" s="27">
        <f t="shared" si="389"/>
        <v>0</v>
      </c>
      <c r="L385" s="27">
        <f t="shared" si="389"/>
        <v>0</v>
      </c>
      <c r="M385" s="27">
        <f t="shared" si="390"/>
        <v>0</v>
      </c>
      <c r="N385" s="27">
        <f t="shared" si="390"/>
        <v>0</v>
      </c>
      <c r="O385" s="27" t="e">
        <f t="shared" si="342"/>
        <v>#DIV/0!</v>
      </c>
    </row>
    <row r="386" spans="1:15" ht="15.75" customHeight="1" hidden="1">
      <c r="A386" s="26" t="s">
        <v>326</v>
      </c>
      <c r="B386" s="215">
        <v>903</v>
      </c>
      <c r="C386" s="213" t="s">
        <v>351</v>
      </c>
      <c r="D386" s="213" t="s">
        <v>170</v>
      </c>
      <c r="E386" s="213" t="s">
        <v>374</v>
      </c>
      <c r="F386" s="213" t="s">
        <v>327</v>
      </c>
      <c r="G386" s="27">
        <v>0</v>
      </c>
      <c r="H386" s="27"/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 t="e">
        <f t="shared" si="342"/>
        <v>#DIV/0!</v>
      </c>
    </row>
    <row r="387" spans="1:15" ht="47.25" customHeight="1">
      <c r="A387" s="70" t="s">
        <v>865</v>
      </c>
      <c r="B387" s="215">
        <v>903</v>
      </c>
      <c r="C387" s="213" t="s">
        <v>351</v>
      </c>
      <c r="D387" s="213" t="s">
        <v>170</v>
      </c>
      <c r="E387" s="213" t="s">
        <v>878</v>
      </c>
      <c r="F387" s="213"/>
      <c r="G387" s="27">
        <f>G388</f>
        <v>0</v>
      </c>
      <c r="H387" s="27">
        <v>0</v>
      </c>
      <c r="I387" s="27">
        <f aca="true" t="shared" si="391" ref="I387:L388">I388</f>
        <v>0</v>
      </c>
      <c r="J387" s="27">
        <f t="shared" si="391"/>
        <v>650.2</v>
      </c>
      <c r="K387" s="27">
        <f t="shared" si="391"/>
        <v>650.2</v>
      </c>
      <c r="L387" s="27">
        <f t="shared" si="391"/>
        <v>650.2</v>
      </c>
      <c r="M387" s="27">
        <f aca="true" t="shared" si="392" ref="M387:N388">M388</f>
        <v>650.2</v>
      </c>
      <c r="N387" s="27">
        <f t="shared" si="392"/>
        <v>650.2</v>
      </c>
      <c r="O387" s="27">
        <f t="shared" si="342"/>
        <v>100</v>
      </c>
    </row>
    <row r="388" spans="1:15" ht="54" customHeight="1">
      <c r="A388" s="31" t="s">
        <v>324</v>
      </c>
      <c r="B388" s="215">
        <v>903</v>
      </c>
      <c r="C388" s="213" t="s">
        <v>351</v>
      </c>
      <c r="D388" s="213" t="s">
        <v>170</v>
      </c>
      <c r="E388" s="213" t="s">
        <v>878</v>
      </c>
      <c r="F388" s="213" t="s">
        <v>325</v>
      </c>
      <c r="G388" s="27">
        <f>G389</f>
        <v>0</v>
      </c>
      <c r="H388" s="27">
        <v>0</v>
      </c>
      <c r="I388" s="27">
        <f t="shared" si="391"/>
        <v>0</v>
      </c>
      <c r="J388" s="27">
        <f t="shared" si="391"/>
        <v>650.2</v>
      </c>
      <c r="K388" s="27">
        <f t="shared" si="391"/>
        <v>650.2</v>
      </c>
      <c r="L388" s="27">
        <f t="shared" si="391"/>
        <v>650.2</v>
      </c>
      <c r="M388" s="27">
        <f t="shared" si="392"/>
        <v>650.2</v>
      </c>
      <c r="N388" s="27">
        <f t="shared" si="392"/>
        <v>650.2</v>
      </c>
      <c r="O388" s="27">
        <f t="shared" si="342"/>
        <v>100</v>
      </c>
    </row>
    <row r="389" spans="1:15" ht="15.75" customHeight="1">
      <c r="A389" s="256" t="s">
        <v>326</v>
      </c>
      <c r="B389" s="215">
        <v>903</v>
      </c>
      <c r="C389" s="213" t="s">
        <v>351</v>
      </c>
      <c r="D389" s="213" t="s">
        <v>170</v>
      </c>
      <c r="E389" s="213" t="s">
        <v>878</v>
      </c>
      <c r="F389" s="213" t="s">
        <v>327</v>
      </c>
      <c r="G389" s="27">
        <v>0</v>
      </c>
      <c r="H389" s="27">
        <v>0</v>
      </c>
      <c r="I389" s="27">
        <v>0</v>
      </c>
      <c r="J389" s="27">
        <v>650.2</v>
      </c>
      <c r="K389" s="27">
        <v>650.2</v>
      </c>
      <c r="L389" s="27">
        <v>650.2</v>
      </c>
      <c r="M389" s="27">
        <v>650.2</v>
      </c>
      <c r="N389" s="27">
        <v>650.2</v>
      </c>
      <c r="O389" s="27">
        <f t="shared" si="342"/>
        <v>100</v>
      </c>
    </row>
    <row r="390" spans="1:15" ht="60" customHeight="1" hidden="1">
      <c r="A390" s="31" t="s">
        <v>375</v>
      </c>
      <c r="B390" s="215">
        <v>903</v>
      </c>
      <c r="C390" s="213" t="s">
        <v>351</v>
      </c>
      <c r="D390" s="213" t="s">
        <v>170</v>
      </c>
      <c r="E390" s="216" t="s">
        <v>376</v>
      </c>
      <c r="F390" s="213"/>
      <c r="G390" s="27">
        <f>G391</f>
        <v>200</v>
      </c>
      <c r="H390" s="27">
        <f>H391</f>
        <v>0</v>
      </c>
      <c r="I390" s="27">
        <f aca="true" t="shared" si="393" ref="I390:L390">I391</f>
        <v>200</v>
      </c>
      <c r="J390" s="27">
        <f t="shared" si="393"/>
        <v>0</v>
      </c>
      <c r="K390" s="27">
        <f t="shared" si="393"/>
        <v>0</v>
      </c>
      <c r="L390" s="27">
        <f t="shared" si="393"/>
        <v>0</v>
      </c>
      <c r="M390" s="27">
        <f aca="true" t="shared" si="394" ref="M390:N392">M391</f>
        <v>0</v>
      </c>
      <c r="N390" s="27">
        <f t="shared" si="394"/>
        <v>0</v>
      </c>
      <c r="O390" s="27" t="e">
        <f t="shared" si="342"/>
        <v>#DIV/0!</v>
      </c>
    </row>
    <row r="391" spans="1:15" ht="47.25" hidden="1">
      <c r="A391" s="26" t="s">
        <v>377</v>
      </c>
      <c r="B391" s="215">
        <v>903</v>
      </c>
      <c r="C391" s="213" t="s">
        <v>351</v>
      </c>
      <c r="D391" s="213" t="s">
        <v>170</v>
      </c>
      <c r="E391" s="216" t="s">
        <v>378</v>
      </c>
      <c r="F391" s="213"/>
      <c r="G391" s="27">
        <f aca="true" t="shared" si="395" ref="G391:L392">G392</f>
        <v>200</v>
      </c>
      <c r="H391" s="27">
        <f t="shared" si="395"/>
        <v>0</v>
      </c>
      <c r="I391" s="27">
        <f t="shared" si="395"/>
        <v>200</v>
      </c>
      <c r="J391" s="27">
        <f t="shared" si="395"/>
        <v>0</v>
      </c>
      <c r="K391" s="27">
        <f t="shared" si="395"/>
        <v>0</v>
      </c>
      <c r="L391" s="27">
        <f t="shared" si="395"/>
        <v>0</v>
      </c>
      <c r="M391" s="27">
        <f t="shared" si="394"/>
        <v>0</v>
      </c>
      <c r="N391" s="27">
        <f t="shared" si="394"/>
        <v>0</v>
      </c>
      <c r="O391" s="27" t="e">
        <f t="shared" si="342"/>
        <v>#DIV/0!</v>
      </c>
    </row>
    <row r="392" spans="1:15" ht="47.25" hidden="1">
      <c r="A392" s="26" t="s">
        <v>324</v>
      </c>
      <c r="B392" s="215">
        <v>903</v>
      </c>
      <c r="C392" s="213" t="s">
        <v>351</v>
      </c>
      <c r="D392" s="213" t="s">
        <v>170</v>
      </c>
      <c r="E392" s="216" t="s">
        <v>378</v>
      </c>
      <c r="F392" s="213" t="s">
        <v>325</v>
      </c>
      <c r="G392" s="27">
        <f>G393</f>
        <v>200</v>
      </c>
      <c r="H392" s="27">
        <f>H393</f>
        <v>0</v>
      </c>
      <c r="I392" s="27">
        <f t="shared" si="395"/>
        <v>200</v>
      </c>
      <c r="J392" s="27">
        <f t="shared" si="395"/>
        <v>0</v>
      </c>
      <c r="K392" s="27">
        <f t="shared" si="395"/>
        <v>0</v>
      </c>
      <c r="L392" s="27">
        <f t="shared" si="395"/>
        <v>0</v>
      </c>
      <c r="M392" s="27">
        <f t="shared" si="394"/>
        <v>0</v>
      </c>
      <c r="N392" s="27">
        <f t="shared" si="394"/>
        <v>0</v>
      </c>
      <c r="O392" s="27" t="e">
        <f t="shared" si="342"/>
        <v>#DIV/0!</v>
      </c>
    </row>
    <row r="393" spans="1:15" ht="15.75" hidden="1">
      <c r="A393" s="26" t="s">
        <v>326</v>
      </c>
      <c r="B393" s="215">
        <v>903</v>
      </c>
      <c r="C393" s="213" t="s">
        <v>351</v>
      </c>
      <c r="D393" s="213" t="s">
        <v>170</v>
      </c>
      <c r="E393" s="216" t="s">
        <v>378</v>
      </c>
      <c r="F393" s="213" t="s">
        <v>327</v>
      </c>
      <c r="G393" s="27">
        <v>200</v>
      </c>
      <c r="H393" s="27">
        <v>0</v>
      </c>
      <c r="I393" s="27">
        <v>200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 t="e">
        <f t="shared" si="342"/>
        <v>#DIV/0!</v>
      </c>
    </row>
    <row r="394" spans="1:15" ht="15.75">
      <c r="A394" s="26" t="s">
        <v>173</v>
      </c>
      <c r="B394" s="215">
        <v>903</v>
      </c>
      <c r="C394" s="213" t="s">
        <v>351</v>
      </c>
      <c r="D394" s="213" t="s">
        <v>170</v>
      </c>
      <c r="E394" s="213" t="s">
        <v>174</v>
      </c>
      <c r="F394" s="213"/>
      <c r="G394" s="27">
        <f>G395</f>
        <v>2137.9</v>
      </c>
      <c r="H394" s="27">
        <f>H395</f>
        <v>1044.6</v>
      </c>
      <c r="I394" s="27">
        <f aca="true" t="shared" si="396" ref="I394:L394">I395</f>
        <v>2137.9</v>
      </c>
      <c r="J394" s="27">
        <f t="shared" si="396"/>
        <v>2133.9</v>
      </c>
      <c r="K394" s="27">
        <f t="shared" si="396"/>
        <v>2133.9</v>
      </c>
      <c r="L394" s="27">
        <f t="shared" si="396"/>
        <v>2133.9</v>
      </c>
      <c r="M394" s="27">
        <f aca="true" t="shared" si="397" ref="M394:N394">M395</f>
        <v>2084.3</v>
      </c>
      <c r="N394" s="27">
        <f t="shared" si="397"/>
        <v>931.7</v>
      </c>
      <c r="O394" s="27">
        <f t="shared" si="342"/>
        <v>44.7008588015161</v>
      </c>
    </row>
    <row r="395" spans="1:15" ht="31.5">
      <c r="A395" s="26" t="s">
        <v>237</v>
      </c>
      <c r="B395" s="215">
        <v>903</v>
      </c>
      <c r="C395" s="213" t="s">
        <v>351</v>
      </c>
      <c r="D395" s="213" t="s">
        <v>170</v>
      </c>
      <c r="E395" s="213" t="s">
        <v>238</v>
      </c>
      <c r="F395" s="213"/>
      <c r="G395" s="27">
        <f>G396+G401+G406+G409+G412</f>
        <v>2137.9</v>
      </c>
      <c r="H395" s="27">
        <f>H396+H401+H406+H409+H412</f>
        <v>1044.6</v>
      </c>
      <c r="I395" s="27">
        <f aca="true" t="shared" si="398" ref="I395:L395">I396+I401+I406+I409+I412</f>
        <v>2137.9</v>
      </c>
      <c r="J395" s="27">
        <f t="shared" si="398"/>
        <v>2133.9</v>
      </c>
      <c r="K395" s="27">
        <f t="shared" si="398"/>
        <v>2133.9</v>
      </c>
      <c r="L395" s="27">
        <f t="shared" si="398"/>
        <v>2133.9</v>
      </c>
      <c r="M395" s="27">
        <f aca="true" t="shared" si="399" ref="M395:N395">M396+M401+M406+M409+M412</f>
        <v>2084.3</v>
      </c>
      <c r="N395" s="27">
        <f t="shared" si="399"/>
        <v>931.7</v>
      </c>
      <c r="O395" s="27">
        <f t="shared" si="342"/>
        <v>44.7008588015161</v>
      </c>
    </row>
    <row r="396" spans="1:15" ht="31.5" customHeight="1" hidden="1">
      <c r="A396" s="38" t="s">
        <v>379</v>
      </c>
      <c r="B396" s="221">
        <v>903</v>
      </c>
      <c r="C396" s="213" t="s">
        <v>351</v>
      </c>
      <c r="D396" s="213" t="s">
        <v>170</v>
      </c>
      <c r="E396" s="213" t="s">
        <v>380</v>
      </c>
      <c r="F396" s="213"/>
      <c r="G396" s="27">
        <f aca="true" t="shared" si="400" ref="G396:L396">G397+G399</f>
        <v>0</v>
      </c>
      <c r="H396" s="27">
        <f t="shared" si="400"/>
        <v>0</v>
      </c>
      <c r="I396" s="27">
        <f t="shared" si="400"/>
        <v>0</v>
      </c>
      <c r="J396" s="27">
        <f t="shared" si="400"/>
        <v>0</v>
      </c>
      <c r="K396" s="27">
        <f t="shared" si="400"/>
        <v>0</v>
      </c>
      <c r="L396" s="27">
        <f t="shared" si="400"/>
        <v>0</v>
      </c>
      <c r="M396" s="27">
        <f aca="true" t="shared" si="401" ref="M396:N396">M397+M399</f>
        <v>0</v>
      </c>
      <c r="N396" s="27">
        <f t="shared" si="401"/>
        <v>0</v>
      </c>
      <c r="O396" s="27" t="e">
        <f t="shared" si="342"/>
        <v>#DIV/0!</v>
      </c>
    </row>
    <row r="397" spans="1:15" ht="31.5" customHeight="1" hidden="1">
      <c r="A397" s="26" t="s">
        <v>183</v>
      </c>
      <c r="B397" s="221">
        <v>903</v>
      </c>
      <c r="C397" s="213" t="s">
        <v>351</v>
      </c>
      <c r="D397" s="213" t="s">
        <v>170</v>
      </c>
      <c r="E397" s="213" t="s">
        <v>380</v>
      </c>
      <c r="F397" s="213" t="s">
        <v>184</v>
      </c>
      <c r="G397" s="27">
        <f aca="true" t="shared" si="402" ref="G397:L397">G398</f>
        <v>0</v>
      </c>
      <c r="H397" s="27">
        <f t="shared" si="402"/>
        <v>0</v>
      </c>
      <c r="I397" s="27">
        <f t="shared" si="402"/>
        <v>0</v>
      </c>
      <c r="J397" s="27">
        <f t="shared" si="402"/>
        <v>0</v>
      </c>
      <c r="K397" s="27">
        <f t="shared" si="402"/>
        <v>0</v>
      </c>
      <c r="L397" s="27">
        <f t="shared" si="402"/>
        <v>0</v>
      </c>
      <c r="M397" s="27">
        <f aca="true" t="shared" si="403" ref="M397:N397">M398</f>
        <v>0</v>
      </c>
      <c r="N397" s="27">
        <f t="shared" si="403"/>
        <v>0</v>
      </c>
      <c r="O397" s="27" t="e">
        <f aca="true" t="shared" si="404" ref="O397:O460">N397/M397*100</f>
        <v>#DIV/0!</v>
      </c>
    </row>
    <row r="398" spans="1:15" ht="47.25" customHeight="1" hidden="1">
      <c r="A398" s="26" t="s">
        <v>185</v>
      </c>
      <c r="B398" s="215">
        <v>903</v>
      </c>
      <c r="C398" s="213" t="s">
        <v>351</v>
      </c>
      <c r="D398" s="213" t="s">
        <v>170</v>
      </c>
      <c r="E398" s="213" t="s">
        <v>380</v>
      </c>
      <c r="F398" s="213" t="s">
        <v>186</v>
      </c>
      <c r="G398" s="27">
        <f>1.4-1.4</f>
        <v>0</v>
      </c>
      <c r="H398" s="27">
        <f>1.4-1.4</f>
        <v>0</v>
      </c>
      <c r="I398" s="27">
        <f aca="true" t="shared" si="405" ref="I398:L398">1.4-1.4</f>
        <v>0</v>
      </c>
      <c r="J398" s="27">
        <f t="shared" si="405"/>
        <v>0</v>
      </c>
      <c r="K398" s="27">
        <f t="shared" si="405"/>
        <v>0</v>
      </c>
      <c r="L398" s="27">
        <f t="shared" si="405"/>
        <v>0</v>
      </c>
      <c r="M398" s="27">
        <f aca="true" t="shared" si="406" ref="M398:N398">1.4-1.4</f>
        <v>0</v>
      </c>
      <c r="N398" s="27">
        <f t="shared" si="406"/>
        <v>0</v>
      </c>
      <c r="O398" s="27" t="e">
        <f t="shared" si="404"/>
        <v>#DIV/0!</v>
      </c>
    </row>
    <row r="399" spans="1:15" ht="47.25" customHeight="1" hidden="1">
      <c r="A399" s="26" t="s">
        <v>324</v>
      </c>
      <c r="B399" s="215">
        <v>903</v>
      </c>
      <c r="C399" s="213" t="s">
        <v>351</v>
      </c>
      <c r="D399" s="213" t="s">
        <v>170</v>
      </c>
      <c r="E399" s="213" t="s">
        <v>380</v>
      </c>
      <c r="F399" s="213" t="s">
        <v>325</v>
      </c>
      <c r="G399" s="27">
        <f aca="true" t="shared" si="407" ref="G399:L399">G400</f>
        <v>0</v>
      </c>
      <c r="H399" s="27">
        <f t="shared" si="407"/>
        <v>0</v>
      </c>
      <c r="I399" s="27">
        <f t="shared" si="407"/>
        <v>0</v>
      </c>
      <c r="J399" s="27">
        <f t="shared" si="407"/>
        <v>0</v>
      </c>
      <c r="K399" s="27">
        <f t="shared" si="407"/>
        <v>0</v>
      </c>
      <c r="L399" s="27">
        <f t="shared" si="407"/>
        <v>0</v>
      </c>
      <c r="M399" s="27">
        <f aca="true" t="shared" si="408" ref="M399:N399">M400</f>
        <v>0</v>
      </c>
      <c r="N399" s="27">
        <f t="shared" si="408"/>
        <v>0</v>
      </c>
      <c r="O399" s="27" t="e">
        <f t="shared" si="404"/>
        <v>#DIV/0!</v>
      </c>
    </row>
    <row r="400" spans="1:15" ht="15.75" customHeight="1" hidden="1">
      <c r="A400" s="26" t="s">
        <v>326</v>
      </c>
      <c r="B400" s="215">
        <v>903</v>
      </c>
      <c r="C400" s="213" t="s">
        <v>351</v>
      </c>
      <c r="D400" s="213" t="s">
        <v>170</v>
      </c>
      <c r="E400" s="213" t="s">
        <v>380</v>
      </c>
      <c r="F400" s="213" t="s">
        <v>327</v>
      </c>
      <c r="G400" s="27">
        <f>2.9-2.9</f>
        <v>0</v>
      </c>
      <c r="H400" s="27">
        <f>2.9-2.9</f>
        <v>0</v>
      </c>
      <c r="I400" s="27">
        <f aca="true" t="shared" si="409" ref="I400:L400">2.9-2.9</f>
        <v>0</v>
      </c>
      <c r="J400" s="27">
        <f t="shared" si="409"/>
        <v>0</v>
      </c>
      <c r="K400" s="27">
        <f t="shared" si="409"/>
        <v>0</v>
      </c>
      <c r="L400" s="27">
        <f t="shared" si="409"/>
        <v>0</v>
      </c>
      <c r="M400" s="27">
        <f aca="true" t="shared" si="410" ref="M400:N400">2.9-2.9</f>
        <v>0</v>
      </c>
      <c r="N400" s="27">
        <f t="shared" si="410"/>
        <v>0</v>
      </c>
      <c r="O400" s="27" t="e">
        <f t="shared" si="404"/>
        <v>#DIV/0!</v>
      </c>
    </row>
    <row r="401" spans="1:15" ht="31.5">
      <c r="A401" s="26" t="s">
        <v>381</v>
      </c>
      <c r="B401" s="215">
        <v>903</v>
      </c>
      <c r="C401" s="213" t="s">
        <v>351</v>
      </c>
      <c r="D401" s="213" t="s">
        <v>170</v>
      </c>
      <c r="E401" s="213" t="s">
        <v>382</v>
      </c>
      <c r="F401" s="213"/>
      <c r="G401" s="27">
        <f>G402+G404</f>
        <v>177.3</v>
      </c>
      <c r="H401" s="27">
        <f>H402+H404</f>
        <v>0</v>
      </c>
      <c r="I401" s="27">
        <f aca="true" t="shared" si="411" ref="I401:L401">I402+I404</f>
        <v>177.3</v>
      </c>
      <c r="J401" s="27">
        <f t="shared" si="411"/>
        <v>177.3</v>
      </c>
      <c r="K401" s="27">
        <f t="shared" si="411"/>
        <v>177.3</v>
      </c>
      <c r="L401" s="27">
        <f t="shared" si="411"/>
        <v>177.3</v>
      </c>
      <c r="M401" s="27">
        <f aca="true" t="shared" si="412" ref="M401:N401">M402+M404</f>
        <v>158.5</v>
      </c>
      <c r="N401" s="27">
        <f t="shared" si="412"/>
        <v>158.5</v>
      </c>
      <c r="O401" s="27">
        <f t="shared" si="404"/>
        <v>100</v>
      </c>
    </row>
    <row r="402" spans="1:15" ht="31.5" customHeight="1" hidden="1">
      <c r="A402" s="26" t="s">
        <v>183</v>
      </c>
      <c r="B402" s="215">
        <v>903</v>
      </c>
      <c r="C402" s="213" t="s">
        <v>351</v>
      </c>
      <c r="D402" s="213" t="s">
        <v>170</v>
      </c>
      <c r="E402" s="213" t="s">
        <v>382</v>
      </c>
      <c r="F402" s="213" t="s">
        <v>184</v>
      </c>
      <c r="G402" s="27">
        <f aca="true" t="shared" si="413" ref="G402:L402">G403</f>
        <v>0</v>
      </c>
      <c r="H402" s="27">
        <f t="shared" si="413"/>
        <v>0</v>
      </c>
      <c r="I402" s="27">
        <f t="shared" si="413"/>
        <v>0</v>
      </c>
      <c r="J402" s="27">
        <f t="shared" si="413"/>
        <v>0</v>
      </c>
      <c r="K402" s="27">
        <f t="shared" si="413"/>
        <v>0</v>
      </c>
      <c r="L402" s="27">
        <f t="shared" si="413"/>
        <v>0</v>
      </c>
      <c r="M402" s="27">
        <f aca="true" t="shared" si="414" ref="M402:N402">M403</f>
        <v>0</v>
      </c>
      <c r="N402" s="27">
        <f t="shared" si="414"/>
        <v>0</v>
      </c>
      <c r="O402" s="27" t="e">
        <f t="shared" si="404"/>
        <v>#DIV/0!</v>
      </c>
    </row>
    <row r="403" spans="1:15" ht="47.25" customHeight="1" hidden="1">
      <c r="A403" s="26" t="s">
        <v>185</v>
      </c>
      <c r="B403" s="215">
        <v>903</v>
      </c>
      <c r="C403" s="213" t="s">
        <v>351</v>
      </c>
      <c r="D403" s="213" t="s">
        <v>170</v>
      </c>
      <c r="E403" s="213" t="s">
        <v>382</v>
      </c>
      <c r="F403" s="222">
        <v>240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 t="e">
        <f t="shared" si="404"/>
        <v>#DIV/0!</v>
      </c>
    </row>
    <row r="404" spans="1:15" ht="47.25">
      <c r="A404" s="26" t="s">
        <v>324</v>
      </c>
      <c r="B404" s="215">
        <v>903</v>
      </c>
      <c r="C404" s="213" t="s">
        <v>351</v>
      </c>
      <c r="D404" s="213" t="s">
        <v>170</v>
      </c>
      <c r="E404" s="213" t="s">
        <v>382</v>
      </c>
      <c r="F404" s="213" t="s">
        <v>325</v>
      </c>
      <c r="G404" s="27">
        <f aca="true" t="shared" si="415" ref="G404:L404">G405</f>
        <v>177.3</v>
      </c>
      <c r="H404" s="27">
        <f t="shared" si="415"/>
        <v>0</v>
      </c>
      <c r="I404" s="27">
        <f t="shared" si="415"/>
        <v>177.3</v>
      </c>
      <c r="J404" s="27">
        <f t="shared" si="415"/>
        <v>177.3</v>
      </c>
      <c r="K404" s="27">
        <f t="shared" si="415"/>
        <v>177.3</v>
      </c>
      <c r="L404" s="27">
        <f t="shared" si="415"/>
        <v>177.3</v>
      </c>
      <c r="M404" s="27">
        <f aca="true" t="shared" si="416" ref="M404:N404">M405</f>
        <v>158.5</v>
      </c>
      <c r="N404" s="27">
        <f t="shared" si="416"/>
        <v>158.5</v>
      </c>
      <c r="O404" s="27">
        <f t="shared" si="404"/>
        <v>100</v>
      </c>
    </row>
    <row r="405" spans="1:15" ht="15.75">
      <c r="A405" s="26" t="s">
        <v>326</v>
      </c>
      <c r="B405" s="215">
        <v>903</v>
      </c>
      <c r="C405" s="213" t="s">
        <v>351</v>
      </c>
      <c r="D405" s="213" t="s">
        <v>170</v>
      </c>
      <c r="E405" s="213" t="s">
        <v>382</v>
      </c>
      <c r="F405" s="213" t="s">
        <v>327</v>
      </c>
      <c r="G405" s="27">
        <f>274.5-97.2</f>
        <v>177.3</v>
      </c>
      <c r="H405" s="27">
        <v>0</v>
      </c>
      <c r="I405" s="27">
        <f aca="true" t="shared" si="417" ref="I405:L405">274.5-97.2</f>
        <v>177.3</v>
      </c>
      <c r="J405" s="27">
        <f t="shared" si="417"/>
        <v>177.3</v>
      </c>
      <c r="K405" s="27">
        <f t="shared" si="417"/>
        <v>177.3</v>
      </c>
      <c r="L405" s="27">
        <f t="shared" si="417"/>
        <v>177.3</v>
      </c>
      <c r="M405" s="27">
        <f>'прил.№1 доходы'!I111</f>
        <v>158.5</v>
      </c>
      <c r="N405" s="27">
        <v>158.5</v>
      </c>
      <c r="O405" s="27">
        <f t="shared" si="404"/>
        <v>100</v>
      </c>
    </row>
    <row r="406" spans="1:15" ht="78.75">
      <c r="A406" s="26" t="s">
        <v>383</v>
      </c>
      <c r="B406" s="215">
        <v>903</v>
      </c>
      <c r="C406" s="213" t="s">
        <v>351</v>
      </c>
      <c r="D406" s="213" t="s">
        <v>170</v>
      </c>
      <c r="E406" s="213" t="s">
        <v>384</v>
      </c>
      <c r="F406" s="213"/>
      <c r="G406" s="27">
        <f aca="true" t="shared" si="418" ref="G406:L407">G407</f>
        <v>263.3</v>
      </c>
      <c r="H406" s="27">
        <f t="shared" si="418"/>
        <v>123.8</v>
      </c>
      <c r="I406" s="27">
        <f t="shared" si="418"/>
        <v>263.3</v>
      </c>
      <c r="J406" s="27">
        <f t="shared" si="418"/>
        <v>263.3</v>
      </c>
      <c r="K406" s="27">
        <f t="shared" si="418"/>
        <v>263.3</v>
      </c>
      <c r="L406" s="27">
        <f t="shared" si="418"/>
        <v>263.3</v>
      </c>
      <c r="M406" s="27">
        <f aca="true" t="shared" si="419" ref="M406:N407">M407</f>
        <v>273.7</v>
      </c>
      <c r="N406" s="27">
        <f t="shared" si="419"/>
        <v>119.2</v>
      </c>
      <c r="O406" s="27">
        <f t="shared" si="404"/>
        <v>43.55133357690903</v>
      </c>
    </row>
    <row r="407" spans="1:15" ht="47.25">
      <c r="A407" s="26" t="s">
        <v>324</v>
      </c>
      <c r="B407" s="215">
        <v>903</v>
      </c>
      <c r="C407" s="213" t="s">
        <v>351</v>
      </c>
      <c r="D407" s="213" t="s">
        <v>170</v>
      </c>
      <c r="E407" s="213" t="s">
        <v>384</v>
      </c>
      <c r="F407" s="213" t="s">
        <v>325</v>
      </c>
      <c r="G407" s="27">
        <f>G408</f>
        <v>263.3</v>
      </c>
      <c r="H407" s="27">
        <f>H408</f>
        <v>123.8</v>
      </c>
      <c r="I407" s="27">
        <f t="shared" si="418"/>
        <v>263.3</v>
      </c>
      <c r="J407" s="27">
        <f t="shared" si="418"/>
        <v>263.3</v>
      </c>
      <c r="K407" s="27">
        <f t="shared" si="418"/>
        <v>263.3</v>
      </c>
      <c r="L407" s="27">
        <f t="shared" si="418"/>
        <v>263.3</v>
      </c>
      <c r="M407" s="27">
        <f t="shared" si="419"/>
        <v>273.7</v>
      </c>
      <c r="N407" s="27">
        <f t="shared" si="419"/>
        <v>119.2</v>
      </c>
      <c r="O407" s="27">
        <f t="shared" si="404"/>
        <v>43.55133357690903</v>
      </c>
    </row>
    <row r="408" spans="1:15" ht="15.75">
      <c r="A408" s="26" t="s">
        <v>326</v>
      </c>
      <c r="B408" s="215">
        <v>903</v>
      </c>
      <c r="C408" s="213" t="s">
        <v>351</v>
      </c>
      <c r="D408" s="213" t="s">
        <v>170</v>
      </c>
      <c r="E408" s="213" t="s">
        <v>384</v>
      </c>
      <c r="F408" s="213" t="s">
        <v>327</v>
      </c>
      <c r="G408" s="27">
        <f>247.6+15.7</f>
        <v>263.3</v>
      </c>
      <c r="H408" s="27">
        <v>123.8</v>
      </c>
      <c r="I408" s="27">
        <f aca="true" t="shared" si="420" ref="I408:L408">247.6+15.7</f>
        <v>263.3</v>
      </c>
      <c r="J408" s="27">
        <f t="shared" si="420"/>
        <v>263.3</v>
      </c>
      <c r="K408" s="27">
        <f t="shared" si="420"/>
        <v>263.3</v>
      </c>
      <c r="L408" s="27">
        <f t="shared" si="420"/>
        <v>263.3</v>
      </c>
      <c r="M408" s="27">
        <f>'прил.№1 доходы'!I137</f>
        <v>273.7</v>
      </c>
      <c r="N408" s="27">
        <v>119.2</v>
      </c>
      <c r="O408" s="27">
        <f t="shared" si="404"/>
        <v>43.55133357690903</v>
      </c>
    </row>
    <row r="409" spans="1:15" ht="110.25">
      <c r="A409" s="33" t="s">
        <v>345</v>
      </c>
      <c r="B409" s="215">
        <v>903</v>
      </c>
      <c r="C409" s="213" t="s">
        <v>351</v>
      </c>
      <c r="D409" s="213" t="s">
        <v>170</v>
      </c>
      <c r="E409" s="213" t="s">
        <v>346</v>
      </c>
      <c r="F409" s="213"/>
      <c r="G409" s="27">
        <f aca="true" t="shared" si="421" ref="G409:L410">G410</f>
        <v>1693.3000000000002</v>
      </c>
      <c r="H409" s="27">
        <f t="shared" si="421"/>
        <v>916.8</v>
      </c>
      <c r="I409" s="27">
        <f t="shared" si="421"/>
        <v>1693.3000000000002</v>
      </c>
      <c r="J409" s="27">
        <f t="shared" si="421"/>
        <v>1693.3000000000002</v>
      </c>
      <c r="K409" s="27">
        <f t="shared" si="421"/>
        <v>1693.3000000000002</v>
      </c>
      <c r="L409" s="27">
        <f t="shared" si="421"/>
        <v>1693.3000000000002</v>
      </c>
      <c r="M409" s="27">
        <f aca="true" t="shared" si="422" ref="M409:N410">M410</f>
        <v>1648.8000000000002</v>
      </c>
      <c r="N409" s="27">
        <f t="shared" si="422"/>
        <v>654</v>
      </c>
      <c r="O409" s="27">
        <f t="shared" si="404"/>
        <v>39.66521106259097</v>
      </c>
    </row>
    <row r="410" spans="1:15" ht="47.25">
      <c r="A410" s="26" t="s">
        <v>324</v>
      </c>
      <c r="B410" s="215">
        <v>903</v>
      </c>
      <c r="C410" s="213" t="s">
        <v>351</v>
      </c>
      <c r="D410" s="213" t="s">
        <v>170</v>
      </c>
      <c r="E410" s="213" t="s">
        <v>346</v>
      </c>
      <c r="F410" s="213" t="s">
        <v>325</v>
      </c>
      <c r="G410" s="27">
        <f>G411</f>
        <v>1693.3000000000002</v>
      </c>
      <c r="H410" s="27">
        <f>H411</f>
        <v>916.8</v>
      </c>
      <c r="I410" s="27">
        <f t="shared" si="421"/>
        <v>1693.3000000000002</v>
      </c>
      <c r="J410" s="27">
        <f t="shared" si="421"/>
        <v>1693.3000000000002</v>
      </c>
      <c r="K410" s="27">
        <f t="shared" si="421"/>
        <v>1693.3000000000002</v>
      </c>
      <c r="L410" s="27">
        <f t="shared" si="421"/>
        <v>1693.3000000000002</v>
      </c>
      <c r="M410" s="27">
        <f t="shared" si="422"/>
        <v>1648.8000000000002</v>
      </c>
      <c r="N410" s="27">
        <f t="shared" si="422"/>
        <v>654</v>
      </c>
      <c r="O410" s="27">
        <f t="shared" si="404"/>
        <v>39.66521106259097</v>
      </c>
    </row>
    <row r="411" spans="1:15" ht="15.75">
      <c r="A411" s="26" t="s">
        <v>326</v>
      </c>
      <c r="B411" s="215">
        <v>903</v>
      </c>
      <c r="C411" s="213" t="s">
        <v>351</v>
      </c>
      <c r="D411" s="213" t="s">
        <v>170</v>
      </c>
      <c r="E411" s="213" t="s">
        <v>346</v>
      </c>
      <c r="F411" s="213" t="s">
        <v>327</v>
      </c>
      <c r="G411" s="27">
        <f>1929.4-236.1</f>
        <v>1693.3000000000002</v>
      </c>
      <c r="H411" s="27">
        <v>916.8</v>
      </c>
      <c r="I411" s="27">
        <f aca="true" t="shared" si="423" ref="I411:L411">1929.4-236.1</f>
        <v>1693.3000000000002</v>
      </c>
      <c r="J411" s="27">
        <f t="shared" si="423"/>
        <v>1693.3000000000002</v>
      </c>
      <c r="K411" s="27">
        <f t="shared" si="423"/>
        <v>1693.3000000000002</v>
      </c>
      <c r="L411" s="27">
        <f t="shared" si="423"/>
        <v>1693.3000000000002</v>
      </c>
      <c r="M411" s="27">
        <f>1929.4-236.1-44.5</f>
        <v>1648.8000000000002</v>
      </c>
      <c r="N411" s="27">
        <v>654</v>
      </c>
      <c r="O411" s="27">
        <f t="shared" si="404"/>
        <v>39.66521106259097</v>
      </c>
    </row>
    <row r="412" spans="1:15" ht="15.75">
      <c r="A412" s="33" t="s">
        <v>768</v>
      </c>
      <c r="B412" s="215">
        <v>903</v>
      </c>
      <c r="C412" s="213" t="s">
        <v>351</v>
      </c>
      <c r="D412" s="213" t="s">
        <v>170</v>
      </c>
      <c r="E412" s="213" t="s">
        <v>769</v>
      </c>
      <c r="F412" s="213"/>
      <c r="G412" s="27">
        <f>G413</f>
        <v>4</v>
      </c>
      <c r="H412" s="27">
        <f>H413</f>
        <v>4</v>
      </c>
      <c r="I412" s="27">
        <f aca="true" t="shared" si="424" ref="I412:L413">I413</f>
        <v>4</v>
      </c>
      <c r="J412" s="27">
        <f t="shared" si="424"/>
        <v>0</v>
      </c>
      <c r="K412" s="27">
        <f t="shared" si="424"/>
        <v>0</v>
      </c>
      <c r="L412" s="27">
        <f t="shared" si="424"/>
        <v>0</v>
      </c>
      <c r="M412" s="27">
        <f aca="true" t="shared" si="425" ref="M412:N413">M413</f>
        <v>3.3</v>
      </c>
      <c r="N412" s="27">
        <f t="shared" si="425"/>
        <v>0</v>
      </c>
      <c r="O412" s="27">
        <f t="shared" si="404"/>
        <v>0</v>
      </c>
    </row>
    <row r="413" spans="1:15" ht="47.25">
      <c r="A413" s="26" t="s">
        <v>324</v>
      </c>
      <c r="B413" s="215">
        <v>903</v>
      </c>
      <c r="C413" s="213" t="s">
        <v>351</v>
      </c>
      <c r="D413" s="213" t="s">
        <v>170</v>
      </c>
      <c r="E413" s="213" t="s">
        <v>769</v>
      </c>
      <c r="F413" s="213" t="s">
        <v>325</v>
      </c>
      <c r="G413" s="27">
        <f>G414</f>
        <v>4</v>
      </c>
      <c r="H413" s="27">
        <f>H414</f>
        <v>4</v>
      </c>
      <c r="I413" s="27">
        <f t="shared" si="424"/>
        <v>4</v>
      </c>
      <c r="J413" s="27">
        <f t="shared" si="424"/>
        <v>0</v>
      </c>
      <c r="K413" s="27">
        <f t="shared" si="424"/>
        <v>0</v>
      </c>
      <c r="L413" s="27">
        <f t="shared" si="424"/>
        <v>0</v>
      </c>
      <c r="M413" s="27">
        <f t="shared" si="425"/>
        <v>3.3</v>
      </c>
      <c r="N413" s="27">
        <f t="shared" si="425"/>
        <v>0</v>
      </c>
      <c r="O413" s="27">
        <f t="shared" si="404"/>
        <v>0</v>
      </c>
    </row>
    <row r="414" spans="1:15" ht="15.75">
      <c r="A414" s="26" t="s">
        <v>326</v>
      </c>
      <c r="B414" s="215">
        <v>903</v>
      </c>
      <c r="C414" s="213" t="s">
        <v>351</v>
      </c>
      <c r="D414" s="213" t="s">
        <v>170</v>
      </c>
      <c r="E414" s="213" t="s">
        <v>769</v>
      </c>
      <c r="F414" s="213" t="s">
        <v>327</v>
      </c>
      <c r="G414" s="27">
        <v>4</v>
      </c>
      <c r="H414" s="27">
        <v>4</v>
      </c>
      <c r="I414" s="27">
        <v>4</v>
      </c>
      <c r="J414" s="27">
        <v>0</v>
      </c>
      <c r="K414" s="27">
        <v>0</v>
      </c>
      <c r="L414" s="27">
        <v>0</v>
      </c>
      <c r="M414" s="27">
        <v>3.3</v>
      </c>
      <c r="N414" s="27">
        <v>0</v>
      </c>
      <c r="O414" s="27">
        <f t="shared" si="404"/>
        <v>0</v>
      </c>
    </row>
    <row r="415" spans="1:15" ht="31.5">
      <c r="A415" s="24" t="s">
        <v>385</v>
      </c>
      <c r="B415" s="212">
        <v>903</v>
      </c>
      <c r="C415" s="214" t="s">
        <v>351</v>
      </c>
      <c r="D415" s="214" t="s">
        <v>202</v>
      </c>
      <c r="E415" s="214"/>
      <c r="F415" s="214"/>
      <c r="G415" s="22">
        <f aca="true" t="shared" si="426" ref="G415:M415">G416+G439+G435</f>
        <v>17278.8</v>
      </c>
      <c r="H415" s="22">
        <f t="shared" si="426"/>
        <v>12491.900000000001</v>
      </c>
      <c r="I415" s="22">
        <f t="shared" si="426"/>
        <v>17713.18431372549</v>
      </c>
      <c r="J415" s="22">
        <f t="shared" si="426"/>
        <v>19592.4</v>
      </c>
      <c r="K415" s="22">
        <f t="shared" si="426"/>
        <v>19708.1</v>
      </c>
      <c r="L415" s="22">
        <f t="shared" si="426"/>
        <v>19816.199999999997</v>
      </c>
      <c r="M415" s="22">
        <f t="shared" si="426"/>
        <v>16632.4</v>
      </c>
      <c r="N415" s="22">
        <f aca="true" t="shared" si="427" ref="N415">N416+N439+N435</f>
        <v>8427.1</v>
      </c>
      <c r="O415" s="22">
        <f t="shared" si="404"/>
        <v>50.66677088093119</v>
      </c>
    </row>
    <row r="416" spans="1:15" ht="47.25" hidden="1">
      <c r="A416" s="26" t="s">
        <v>386</v>
      </c>
      <c r="B416" s="215">
        <v>903</v>
      </c>
      <c r="C416" s="213" t="s">
        <v>351</v>
      </c>
      <c r="D416" s="213" t="s">
        <v>202</v>
      </c>
      <c r="E416" s="213" t="s">
        <v>387</v>
      </c>
      <c r="F416" s="213"/>
      <c r="G416" s="27">
        <f aca="true" t="shared" si="428" ref="G416:M416">G417+G423+G429+G420+G426+G432</f>
        <v>125</v>
      </c>
      <c r="H416" s="27">
        <f t="shared" si="428"/>
        <v>0</v>
      </c>
      <c r="I416" s="27">
        <f t="shared" si="428"/>
        <v>125</v>
      </c>
      <c r="J416" s="27">
        <f t="shared" si="428"/>
        <v>0</v>
      </c>
      <c r="K416" s="27">
        <f t="shared" si="428"/>
        <v>0</v>
      </c>
      <c r="L416" s="27">
        <f t="shared" si="428"/>
        <v>0</v>
      </c>
      <c r="M416" s="27">
        <f t="shared" si="428"/>
        <v>0</v>
      </c>
      <c r="N416" s="27">
        <f aca="true" t="shared" si="429" ref="N416">N417+N423+N429+N420+N426+N432</f>
        <v>0</v>
      </c>
      <c r="O416" s="22" t="e">
        <f t="shared" si="404"/>
        <v>#DIV/0!</v>
      </c>
    </row>
    <row r="417" spans="1:15" ht="31.5" customHeight="1" hidden="1">
      <c r="A417" s="26" t="s">
        <v>388</v>
      </c>
      <c r="B417" s="215">
        <v>903</v>
      </c>
      <c r="C417" s="213" t="s">
        <v>351</v>
      </c>
      <c r="D417" s="213" t="s">
        <v>202</v>
      </c>
      <c r="E417" s="213" t="s">
        <v>389</v>
      </c>
      <c r="F417" s="213"/>
      <c r="G417" s="27">
        <f>G418</f>
        <v>0</v>
      </c>
      <c r="H417" s="27">
        <f>H418</f>
        <v>0</v>
      </c>
      <c r="I417" s="27">
        <f aca="true" t="shared" si="430" ref="I417:L418">I418</f>
        <v>0</v>
      </c>
      <c r="J417" s="27">
        <f t="shared" si="430"/>
        <v>0</v>
      </c>
      <c r="K417" s="27">
        <f t="shared" si="430"/>
        <v>0</v>
      </c>
      <c r="L417" s="27">
        <f t="shared" si="430"/>
        <v>0</v>
      </c>
      <c r="M417" s="27">
        <f aca="true" t="shared" si="431" ref="M417:N418">M418</f>
        <v>0</v>
      </c>
      <c r="N417" s="27">
        <f t="shared" si="431"/>
        <v>0</v>
      </c>
      <c r="O417" s="22" t="e">
        <f t="shared" si="404"/>
        <v>#DIV/0!</v>
      </c>
    </row>
    <row r="418" spans="1:15" ht="31.5" customHeight="1" hidden="1">
      <c r="A418" s="26" t="s">
        <v>183</v>
      </c>
      <c r="B418" s="215">
        <v>903</v>
      </c>
      <c r="C418" s="213" t="s">
        <v>351</v>
      </c>
      <c r="D418" s="213" t="s">
        <v>202</v>
      </c>
      <c r="E418" s="213" t="s">
        <v>389</v>
      </c>
      <c r="F418" s="213" t="s">
        <v>184</v>
      </c>
      <c r="G418" s="27">
        <f>G419</f>
        <v>0</v>
      </c>
      <c r="H418" s="27">
        <f>H419</f>
        <v>0</v>
      </c>
      <c r="I418" s="27">
        <f t="shared" si="430"/>
        <v>0</v>
      </c>
      <c r="J418" s="27">
        <f t="shared" si="430"/>
        <v>0</v>
      </c>
      <c r="K418" s="27">
        <f t="shared" si="430"/>
        <v>0</v>
      </c>
      <c r="L418" s="27">
        <f t="shared" si="430"/>
        <v>0</v>
      </c>
      <c r="M418" s="27">
        <f t="shared" si="431"/>
        <v>0</v>
      </c>
      <c r="N418" s="27">
        <f t="shared" si="431"/>
        <v>0</v>
      </c>
      <c r="O418" s="22" t="e">
        <f t="shared" si="404"/>
        <v>#DIV/0!</v>
      </c>
    </row>
    <row r="419" spans="1:15" ht="47.25" customHeight="1" hidden="1">
      <c r="A419" s="26" t="s">
        <v>185</v>
      </c>
      <c r="B419" s="215">
        <v>903</v>
      </c>
      <c r="C419" s="213" t="s">
        <v>351</v>
      </c>
      <c r="D419" s="213" t="s">
        <v>202</v>
      </c>
      <c r="E419" s="213" t="s">
        <v>389</v>
      </c>
      <c r="F419" s="213" t="s">
        <v>186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2" t="e">
        <f t="shared" si="404"/>
        <v>#DIV/0!</v>
      </c>
    </row>
    <row r="420" spans="1:15" ht="47.25" customHeight="1" hidden="1">
      <c r="A420" s="120" t="s">
        <v>922</v>
      </c>
      <c r="B420" s="215">
        <v>903</v>
      </c>
      <c r="C420" s="213" t="s">
        <v>351</v>
      </c>
      <c r="D420" s="213" t="s">
        <v>202</v>
      </c>
      <c r="E420" s="213" t="s">
        <v>389</v>
      </c>
      <c r="F420" s="213"/>
      <c r="G420" s="27">
        <f>G421</f>
        <v>0</v>
      </c>
      <c r="H420" s="27">
        <f aca="true" t="shared" si="432" ref="H420:N421">H421</f>
        <v>0</v>
      </c>
      <c r="I420" s="27">
        <f t="shared" si="432"/>
        <v>0</v>
      </c>
      <c r="J420" s="27">
        <f t="shared" si="432"/>
        <v>0</v>
      </c>
      <c r="K420" s="27">
        <f t="shared" si="432"/>
        <v>0</v>
      </c>
      <c r="L420" s="27">
        <f t="shared" si="432"/>
        <v>0</v>
      </c>
      <c r="M420" s="27">
        <f t="shared" si="432"/>
        <v>0</v>
      </c>
      <c r="N420" s="27">
        <f t="shared" si="432"/>
        <v>0</v>
      </c>
      <c r="O420" s="22" t="e">
        <f t="shared" si="404"/>
        <v>#DIV/0!</v>
      </c>
    </row>
    <row r="421" spans="1:15" ht="47.25" customHeight="1" hidden="1">
      <c r="A421" s="26" t="s">
        <v>183</v>
      </c>
      <c r="B421" s="215">
        <v>903</v>
      </c>
      <c r="C421" s="213" t="s">
        <v>351</v>
      </c>
      <c r="D421" s="213" t="s">
        <v>202</v>
      </c>
      <c r="E421" s="213" t="s">
        <v>389</v>
      </c>
      <c r="F421" s="213" t="s">
        <v>184</v>
      </c>
      <c r="G421" s="27">
        <f>G422</f>
        <v>0</v>
      </c>
      <c r="H421" s="27">
        <f t="shared" si="432"/>
        <v>0</v>
      </c>
      <c r="I421" s="27">
        <f t="shared" si="432"/>
        <v>0</v>
      </c>
      <c r="J421" s="27">
        <f t="shared" si="432"/>
        <v>0</v>
      </c>
      <c r="K421" s="27">
        <f t="shared" si="432"/>
        <v>0</v>
      </c>
      <c r="L421" s="27">
        <f t="shared" si="432"/>
        <v>0</v>
      </c>
      <c r="M421" s="27">
        <f t="shared" si="432"/>
        <v>0</v>
      </c>
      <c r="N421" s="27">
        <f t="shared" si="432"/>
        <v>0</v>
      </c>
      <c r="O421" s="22" t="e">
        <f t="shared" si="404"/>
        <v>#DIV/0!</v>
      </c>
    </row>
    <row r="422" spans="1:15" ht="47.25" customHeight="1" hidden="1">
      <c r="A422" s="26" t="s">
        <v>185</v>
      </c>
      <c r="B422" s="215">
        <v>903</v>
      </c>
      <c r="C422" s="213" t="s">
        <v>351</v>
      </c>
      <c r="D422" s="213" t="s">
        <v>202</v>
      </c>
      <c r="E422" s="213" t="s">
        <v>389</v>
      </c>
      <c r="F422" s="213" t="s">
        <v>186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2" t="e">
        <f t="shared" si="404"/>
        <v>#DIV/0!</v>
      </c>
    </row>
    <row r="423" spans="1:15" ht="31.5" hidden="1">
      <c r="A423" s="26" t="s">
        <v>390</v>
      </c>
      <c r="B423" s="215">
        <v>903</v>
      </c>
      <c r="C423" s="213" t="s">
        <v>351</v>
      </c>
      <c r="D423" s="213" t="s">
        <v>202</v>
      </c>
      <c r="E423" s="213" t="s">
        <v>391</v>
      </c>
      <c r="F423" s="213"/>
      <c r="G423" s="27">
        <f>G424</f>
        <v>20</v>
      </c>
      <c r="H423" s="27">
        <f>H424</f>
        <v>0</v>
      </c>
      <c r="I423" s="27">
        <f aca="true" t="shared" si="433" ref="I423:L424">I424</f>
        <v>20</v>
      </c>
      <c r="J423" s="27">
        <f t="shared" si="433"/>
        <v>0</v>
      </c>
      <c r="K423" s="27">
        <f t="shared" si="433"/>
        <v>0</v>
      </c>
      <c r="L423" s="27">
        <f t="shared" si="433"/>
        <v>0</v>
      </c>
      <c r="M423" s="27">
        <f aca="true" t="shared" si="434" ref="M423:N424">M424</f>
        <v>0</v>
      </c>
      <c r="N423" s="27">
        <f t="shared" si="434"/>
        <v>0</v>
      </c>
      <c r="O423" s="22" t="e">
        <f t="shared" si="404"/>
        <v>#DIV/0!</v>
      </c>
    </row>
    <row r="424" spans="1:15" ht="31.5" hidden="1">
      <c r="A424" s="26" t="s">
        <v>183</v>
      </c>
      <c r="B424" s="215">
        <v>903</v>
      </c>
      <c r="C424" s="213" t="s">
        <v>351</v>
      </c>
      <c r="D424" s="213" t="s">
        <v>202</v>
      </c>
      <c r="E424" s="213" t="s">
        <v>391</v>
      </c>
      <c r="F424" s="213" t="s">
        <v>184</v>
      </c>
      <c r="G424" s="27">
        <f>G425</f>
        <v>20</v>
      </c>
      <c r="H424" s="27">
        <f>H425</f>
        <v>0</v>
      </c>
      <c r="I424" s="27">
        <f t="shared" si="433"/>
        <v>20</v>
      </c>
      <c r="J424" s="27">
        <f t="shared" si="433"/>
        <v>0</v>
      </c>
      <c r="K424" s="27">
        <f t="shared" si="433"/>
        <v>0</v>
      </c>
      <c r="L424" s="27">
        <f t="shared" si="433"/>
        <v>0</v>
      </c>
      <c r="M424" s="27">
        <f t="shared" si="434"/>
        <v>0</v>
      </c>
      <c r="N424" s="27">
        <f t="shared" si="434"/>
        <v>0</v>
      </c>
      <c r="O424" s="22" t="e">
        <f t="shared" si="404"/>
        <v>#DIV/0!</v>
      </c>
    </row>
    <row r="425" spans="1:15" ht="47.25" hidden="1">
      <c r="A425" s="26" t="s">
        <v>185</v>
      </c>
      <c r="B425" s="215">
        <v>903</v>
      </c>
      <c r="C425" s="213" t="s">
        <v>351</v>
      </c>
      <c r="D425" s="213" t="s">
        <v>202</v>
      </c>
      <c r="E425" s="213" t="s">
        <v>391</v>
      </c>
      <c r="F425" s="213" t="s">
        <v>186</v>
      </c>
      <c r="G425" s="27">
        <v>20</v>
      </c>
      <c r="H425" s="27">
        <v>0</v>
      </c>
      <c r="I425" s="27">
        <v>20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2" t="e">
        <f t="shared" si="404"/>
        <v>#DIV/0!</v>
      </c>
    </row>
    <row r="426" spans="1:15" ht="47.25" hidden="1">
      <c r="A426" s="33" t="s">
        <v>923</v>
      </c>
      <c r="B426" s="215">
        <v>903</v>
      </c>
      <c r="C426" s="213" t="s">
        <v>351</v>
      </c>
      <c r="D426" s="213" t="s">
        <v>202</v>
      </c>
      <c r="E426" s="213" t="s">
        <v>920</v>
      </c>
      <c r="F426" s="213"/>
      <c r="G426" s="27">
        <f>G427</f>
        <v>0</v>
      </c>
      <c r="H426" s="27">
        <f aca="true" t="shared" si="435" ref="H426:N427">H427</f>
        <v>0</v>
      </c>
      <c r="I426" s="27">
        <f t="shared" si="435"/>
        <v>0</v>
      </c>
      <c r="J426" s="27">
        <f t="shared" si="435"/>
        <v>0</v>
      </c>
      <c r="K426" s="27">
        <f t="shared" si="435"/>
        <v>0</v>
      </c>
      <c r="L426" s="27">
        <f t="shared" si="435"/>
        <v>0</v>
      </c>
      <c r="M426" s="27">
        <f t="shared" si="435"/>
        <v>0</v>
      </c>
      <c r="N426" s="27">
        <f t="shared" si="435"/>
        <v>0</v>
      </c>
      <c r="O426" s="22" t="e">
        <f t="shared" si="404"/>
        <v>#DIV/0!</v>
      </c>
    </row>
    <row r="427" spans="1:15" ht="31.5" hidden="1">
      <c r="A427" s="26" t="s">
        <v>183</v>
      </c>
      <c r="B427" s="215">
        <v>903</v>
      </c>
      <c r="C427" s="213" t="s">
        <v>351</v>
      </c>
      <c r="D427" s="213" t="s">
        <v>202</v>
      </c>
      <c r="E427" s="213" t="s">
        <v>920</v>
      </c>
      <c r="F427" s="213" t="s">
        <v>184</v>
      </c>
      <c r="G427" s="27">
        <f>G428</f>
        <v>0</v>
      </c>
      <c r="H427" s="27">
        <f t="shared" si="435"/>
        <v>0</v>
      </c>
      <c r="I427" s="27">
        <f t="shared" si="435"/>
        <v>0</v>
      </c>
      <c r="J427" s="27">
        <f t="shared" si="435"/>
        <v>0</v>
      </c>
      <c r="K427" s="27">
        <f t="shared" si="435"/>
        <v>0</v>
      </c>
      <c r="L427" s="27">
        <f t="shared" si="435"/>
        <v>0</v>
      </c>
      <c r="M427" s="27">
        <f t="shared" si="435"/>
        <v>0</v>
      </c>
      <c r="N427" s="27">
        <f t="shared" si="435"/>
        <v>0</v>
      </c>
      <c r="O427" s="22" t="e">
        <f t="shared" si="404"/>
        <v>#DIV/0!</v>
      </c>
    </row>
    <row r="428" spans="1:15" ht="47.25" hidden="1">
      <c r="A428" s="26" t="s">
        <v>185</v>
      </c>
      <c r="B428" s="215">
        <v>903</v>
      </c>
      <c r="C428" s="213" t="s">
        <v>351</v>
      </c>
      <c r="D428" s="213" t="s">
        <v>202</v>
      </c>
      <c r="E428" s="213" t="s">
        <v>920</v>
      </c>
      <c r="F428" s="213" t="s">
        <v>186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2" t="e">
        <f t="shared" si="404"/>
        <v>#DIV/0!</v>
      </c>
    </row>
    <row r="429" spans="1:15" ht="63" hidden="1">
      <c r="A429" s="26" t="s">
        <v>806</v>
      </c>
      <c r="B429" s="215">
        <v>903</v>
      </c>
      <c r="C429" s="213" t="s">
        <v>351</v>
      </c>
      <c r="D429" s="213" t="s">
        <v>202</v>
      </c>
      <c r="E429" s="213" t="s">
        <v>925</v>
      </c>
      <c r="F429" s="213"/>
      <c r="G429" s="27">
        <f>G430</f>
        <v>105</v>
      </c>
      <c r="H429" s="27">
        <f>H430</f>
        <v>0</v>
      </c>
      <c r="I429" s="27">
        <f aca="true" t="shared" si="436" ref="I429:L430">I430</f>
        <v>105</v>
      </c>
      <c r="J429" s="27">
        <f t="shared" si="436"/>
        <v>0</v>
      </c>
      <c r="K429" s="27">
        <f t="shared" si="436"/>
        <v>0</v>
      </c>
      <c r="L429" s="27">
        <f t="shared" si="436"/>
        <v>0</v>
      </c>
      <c r="M429" s="27">
        <f aca="true" t="shared" si="437" ref="M429:N430">M430</f>
        <v>0</v>
      </c>
      <c r="N429" s="27">
        <f t="shared" si="437"/>
        <v>0</v>
      </c>
      <c r="O429" s="22" t="e">
        <f t="shared" si="404"/>
        <v>#DIV/0!</v>
      </c>
    </row>
    <row r="430" spans="1:15" ht="31.5" hidden="1">
      <c r="A430" s="26" t="s">
        <v>183</v>
      </c>
      <c r="B430" s="215">
        <v>903</v>
      </c>
      <c r="C430" s="213" t="s">
        <v>351</v>
      </c>
      <c r="D430" s="213" t="s">
        <v>202</v>
      </c>
      <c r="E430" s="213" t="s">
        <v>925</v>
      </c>
      <c r="F430" s="213" t="s">
        <v>184</v>
      </c>
      <c r="G430" s="27">
        <f>G431</f>
        <v>105</v>
      </c>
      <c r="H430" s="27">
        <f>H431</f>
        <v>0</v>
      </c>
      <c r="I430" s="27">
        <f t="shared" si="436"/>
        <v>105</v>
      </c>
      <c r="J430" s="27">
        <f t="shared" si="436"/>
        <v>0</v>
      </c>
      <c r="K430" s="27">
        <f t="shared" si="436"/>
        <v>0</v>
      </c>
      <c r="L430" s="27">
        <f t="shared" si="436"/>
        <v>0</v>
      </c>
      <c r="M430" s="27">
        <f t="shared" si="437"/>
        <v>0</v>
      </c>
      <c r="N430" s="27">
        <f t="shared" si="437"/>
        <v>0</v>
      </c>
      <c r="O430" s="22" t="e">
        <f t="shared" si="404"/>
        <v>#DIV/0!</v>
      </c>
    </row>
    <row r="431" spans="1:15" ht="47.25" hidden="1">
      <c r="A431" s="26" t="s">
        <v>185</v>
      </c>
      <c r="B431" s="215">
        <v>903</v>
      </c>
      <c r="C431" s="213" t="s">
        <v>351</v>
      </c>
      <c r="D431" s="213" t="s">
        <v>202</v>
      </c>
      <c r="E431" s="213" t="s">
        <v>925</v>
      </c>
      <c r="F431" s="213" t="s">
        <v>186</v>
      </c>
      <c r="G431" s="27">
        <f>55+50</f>
        <v>105</v>
      </c>
      <c r="H431" s="27">
        <v>0</v>
      </c>
      <c r="I431" s="27">
        <f aca="true" t="shared" si="438" ref="I431">55+50</f>
        <v>105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2" t="e">
        <f t="shared" si="404"/>
        <v>#DIV/0!</v>
      </c>
    </row>
    <row r="432" spans="1:15" ht="31.5" hidden="1">
      <c r="A432" s="33" t="s">
        <v>924</v>
      </c>
      <c r="B432" s="215">
        <v>903</v>
      </c>
      <c r="C432" s="213" t="s">
        <v>351</v>
      </c>
      <c r="D432" s="213" t="s">
        <v>202</v>
      </c>
      <c r="E432" s="213" t="s">
        <v>921</v>
      </c>
      <c r="F432" s="213"/>
      <c r="G432" s="27">
        <f>G433</f>
        <v>0</v>
      </c>
      <c r="H432" s="27">
        <f aca="true" t="shared" si="439" ref="H432:N433">H433</f>
        <v>0</v>
      </c>
      <c r="I432" s="27">
        <f t="shared" si="439"/>
        <v>0</v>
      </c>
      <c r="J432" s="27">
        <f t="shared" si="439"/>
        <v>0</v>
      </c>
      <c r="K432" s="27">
        <f t="shared" si="439"/>
        <v>0</v>
      </c>
      <c r="L432" s="27">
        <f t="shared" si="439"/>
        <v>0</v>
      </c>
      <c r="M432" s="27">
        <f t="shared" si="439"/>
        <v>0</v>
      </c>
      <c r="N432" s="27">
        <f t="shared" si="439"/>
        <v>0</v>
      </c>
      <c r="O432" s="22" t="e">
        <f t="shared" si="404"/>
        <v>#DIV/0!</v>
      </c>
    </row>
    <row r="433" spans="1:15" ht="31.5" hidden="1">
      <c r="A433" s="26" t="s">
        <v>183</v>
      </c>
      <c r="B433" s="215">
        <v>903</v>
      </c>
      <c r="C433" s="213" t="s">
        <v>351</v>
      </c>
      <c r="D433" s="213" t="s">
        <v>202</v>
      </c>
      <c r="E433" s="213" t="s">
        <v>921</v>
      </c>
      <c r="F433" s="213" t="s">
        <v>184</v>
      </c>
      <c r="G433" s="27">
        <f>G434</f>
        <v>0</v>
      </c>
      <c r="H433" s="27">
        <f t="shared" si="439"/>
        <v>0</v>
      </c>
      <c r="I433" s="27">
        <f t="shared" si="439"/>
        <v>0</v>
      </c>
      <c r="J433" s="27">
        <f t="shared" si="439"/>
        <v>0</v>
      </c>
      <c r="K433" s="27">
        <f t="shared" si="439"/>
        <v>0</v>
      </c>
      <c r="L433" s="27">
        <f t="shared" si="439"/>
        <v>0</v>
      </c>
      <c r="M433" s="27">
        <f t="shared" si="439"/>
        <v>0</v>
      </c>
      <c r="N433" s="27">
        <f t="shared" si="439"/>
        <v>0</v>
      </c>
      <c r="O433" s="22" t="e">
        <f t="shared" si="404"/>
        <v>#DIV/0!</v>
      </c>
    </row>
    <row r="434" spans="1:15" ht="47.25" hidden="1">
      <c r="A434" s="26" t="s">
        <v>185</v>
      </c>
      <c r="B434" s="215">
        <v>903</v>
      </c>
      <c r="C434" s="213" t="s">
        <v>351</v>
      </c>
      <c r="D434" s="213" t="s">
        <v>202</v>
      </c>
      <c r="E434" s="213" t="s">
        <v>921</v>
      </c>
      <c r="F434" s="213" t="s">
        <v>186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2" t="e">
        <f t="shared" si="404"/>
        <v>#DIV/0!</v>
      </c>
    </row>
    <row r="435" spans="1:15" ht="63" hidden="1">
      <c r="A435" s="31" t="s">
        <v>805</v>
      </c>
      <c r="B435" s="215">
        <v>903</v>
      </c>
      <c r="C435" s="213" t="s">
        <v>351</v>
      </c>
      <c r="D435" s="213" t="s">
        <v>202</v>
      </c>
      <c r="E435" s="213" t="s">
        <v>803</v>
      </c>
      <c r="F435" s="213"/>
      <c r="G435" s="27">
        <f>G436</f>
        <v>5</v>
      </c>
      <c r="H435" s="27">
        <f aca="true" t="shared" si="440" ref="H435:H437">H436</f>
        <v>0</v>
      </c>
      <c r="I435" s="27">
        <f aca="true" t="shared" si="441" ref="I435:L437">I436</f>
        <v>5</v>
      </c>
      <c r="J435" s="27">
        <f t="shared" si="441"/>
        <v>0</v>
      </c>
      <c r="K435" s="27">
        <f t="shared" si="441"/>
        <v>0</v>
      </c>
      <c r="L435" s="27">
        <f t="shared" si="441"/>
        <v>0</v>
      </c>
      <c r="M435" s="27">
        <f aca="true" t="shared" si="442" ref="M435:N437">M436</f>
        <v>0</v>
      </c>
      <c r="N435" s="27">
        <f t="shared" si="442"/>
        <v>0</v>
      </c>
      <c r="O435" s="22" t="e">
        <f t="shared" si="404"/>
        <v>#DIV/0!</v>
      </c>
    </row>
    <row r="436" spans="1:15" ht="31.5" hidden="1">
      <c r="A436" s="26" t="s">
        <v>421</v>
      </c>
      <c r="B436" s="215">
        <v>903</v>
      </c>
      <c r="C436" s="213" t="s">
        <v>351</v>
      </c>
      <c r="D436" s="213" t="s">
        <v>202</v>
      </c>
      <c r="E436" s="213" t="s">
        <v>811</v>
      </c>
      <c r="F436" s="213"/>
      <c r="G436" s="27">
        <f>G437</f>
        <v>5</v>
      </c>
      <c r="H436" s="27">
        <f t="shared" si="440"/>
        <v>0</v>
      </c>
      <c r="I436" s="27">
        <f t="shared" si="441"/>
        <v>5</v>
      </c>
      <c r="J436" s="27">
        <f t="shared" si="441"/>
        <v>0</v>
      </c>
      <c r="K436" s="27">
        <f t="shared" si="441"/>
        <v>0</v>
      </c>
      <c r="L436" s="27">
        <f t="shared" si="441"/>
        <v>0</v>
      </c>
      <c r="M436" s="27">
        <f t="shared" si="442"/>
        <v>0</v>
      </c>
      <c r="N436" s="27">
        <f t="shared" si="442"/>
        <v>0</v>
      </c>
      <c r="O436" s="22" t="e">
        <f t="shared" si="404"/>
        <v>#DIV/0!</v>
      </c>
    </row>
    <row r="437" spans="1:15" ht="31.5" hidden="1">
      <c r="A437" s="26" t="s">
        <v>183</v>
      </c>
      <c r="B437" s="215">
        <v>903</v>
      </c>
      <c r="C437" s="213" t="s">
        <v>351</v>
      </c>
      <c r="D437" s="213" t="s">
        <v>202</v>
      </c>
      <c r="E437" s="213" t="s">
        <v>811</v>
      </c>
      <c r="F437" s="213" t="s">
        <v>184</v>
      </c>
      <c r="G437" s="27">
        <f>G438</f>
        <v>5</v>
      </c>
      <c r="H437" s="27">
        <f t="shared" si="440"/>
        <v>0</v>
      </c>
      <c r="I437" s="27">
        <f t="shared" si="441"/>
        <v>5</v>
      </c>
      <c r="J437" s="27">
        <f t="shared" si="441"/>
        <v>0</v>
      </c>
      <c r="K437" s="27">
        <f t="shared" si="441"/>
        <v>0</v>
      </c>
      <c r="L437" s="27">
        <f t="shared" si="441"/>
        <v>0</v>
      </c>
      <c r="M437" s="27">
        <f t="shared" si="442"/>
        <v>0</v>
      </c>
      <c r="N437" s="27">
        <f t="shared" si="442"/>
        <v>0</v>
      </c>
      <c r="O437" s="22" t="e">
        <f t="shared" si="404"/>
        <v>#DIV/0!</v>
      </c>
    </row>
    <row r="438" spans="1:15" ht="47.25" hidden="1">
      <c r="A438" s="26" t="s">
        <v>185</v>
      </c>
      <c r="B438" s="215">
        <v>903</v>
      </c>
      <c r="C438" s="213" t="s">
        <v>351</v>
      </c>
      <c r="D438" s="213" t="s">
        <v>202</v>
      </c>
      <c r="E438" s="213" t="s">
        <v>811</v>
      </c>
      <c r="F438" s="213" t="s">
        <v>186</v>
      </c>
      <c r="G438" s="27">
        <v>5</v>
      </c>
      <c r="H438" s="27">
        <v>0</v>
      </c>
      <c r="I438" s="27">
        <v>5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2" t="e">
        <f t="shared" si="404"/>
        <v>#DIV/0!</v>
      </c>
    </row>
    <row r="439" spans="1:15" ht="15.75">
      <c r="A439" s="26" t="s">
        <v>173</v>
      </c>
      <c r="B439" s="215">
        <v>903</v>
      </c>
      <c r="C439" s="213" t="s">
        <v>351</v>
      </c>
      <c r="D439" s="213" t="s">
        <v>202</v>
      </c>
      <c r="E439" s="213" t="s">
        <v>174</v>
      </c>
      <c r="F439" s="213"/>
      <c r="G439" s="27">
        <f aca="true" t="shared" si="443" ref="G439:L439">G440+G446</f>
        <v>17148.8</v>
      </c>
      <c r="H439" s="27">
        <f t="shared" si="443"/>
        <v>12491.900000000001</v>
      </c>
      <c r="I439" s="27">
        <f t="shared" si="443"/>
        <v>17583.18431372549</v>
      </c>
      <c r="J439" s="27">
        <f t="shared" si="443"/>
        <v>19592.4</v>
      </c>
      <c r="K439" s="27">
        <f t="shared" si="443"/>
        <v>19708.1</v>
      </c>
      <c r="L439" s="27">
        <f t="shared" si="443"/>
        <v>19816.199999999997</v>
      </c>
      <c r="M439" s="27">
        <f aca="true" t="shared" si="444" ref="M439:N439">M440+M446</f>
        <v>16632.4</v>
      </c>
      <c r="N439" s="27">
        <f t="shared" si="444"/>
        <v>8427.1</v>
      </c>
      <c r="O439" s="27">
        <f t="shared" si="404"/>
        <v>50.66677088093119</v>
      </c>
    </row>
    <row r="440" spans="1:15" ht="31.5">
      <c r="A440" s="26" t="s">
        <v>175</v>
      </c>
      <c r="B440" s="215">
        <v>903</v>
      </c>
      <c r="C440" s="213" t="s">
        <v>351</v>
      </c>
      <c r="D440" s="213" t="s">
        <v>202</v>
      </c>
      <c r="E440" s="213" t="s">
        <v>176</v>
      </c>
      <c r="F440" s="213"/>
      <c r="G440" s="27">
        <f>G441</f>
        <v>6754.9</v>
      </c>
      <c r="H440" s="27">
        <f>H441</f>
        <v>5148.5</v>
      </c>
      <c r="I440" s="27">
        <f aca="true" t="shared" si="445" ref="I440:L440">I441</f>
        <v>7268.470588235295</v>
      </c>
      <c r="J440" s="27">
        <f t="shared" si="445"/>
        <v>8328</v>
      </c>
      <c r="K440" s="27">
        <f t="shared" si="445"/>
        <v>8328</v>
      </c>
      <c r="L440" s="27">
        <f t="shared" si="445"/>
        <v>8328</v>
      </c>
      <c r="M440" s="27">
        <f aca="true" t="shared" si="446" ref="M440:N440">M441</f>
        <v>6254.9</v>
      </c>
      <c r="N440" s="27">
        <f t="shared" si="446"/>
        <v>3920.1</v>
      </c>
      <c r="O440" s="27">
        <f t="shared" si="404"/>
        <v>62.67246478760652</v>
      </c>
    </row>
    <row r="441" spans="1:15" ht="47.25">
      <c r="A441" s="26" t="s">
        <v>177</v>
      </c>
      <c r="B441" s="215">
        <v>903</v>
      </c>
      <c r="C441" s="213" t="s">
        <v>351</v>
      </c>
      <c r="D441" s="213" t="s">
        <v>202</v>
      </c>
      <c r="E441" s="213" t="s">
        <v>178</v>
      </c>
      <c r="F441" s="213"/>
      <c r="G441" s="27">
        <f aca="true" t="shared" si="447" ref="G441:L441">G442+G444</f>
        <v>6754.9</v>
      </c>
      <c r="H441" s="27">
        <f t="shared" si="447"/>
        <v>5148.5</v>
      </c>
      <c r="I441" s="27">
        <f t="shared" si="447"/>
        <v>7268.470588235295</v>
      </c>
      <c r="J441" s="27">
        <f t="shared" si="447"/>
        <v>8328</v>
      </c>
      <c r="K441" s="27">
        <f t="shared" si="447"/>
        <v>8328</v>
      </c>
      <c r="L441" s="27">
        <f t="shared" si="447"/>
        <v>8328</v>
      </c>
      <c r="M441" s="27">
        <f aca="true" t="shared" si="448" ref="M441:N441">M442+M444</f>
        <v>6254.9</v>
      </c>
      <c r="N441" s="27">
        <f t="shared" si="448"/>
        <v>3920.1</v>
      </c>
      <c r="O441" s="27">
        <f t="shared" si="404"/>
        <v>62.67246478760652</v>
      </c>
    </row>
    <row r="442" spans="1:15" ht="94.5">
      <c r="A442" s="26" t="s">
        <v>179</v>
      </c>
      <c r="B442" s="215">
        <v>903</v>
      </c>
      <c r="C442" s="213" t="s">
        <v>351</v>
      </c>
      <c r="D442" s="213" t="s">
        <v>202</v>
      </c>
      <c r="E442" s="213" t="s">
        <v>178</v>
      </c>
      <c r="F442" s="213" t="s">
        <v>180</v>
      </c>
      <c r="G442" s="27">
        <f>G443</f>
        <v>6754.9</v>
      </c>
      <c r="H442" s="27">
        <f>H443</f>
        <v>5148.5</v>
      </c>
      <c r="I442" s="27">
        <f aca="true" t="shared" si="449" ref="I442:L442">I443</f>
        <v>7268.470588235295</v>
      </c>
      <c r="J442" s="27">
        <f t="shared" si="449"/>
        <v>8114</v>
      </c>
      <c r="K442" s="27">
        <f t="shared" si="449"/>
        <v>8114</v>
      </c>
      <c r="L442" s="27">
        <f t="shared" si="449"/>
        <v>8114</v>
      </c>
      <c r="M442" s="27">
        <f aca="true" t="shared" si="450" ref="M442:N442">M443</f>
        <v>6254.9</v>
      </c>
      <c r="N442" s="27">
        <f t="shared" si="450"/>
        <v>3920.1</v>
      </c>
      <c r="O442" s="27">
        <f t="shared" si="404"/>
        <v>62.67246478760652</v>
      </c>
    </row>
    <row r="443" spans="1:15" ht="31.5">
      <c r="A443" s="26" t="s">
        <v>181</v>
      </c>
      <c r="B443" s="215">
        <v>903</v>
      </c>
      <c r="C443" s="213" t="s">
        <v>351</v>
      </c>
      <c r="D443" s="213" t="s">
        <v>202</v>
      </c>
      <c r="E443" s="213" t="s">
        <v>178</v>
      </c>
      <c r="F443" s="213" t="s">
        <v>182</v>
      </c>
      <c r="G443" s="28">
        <v>6754.9</v>
      </c>
      <c r="H443" s="28">
        <v>5148.5</v>
      </c>
      <c r="I443" s="28">
        <f>H443/8.5*12</f>
        <v>7268.470588235295</v>
      </c>
      <c r="J443" s="28">
        <v>8114</v>
      </c>
      <c r="K443" s="28">
        <f>J443</f>
        <v>8114</v>
      </c>
      <c r="L443" s="28">
        <f>K443</f>
        <v>8114</v>
      </c>
      <c r="M443" s="28">
        <v>6254.9</v>
      </c>
      <c r="N443" s="28">
        <v>3920.1</v>
      </c>
      <c r="O443" s="27">
        <f t="shared" si="404"/>
        <v>62.67246478760652</v>
      </c>
    </row>
    <row r="444" spans="1:15" ht="31.5" customHeight="1" hidden="1">
      <c r="A444" s="26" t="s">
        <v>183</v>
      </c>
      <c r="B444" s="215">
        <v>903</v>
      </c>
      <c r="C444" s="213" t="s">
        <v>351</v>
      </c>
      <c r="D444" s="213" t="s">
        <v>202</v>
      </c>
      <c r="E444" s="213" t="s">
        <v>178</v>
      </c>
      <c r="F444" s="213" t="s">
        <v>184</v>
      </c>
      <c r="G444" s="27">
        <f aca="true" t="shared" si="451" ref="G444:L444">G445</f>
        <v>0</v>
      </c>
      <c r="H444" s="27">
        <f t="shared" si="451"/>
        <v>0</v>
      </c>
      <c r="I444" s="27">
        <f t="shared" si="451"/>
        <v>0</v>
      </c>
      <c r="J444" s="27">
        <f t="shared" si="451"/>
        <v>214</v>
      </c>
      <c r="K444" s="27">
        <f t="shared" si="451"/>
        <v>214</v>
      </c>
      <c r="L444" s="27">
        <f t="shared" si="451"/>
        <v>214</v>
      </c>
      <c r="M444" s="27">
        <f aca="true" t="shared" si="452" ref="M444:N444">M445</f>
        <v>0</v>
      </c>
      <c r="N444" s="27">
        <f t="shared" si="452"/>
        <v>0</v>
      </c>
      <c r="O444" s="27" t="e">
        <f t="shared" si="404"/>
        <v>#DIV/0!</v>
      </c>
    </row>
    <row r="445" spans="1:15" ht="47.25" customHeight="1" hidden="1">
      <c r="A445" s="26" t="s">
        <v>185</v>
      </c>
      <c r="B445" s="215">
        <v>903</v>
      </c>
      <c r="C445" s="213" t="s">
        <v>351</v>
      </c>
      <c r="D445" s="213" t="s">
        <v>202</v>
      </c>
      <c r="E445" s="213" t="s">
        <v>178</v>
      </c>
      <c r="F445" s="213" t="s">
        <v>186</v>
      </c>
      <c r="G445" s="27">
        <v>0</v>
      </c>
      <c r="H445" s="27">
        <v>0</v>
      </c>
      <c r="I445" s="27">
        <v>0</v>
      </c>
      <c r="J445" s="27">
        <v>214</v>
      </c>
      <c r="K445" s="27">
        <f>J445</f>
        <v>214</v>
      </c>
      <c r="L445" s="27">
        <f>K445</f>
        <v>214</v>
      </c>
      <c r="M445" s="27">
        <v>0</v>
      </c>
      <c r="N445" s="27">
        <v>0</v>
      </c>
      <c r="O445" s="27" t="e">
        <f t="shared" si="404"/>
        <v>#DIV/0!</v>
      </c>
    </row>
    <row r="446" spans="1:15" ht="15.75">
      <c r="A446" s="26" t="s">
        <v>193</v>
      </c>
      <c r="B446" s="215">
        <v>903</v>
      </c>
      <c r="C446" s="213" t="s">
        <v>351</v>
      </c>
      <c r="D446" s="213" t="s">
        <v>202</v>
      </c>
      <c r="E446" s="213" t="s">
        <v>194</v>
      </c>
      <c r="F446" s="213"/>
      <c r="G446" s="27">
        <f>G447</f>
        <v>10393.9</v>
      </c>
      <c r="H446" s="27">
        <f>H447</f>
        <v>7343.400000000001</v>
      </c>
      <c r="I446" s="27">
        <f aca="true" t="shared" si="453" ref="I446:L446">I447</f>
        <v>10314.713725490197</v>
      </c>
      <c r="J446" s="27">
        <f t="shared" si="453"/>
        <v>11264.400000000001</v>
      </c>
      <c r="K446" s="27">
        <f t="shared" si="453"/>
        <v>11380.099999999999</v>
      </c>
      <c r="L446" s="27">
        <f t="shared" si="453"/>
        <v>11488.199999999999</v>
      </c>
      <c r="M446" s="27">
        <f aca="true" t="shared" si="454" ref="M446:N446">M447</f>
        <v>10377.5</v>
      </c>
      <c r="N446" s="27">
        <f t="shared" si="454"/>
        <v>4507</v>
      </c>
      <c r="O446" s="27">
        <f t="shared" si="404"/>
        <v>43.43049867501807</v>
      </c>
    </row>
    <row r="447" spans="1:15" ht="31.5">
      <c r="A447" s="26" t="s">
        <v>392</v>
      </c>
      <c r="B447" s="215">
        <v>903</v>
      </c>
      <c r="C447" s="213" t="s">
        <v>351</v>
      </c>
      <c r="D447" s="213" t="s">
        <v>202</v>
      </c>
      <c r="E447" s="213" t="s">
        <v>393</v>
      </c>
      <c r="F447" s="213"/>
      <c r="G447" s="27">
        <f aca="true" t="shared" si="455" ref="G447:L447">G448+G450+G452</f>
        <v>10393.9</v>
      </c>
      <c r="H447" s="27">
        <f t="shared" si="455"/>
        <v>7343.400000000001</v>
      </c>
      <c r="I447" s="27">
        <f t="shared" si="455"/>
        <v>10314.713725490197</v>
      </c>
      <c r="J447" s="27">
        <f t="shared" si="455"/>
        <v>11264.400000000001</v>
      </c>
      <c r="K447" s="27">
        <f t="shared" si="455"/>
        <v>11380.099999999999</v>
      </c>
      <c r="L447" s="27">
        <f t="shared" si="455"/>
        <v>11488.199999999999</v>
      </c>
      <c r="M447" s="27">
        <f aca="true" t="shared" si="456" ref="M447:N447">M448+M450+M452</f>
        <v>10377.5</v>
      </c>
      <c r="N447" s="27">
        <f t="shared" si="456"/>
        <v>4507</v>
      </c>
      <c r="O447" s="27">
        <f t="shared" si="404"/>
        <v>43.43049867501807</v>
      </c>
    </row>
    <row r="448" spans="1:15" ht="94.5">
      <c r="A448" s="26" t="s">
        <v>179</v>
      </c>
      <c r="B448" s="215">
        <v>903</v>
      </c>
      <c r="C448" s="213" t="s">
        <v>351</v>
      </c>
      <c r="D448" s="213" t="s">
        <v>202</v>
      </c>
      <c r="E448" s="213" t="s">
        <v>393</v>
      </c>
      <c r="F448" s="213" t="s">
        <v>180</v>
      </c>
      <c r="G448" s="27">
        <f>G449</f>
        <v>8721.4</v>
      </c>
      <c r="H448" s="27">
        <f>H449</f>
        <v>6453.8</v>
      </c>
      <c r="I448" s="27">
        <f aca="true" t="shared" si="457" ref="I448:L448">I449</f>
        <v>9111.24705882353</v>
      </c>
      <c r="J448" s="27">
        <f t="shared" si="457"/>
        <v>9109.2</v>
      </c>
      <c r="K448" s="27">
        <f t="shared" si="457"/>
        <v>9200.3</v>
      </c>
      <c r="L448" s="27">
        <f t="shared" si="457"/>
        <v>9292.3</v>
      </c>
      <c r="M448" s="27">
        <f aca="true" t="shared" si="458" ref="M448:N448">M449</f>
        <v>8721.4</v>
      </c>
      <c r="N448" s="27">
        <f t="shared" si="458"/>
        <v>3965.8</v>
      </c>
      <c r="O448" s="27">
        <f t="shared" si="404"/>
        <v>45.472057238516754</v>
      </c>
    </row>
    <row r="449" spans="1:15" ht="31.5">
      <c r="A449" s="26" t="s">
        <v>394</v>
      </c>
      <c r="B449" s="215">
        <v>903</v>
      </c>
      <c r="C449" s="213" t="s">
        <v>351</v>
      </c>
      <c r="D449" s="213" t="s">
        <v>202</v>
      </c>
      <c r="E449" s="213" t="s">
        <v>393</v>
      </c>
      <c r="F449" s="213" t="s">
        <v>261</v>
      </c>
      <c r="G449" s="28">
        <f>8596.3-84.9+210</f>
        <v>8721.4</v>
      </c>
      <c r="H449" s="28">
        <v>6453.8</v>
      </c>
      <c r="I449" s="28">
        <f>H449/8.5*12</f>
        <v>9111.24705882353</v>
      </c>
      <c r="J449" s="28">
        <v>9109.2</v>
      </c>
      <c r="K449" s="28">
        <v>9200.3</v>
      </c>
      <c r="L449" s="28">
        <v>9292.3</v>
      </c>
      <c r="M449" s="28">
        <f aca="true" t="shared" si="459" ref="M449">8596.3-84.9+210</f>
        <v>8721.4</v>
      </c>
      <c r="N449" s="28">
        <v>3965.8</v>
      </c>
      <c r="O449" s="27">
        <f t="shared" si="404"/>
        <v>45.472057238516754</v>
      </c>
    </row>
    <row r="450" spans="1:15" ht="31.5">
      <c r="A450" s="26" t="s">
        <v>183</v>
      </c>
      <c r="B450" s="215">
        <v>903</v>
      </c>
      <c r="C450" s="213" t="s">
        <v>351</v>
      </c>
      <c r="D450" s="213" t="s">
        <v>202</v>
      </c>
      <c r="E450" s="213" t="s">
        <v>393</v>
      </c>
      <c r="F450" s="213" t="s">
        <v>184</v>
      </c>
      <c r="G450" s="27">
        <f>G451</f>
        <v>1652.5</v>
      </c>
      <c r="H450" s="27">
        <f>H451</f>
        <v>887.6</v>
      </c>
      <c r="I450" s="27">
        <f aca="true" t="shared" si="460" ref="I450:L450">I451</f>
        <v>1183.4666666666667</v>
      </c>
      <c r="J450" s="27">
        <f t="shared" si="460"/>
        <v>2135.2</v>
      </c>
      <c r="K450" s="27">
        <f t="shared" si="460"/>
        <v>2159.8</v>
      </c>
      <c r="L450" s="27">
        <f t="shared" si="460"/>
        <v>2175.9</v>
      </c>
      <c r="M450" s="27">
        <f aca="true" t="shared" si="461" ref="M450:N450">M451</f>
        <v>1636.1</v>
      </c>
      <c r="N450" s="27">
        <f t="shared" si="461"/>
        <v>536.2</v>
      </c>
      <c r="O450" s="27">
        <f t="shared" si="404"/>
        <v>32.77305788154759</v>
      </c>
    </row>
    <row r="451" spans="1:15" ht="47.25">
      <c r="A451" s="26" t="s">
        <v>185</v>
      </c>
      <c r="B451" s="215">
        <v>903</v>
      </c>
      <c r="C451" s="213" t="s">
        <v>351</v>
      </c>
      <c r="D451" s="213" t="s">
        <v>202</v>
      </c>
      <c r="E451" s="213" t="s">
        <v>393</v>
      </c>
      <c r="F451" s="213" t="s">
        <v>186</v>
      </c>
      <c r="G451" s="28">
        <f>1663.9+135.6-147</f>
        <v>1652.5</v>
      </c>
      <c r="H451" s="28">
        <v>887.6</v>
      </c>
      <c r="I451" s="28">
        <f>H451/9*12</f>
        <v>1183.4666666666667</v>
      </c>
      <c r="J451" s="28">
        <f>2155.2-J453</f>
        <v>2135.2</v>
      </c>
      <c r="K451" s="28">
        <f>2179.8-K453</f>
        <v>2159.8</v>
      </c>
      <c r="L451" s="28">
        <f>2195.9-L453</f>
        <v>2175.9</v>
      </c>
      <c r="M451" s="28">
        <v>1636.1</v>
      </c>
      <c r="N451" s="28">
        <v>536.2</v>
      </c>
      <c r="O451" s="27">
        <f t="shared" si="404"/>
        <v>32.77305788154759</v>
      </c>
    </row>
    <row r="452" spans="1:15" ht="15.75">
      <c r="A452" s="26" t="s">
        <v>187</v>
      </c>
      <c r="B452" s="215">
        <v>903</v>
      </c>
      <c r="C452" s="213" t="s">
        <v>351</v>
      </c>
      <c r="D452" s="213" t="s">
        <v>202</v>
      </c>
      <c r="E452" s="213" t="s">
        <v>393</v>
      </c>
      <c r="F452" s="213" t="s">
        <v>197</v>
      </c>
      <c r="G452" s="27">
        <f>G453</f>
        <v>20</v>
      </c>
      <c r="H452" s="27">
        <f>H453</f>
        <v>2</v>
      </c>
      <c r="I452" s="27">
        <f aca="true" t="shared" si="462" ref="I452:L452">I453</f>
        <v>20</v>
      </c>
      <c r="J452" s="27">
        <f t="shared" si="462"/>
        <v>20</v>
      </c>
      <c r="K452" s="27">
        <f t="shared" si="462"/>
        <v>20</v>
      </c>
      <c r="L452" s="27">
        <f t="shared" si="462"/>
        <v>20</v>
      </c>
      <c r="M452" s="27">
        <f aca="true" t="shared" si="463" ref="M452:N452">M453</f>
        <v>20</v>
      </c>
      <c r="N452" s="27">
        <f t="shared" si="463"/>
        <v>5</v>
      </c>
      <c r="O452" s="27">
        <f t="shared" si="404"/>
        <v>25</v>
      </c>
    </row>
    <row r="453" spans="1:15" ht="15.75">
      <c r="A453" s="26" t="s">
        <v>621</v>
      </c>
      <c r="B453" s="215">
        <v>903</v>
      </c>
      <c r="C453" s="213" t="s">
        <v>351</v>
      </c>
      <c r="D453" s="213" t="s">
        <v>202</v>
      </c>
      <c r="E453" s="213" t="s">
        <v>393</v>
      </c>
      <c r="F453" s="213" t="s">
        <v>190</v>
      </c>
      <c r="G453" s="27">
        <v>20</v>
      </c>
      <c r="H453" s="27">
        <v>2</v>
      </c>
      <c r="I453" s="27">
        <v>20</v>
      </c>
      <c r="J453" s="27">
        <v>20</v>
      </c>
      <c r="K453" s="27">
        <v>20</v>
      </c>
      <c r="L453" s="27">
        <v>20</v>
      </c>
      <c r="M453" s="27">
        <v>20</v>
      </c>
      <c r="N453" s="27">
        <v>5</v>
      </c>
      <c r="O453" s="27">
        <f t="shared" si="404"/>
        <v>25</v>
      </c>
    </row>
    <row r="454" spans="1:15" ht="15.75">
      <c r="A454" s="24" t="s">
        <v>295</v>
      </c>
      <c r="B454" s="212">
        <v>903</v>
      </c>
      <c r="C454" s="214" t="s">
        <v>296</v>
      </c>
      <c r="D454" s="214"/>
      <c r="E454" s="214"/>
      <c r="F454" s="214"/>
      <c r="G454" s="22">
        <f>G455</f>
        <v>4625</v>
      </c>
      <c r="H454" s="22">
        <f aca="true" t="shared" si="464" ref="H454:L454">H455</f>
        <v>2188</v>
      </c>
      <c r="I454" s="22">
        <f t="shared" si="464"/>
        <v>4625</v>
      </c>
      <c r="J454" s="22">
        <f t="shared" si="464"/>
        <v>5185</v>
      </c>
      <c r="K454" s="22">
        <f t="shared" si="464"/>
        <v>5300</v>
      </c>
      <c r="L454" s="22">
        <f t="shared" si="464"/>
        <v>5345</v>
      </c>
      <c r="M454" s="22">
        <f aca="true" t="shared" si="465" ref="M454:N454">M455</f>
        <v>4536.1</v>
      </c>
      <c r="N454" s="22">
        <f t="shared" si="465"/>
        <v>1267.7</v>
      </c>
      <c r="O454" s="22">
        <f t="shared" si="404"/>
        <v>27.946914750556644</v>
      </c>
    </row>
    <row r="455" spans="1:16" ht="15.75">
      <c r="A455" s="24" t="s">
        <v>304</v>
      </c>
      <c r="B455" s="212">
        <v>903</v>
      </c>
      <c r="C455" s="214" t="s">
        <v>296</v>
      </c>
      <c r="D455" s="214" t="s">
        <v>267</v>
      </c>
      <c r="E455" s="214"/>
      <c r="F455" s="214"/>
      <c r="G455" s="22">
        <f aca="true" t="shared" si="466" ref="G455:L455">G456+G512</f>
        <v>4625</v>
      </c>
      <c r="H455" s="22">
        <f aca="true" t="shared" si="467" ref="H455">H456+H512</f>
        <v>2188</v>
      </c>
      <c r="I455" s="22">
        <f t="shared" si="466"/>
        <v>4625</v>
      </c>
      <c r="J455" s="22">
        <f t="shared" si="466"/>
        <v>5185</v>
      </c>
      <c r="K455" s="22">
        <f t="shared" si="466"/>
        <v>5300</v>
      </c>
      <c r="L455" s="22">
        <f t="shared" si="466"/>
        <v>5345</v>
      </c>
      <c r="M455" s="22">
        <f aca="true" t="shared" si="468" ref="M455:N455">M456+M512</f>
        <v>4536.1</v>
      </c>
      <c r="N455" s="22">
        <f t="shared" si="468"/>
        <v>1267.7</v>
      </c>
      <c r="O455" s="22">
        <f t="shared" si="404"/>
        <v>27.946914750556644</v>
      </c>
      <c r="P455" s="137"/>
    </row>
    <row r="456" spans="1:18" ht="47.25">
      <c r="A456" s="26" t="s">
        <v>395</v>
      </c>
      <c r="B456" s="215">
        <v>903</v>
      </c>
      <c r="C456" s="213" t="s">
        <v>296</v>
      </c>
      <c r="D456" s="213" t="s">
        <v>267</v>
      </c>
      <c r="E456" s="213" t="s">
        <v>396</v>
      </c>
      <c r="F456" s="213"/>
      <c r="G456" s="27">
        <f>G457+G468+G472+G476+G482+G486+G490+G508</f>
        <v>3693</v>
      </c>
      <c r="H456" s="27">
        <f>H457+H468+H472+H476+H482+H486+H490+H508</f>
        <v>2188</v>
      </c>
      <c r="I456" s="27">
        <f aca="true" t="shared" si="469" ref="I456:L456">I457+I468+I472+I476+I482+I486+I490+I508</f>
        <v>3693</v>
      </c>
      <c r="J456" s="27">
        <f t="shared" si="469"/>
        <v>5185</v>
      </c>
      <c r="K456" s="27">
        <f t="shared" si="469"/>
        <v>5300</v>
      </c>
      <c r="L456" s="27">
        <f t="shared" si="469"/>
        <v>5345</v>
      </c>
      <c r="M456" s="27">
        <f aca="true" t="shared" si="470" ref="M456:N456">M457+M468+M472+M476+M482+M486+M490+M508</f>
        <v>3753</v>
      </c>
      <c r="N456" s="27">
        <f t="shared" si="470"/>
        <v>1267.7</v>
      </c>
      <c r="O456" s="27">
        <f t="shared" si="404"/>
        <v>33.77831068478551</v>
      </c>
      <c r="P456" s="132"/>
      <c r="Q456" s="139"/>
      <c r="R456" s="139"/>
    </row>
    <row r="457" spans="1:15" ht="31.5">
      <c r="A457" s="26" t="s">
        <v>397</v>
      </c>
      <c r="B457" s="215">
        <v>903</v>
      </c>
      <c r="C457" s="213" t="s">
        <v>296</v>
      </c>
      <c r="D457" s="213" t="s">
        <v>267</v>
      </c>
      <c r="E457" s="213" t="s">
        <v>398</v>
      </c>
      <c r="F457" s="213"/>
      <c r="G457" s="27">
        <f>G461+G465+G464</f>
        <v>935</v>
      </c>
      <c r="H457" s="27">
        <f>H461+H465+H464</f>
        <v>561.3</v>
      </c>
      <c r="I457" s="27">
        <f aca="true" t="shared" si="471" ref="I457:L457">I461+I465+I464</f>
        <v>935</v>
      </c>
      <c r="J457" s="27">
        <f t="shared" si="471"/>
        <v>985</v>
      </c>
      <c r="K457" s="27">
        <f t="shared" si="471"/>
        <v>1020</v>
      </c>
      <c r="L457" s="27">
        <f t="shared" si="471"/>
        <v>1035</v>
      </c>
      <c r="M457" s="27">
        <f>M458+M466</f>
        <v>1000</v>
      </c>
      <c r="N457" s="27">
        <f aca="true" t="shared" si="472" ref="N457">N458+N466</f>
        <v>331.3</v>
      </c>
      <c r="O457" s="27">
        <f t="shared" si="404"/>
        <v>33.13</v>
      </c>
    </row>
    <row r="458" spans="1:15" ht="31.5">
      <c r="A458" s="26" t="s">
        <v>209</v>
      </c>
      <c r="B458" s="215">
        <v>903</v>
      </c>
      <c r="C458" s="213" t="s">
        <v>296</v>
      </c>
      <c r="D458" s="213" t="s">
        <v>267</v>
      </c>
      <c r="E458" s="213" t="s">
        <v>399</v>
      </c>
      <c r="F458" s="213"/>
      <c r="G458" s="27"/>
      <c r="H458" s="27"/>
      <c r="I458" s="27"/>
      <c r="J458" s="27"/>
      <c r="K458" s="27"/>
      <c r="L458" s="27"/>
      <c r="M458" s="27">
        <f>M461+M460+M463</f>
        <v>731.4</v>
      </c>
      <c r="N458" s="27">
        <f aca="true" t="shared" si="473" ref="N458">N461+N460+N463</f>
        <v>331.3</v>
      </c>
      <c r="O458" s="27">
        <f t="shared" si="404"/>
        <v>45.296691277003006</v>
      </c>
    </row>
    <row r="459" spans="1:15" ht="94.5">
      <c r="A459" s="26" t="s">
        <v>179</v>
      </c>
      <c r="B459" s="215">
        <v>903</v>
      </c>
      <c r="C459" s="213" t="s">
        <v>296</v>
      </c>
      <c r="D459" s="213" t="s">
        <v>267</v>
      </c>
      <c r="E459" s="213" t="s">
        <v>399</v>
      </c>
      <c r="F459" s="213" t="s">
        <v>180</v>
      </c>
      <c r="G459" s="27"/>
      <c r="H459" s="27"/>
      <c r="I459" s="27"/>
      <c r="J459" s="27"/>
      <c r="K459" s="27"/>
      <c r="L459" s="27"/>
      <c r="M459" s="27">
        <f>M460</f>
        <v>40</v>
      </c>
      <c r="N459" s="27">
        <f aca="true" t="shared" si="474" ref="N459">N460</f>
        <v>5</v>
      </c>
      <c r="O459" s="27">
        <f t="shared" si="404"/>
        <v>12.5</v>
      </c>
    </row>
    <row r="460" spans="1:15" ht="31.5">
      <c r="A460" s="26" t="s">
        <v>394</v>
      </c>
      <c r="B460" s="215">
        <v>903</v>
      </c>
      <c r="C460" s="213" t="s">
        <v>296</v>
      </c>
      <c r="D460" s="213" t="s">
        <v>267</v>
      </c>
      <c r="E460" s="213" t="s">
        <v>399</v>
      </c>
      <c r="F460" s="213" t="s">
        <v>261</v>
      </c>
      <c r="G460" s="27"/>
      <c r="H460" s="27"/>
      <c r="I460" s="27"/>
      <c r="J460" s="27"/>
      <c r="K460" s="27"/>
      <c r="L460" s="27"/>
      <c r="M460" s="27">
        <f>40</f>
        <v>40</v>
      </c>
      <c r="N460" s="27">
        <v>5</v>
      </c>
      <c r="O460" s="27">
        <f t="shared" si="404"/>
        <v>12.5</v>
      </c>
    </row>
    <row r="461" spans="1:15" ht="31.5">
      <c r="A461" s="26" t="s">
        <v>183</v>
      </c>
      <c r="B461" s="215">
        <v>903</v>
      </c>
      <c r="C461" s="213" t="s">
        <v>296</v>
      </c>
      <c r="D461" s="213" t="s">
        <v>267</v>
      </c>
      <c r="E461" s="213" t="s">
        <v>399</v>
      </c>
      <c r="F461" s="213" t="s">
        <v>184</v>
      </c>
      <c r="G461" s="27">
        <f>G462</f>
        <v>641.4</v>
      </c>
      <c r="H461" s="27">
        <f>H462</f>
        <v>267.7</v>
      </c>
      <c r="I461" s="27">
        <f aca="true" t="shared" si="475" ref="I461:L461">I462</f>
        <v>641.4</v>
      </c>
      <c r="J461" s="27">
        <f t="shared" si="475"/>
        <v>641.4</v>
      </c>
      <c r="K461" s="27">
        <f t="shared" si="475"/>
        <v>641.4</v>
      </c>
      <c r="L461" s="27">
        <f t="shared" si="475"/>
        <v>641.4</v>
      </c>
      <c r="M461" s="27">
        <f aca="true" t="shared" si="476" ref="M461:N461">M462</f>
        <v>666.4</v>
      </c>
      <c r="N461" s="27">
        <f t="shared" si="476"/>
        <v>301.3</v>
      </c>
      <c r="O461" s="27">
        <f aca="true" t="shared" si="477" ref="O461:O524">N461/M461*100</f>
        <v>45.21308523409364</v>
      </c>
    </row>
    <row r="462" spans="1:15" ht="47.25">
      <c r="A462" s="26" t="s">
        <v>185</v>
      </c>
      <c r="B462" s="215">
        <v>903</v>
      </c>
      <c r="C462" s="213" t="s">
        <v>296</v>
      </c>
      <c r="D462" s="213" t="s">
        <v>267</v>
      </c>
      <c r="E462" s="213" t="s">
        <v>399</v>
      </c>
      <c r="F462" s="213" t="s">
        <v>186</v>
      </c>
      <c r="G462" s="27">
        <f>669.4-3-25</f>
        <v>641.4</v>
      </c>
      <c r="H462" s="27">
        <v>267.7</v>
      </c>
      <c r="I462" s="27">
        <f aca="true" t="shared" si="478" ref="I462:L462">669.4-3-25</f>
        <v>641.4</v>
      </c>
      <c r="J462" s="27">
        <f t="shared" si="478"/>
        <v>641.4</v>
      </c>
      <c r="K462" s="27">
        <f t="shared" si="478"/>
        <v>641.4</v>
      </c>
      <c r="L462" s="27">
        <f t="shared" si="478"/>
        <v>641.4</v>
      </c>
      <c r="M462" s="27">
        <f>706.4-40</f>
        <v>666.4</v>
      </c>
      <c r="N462" s="27">
        <v>301.3</v>
      </c>
      <c r="O462" s="27">
        <f t="shared" si="477"/>
        <v>45.21308523409364</v>
      </c>
    </row>
    <row r="463" spans="1:15" ht="31.5">
      <c r="A463" s="26" t="s">
        <v>300</v>
      </c>
      <c r="B463" s="215">
        <v>903</v>
      </c>
      <c r="C463" s="213" t="s">
        <v>296</v>
      </c>
      <c r="D463" s="213" t="s">
        <v>267</v>
      </c>
      <c r="E463" s="213" t="s">
        <v>399</v>
      </c>
      <c r="F463" s="213" t="s">
        <v>301</v>
      </c>
      <c r="G463" s="27">
        <f aca="true" t="shared" si="479" ref="G463:L463">G464</f>
        <v>25</v>
      </c>
      <c r="H463" s="27">
        <f t="shared" si="479"/>
        <v>25</v>
      </c>
      <c r="I463" s="27">
        <f t="shared" si="479"/>
        <v>25</v>
      </c>
      <c r="J463" s="27">
        <f t="shared" si="479"/>
        <v>75</v>
      </c>
      <c r="K463" s="27">
        <f t="shared" si="479"/>
        <v>110</v>
      </c>
      <c r="L463" s="27">
        <f t="shared" si="479"/>
        <v>125</v>
      </c>
      <c r="M463" s="27">
        <f aca="true" t="shared" si="480" ref="M463:N463">M464</f>
        <v>25</v>
      </c>
      <c r="N463" s="27">
        <f t="shared" si="480"/>
        <v>25</v>
      </c>
      <c r="O463" s="27">
        <f t="shared" si="477"/>
        <v>100</v>
      </c>
    </row>
    <row r="464" spans="1:15" ht="31.5">
      <c r="A464" s="26" t="s">
        <v>400</v>
      </c>
      <c r="B464" s="215">
        <v>903</v>
      </c>
      <c r="C464" s="213" t="s">
        <v>296</v>
      </c>
      <c r="D464" s="213" t="s">
        <v>267</v>
      </c>
      <c r="E464" s="213" t="s">
        <v>399</v>
      </c>
      <c r="F464" s="213" t="s">
        <v>401</v>
      </c>
      <c r="G464" s="27">
        <v>25</v>
      </c>
      <c r="H464" s="27">
        <v>25</v>
      </c>
      <c r="I464" s="27">
        <v>25</v>
      </c>
      <c r="J464" s="27">
        <v>75</v>
      </c>
      <c r="K464" s="27">
        <v>110</v>
      </c>
      <c r="L464" s="27">
        <v>125</v>
      </c>
      <c r="M464" s="27">
        <v>25</v>
      </c>
      <c r="N464" s="27">
        <v>25</v>
      </c>
      <c r="O464" s="27">
        <f t="shared" si="477"/>
        <v>100</v>
      </c>
    </row>
    <row r="465" spans="1:15" ht="31.5">
      <c r="A465" s="26" t="s">
        <v>402</v>
      </c>
      <c r="B465" s="215">
        <v>903</v>
      </c>
      <c r="C465" s="213" t="s">
        <v>296</v>
      </c>
      <c r="D465" s="213" t="s">
        <v>267</v>
      </c>
      <c r="E465" s="213" t="s">
        <v>403</v>
      </c>
      <c r="F465" s="213"/>
      <c r="G465" s="27">
        <f>G466</f>
        <v>268.6</v>
      </c>
      <c r="H465" s="27">
        <f>H466</f>
        <v>268.6</v>
      </c>
      <c r="I465" s="27">
        <f aca="true" t="shared" si="481" ref="I465:L466">I466</f>
        <v>268.6</v>
      </c>
      <c r="J465" s="27">
        <f t="shared" si="481"/>
        <v>268.6</v>
      </c>
      <c r="K465" s="27">
        <f t="shared" si="481"/>
        <v>268.6</v>
      </c>
      <c r="L465" s="27">
        <f t="shared" si="481"/>
        <v>268.6</v>
      </c>
      <c r="M465" s="27">
        <f aca="true" t="shared" si="482" ref="M465:N466">M466</f>
        <v>268.6</v>
      </c>
      <c r="N465" s="27">
        <f t="shared" si="482"/>
        <v>0</v>
      </c>
      <c r="O465" s="27">
        <f t="shared" si="477"/>
        <v>0</v>
      </c>
    </row>
    <row r="466" spans="1:15" ht="47.25">
      <c r="A466" s="26" t="s">
        <v>324</v>
      </c>
      <c r="B466" s="215">
        <v>903</v>
      </c>
      <c r="C466" s="213" t="s">
        <v>296</v>
      </c>
      <c r="D466" s="213" t="s">
        <v>267</v>
      </c>
      <c r="E466" s="213" t="s">
        <v>403</v>
      </c>
      <c r="F466" s="213" t="s">
        <v>325</v>
      </c>
      <c r="G466" s="27">
        <f>G467</f>
        <v>268.6</v>
      </c>
      <c r="H466" s="27">
        <f>H467</f>
        <v>268.6</v>
      </c>
      <c r="I466" s="27">
        <f t="shared" si="481"/>
        <v>268.6</v>
      </c>
      <c r="J466" s="27">
        <f t="shared" si="481"/>
        <v>268.6</v>
      </c>
      <c r="K466" s="27">
        <f t="shared" si="481"/>
        <v>268.6</v>
      </c>
      <c r="L466" s="27">
        <f t="shared" si="481"/>
        <v>268.6</v>
      </c>
      <c r="M466" s="27">
        <f t="shared" si="482"/>
        <v>268.6</v>
      </c>
      <c r="N466" s="27">
        <f t="shared" si="482"/>
        <v>0</v>
      </c>
      <c r="O466" s="27">
        <f t="shared" si="477"/>
        <v>0</v>
      </c>
    </row>
    <row r="467" spans="1:15" ht="15.75">
      <c r="A467" s="26" t="s">
        <v>326</v>
      </c>
      <c r="B467" s="215">
        <v>903</v>
      </c>
      <c r="C467" s="213" t="s">
        <v>296</v>
      </c>
      <c r="D467" s="213" t="s">
        <v>267</v>
      </c>
      <c r="E467" s="213" t="s">
        <v>403</v>
      </c>
      <c r="F467" s="213" t="s">
        <v>327</v>
      </c>
      <c r="G467" s="27">
        <f>160.5+108.1</f>
        <v>268.6</v>
      </c>
      <c r="H467" s="27">
        <f>160.5+108.1</f>
        <v>268.6</v>
      </c>
      <c r="I467" s="27">
        <f aca="true" t="shared" si="483" ref="I467:L467">160.5+108.1</f>
        <v>268.6</v>
      </c>
      <c r="J467" s="27">
        <f t="shared" si="483"/>
        <v>268.6</v>
      </c>
      <c r="K467" s="27">
        <f t="shared" si="483"/>
        <v>268.6</v>
      </c>
      <c r="L467" s="27">
        <f t="shared" si="483"/>
        <v>268.6</v>
      </c>
      <c r="M467" s="27">
        <f aca="true" t="shared" si="484" ref="M467">160.5+108.1</f>
        <v>268.6</v>
      </c>
      <c r="N467" s="27">
        <v>0</v>
      </c>
      <c r="O467" s="27">
        <f t="shared" si="477"/>
        <v>0</v>
      </c>
    </row>
    <row r="468" spans="1:15" ht="31.5">
      <c r="A468" s="26" t="s">
        <v>404</v>
      </c>
      <c r="B468" s="215">
        <v>903</v>
      </c>
      <c r="C468" s="213" t="s">
        <v>296</v>
      </c>
      <c r="D468" s="213" t="s">
        <v>267</v>
      </c>
      <c r="E468" s="213" t="s">
        <v>405</v>
      </c>
      <c r="F468" s="213"/>
      <c r="G468" s="27">
        <f>G469</f>
        <v>63</v>
      </c>
      <c r="H468" s="27">
        <f aca="true" t="shared" si="485" ref="H468:H470">H469</f>
        <v>0</v>
      </c>
      <c r="I468" s="27">
        <f aca="true" t="shared" si="486" ref="I468:L470">I469</f>
        <v>63</v>
      </c>
      <c r="J468" s="27">
        <f t="shared" si="486"/>
        <v>63</v>
      </c>
      <c r="K468" s="27">
        <f t="shared" si="486"/>
        <v>63</v>
      </c>
      <c r="L468" s="27">
        <f t="shared" si="486"/>
        <v>63</v>
      </c>
      <c r="M468" s="27">
        <f aca="true" t="shared" si="487" ref="M468:N470">M469</f>
        <v>148.4</v>
      </c>
      <c r="N468" s="27">
        <f t="shared" si="487"/>
        <v>0</v>
      </c>
      <c r="O468" s="27">
        <f t="shared" si="477"/>
        <v>0</v>
      </c>
    </row>
    <row r="469" spans="1:15" ht="31.5">
      <c r="A469" s="26" t="s">
        <v>209</v>
      </c>
      <c r="B469" s="215">
        <v>903</v>
      </c>
      <c r="C469" s="213" t="s">
        <v>296</v>
      </c>
      <c r="D469" s="213" t="s">
        <v>267</v>
      </c>
      <c r="E469" s="213" t="s">
        <v>406</v>
      </c>
      <c r="F469" s="213"/>
      <c r="G469" s="27">
        <f>G470</f>
        <v>63</v>
      </c>
      <c r="H469" s="27">
        <f t="shared" si="485"/>
        <v>0</v>
      </c>
      <c r="I469" s="27">
        <f t="shared" si="486"/>
        <v>63</v>
      </c>
      <c r="J469" s="27">
        <f t="shared" si="486"/>
        <v>63</v>
      </c>
      <c r="K469" s="27">
        <f t="shared" si="486"/>
        <v>63</v>
      </c>
      <c r="L469" s="27">
        <f t="shared" si="486"/>
        <v>63</v>
      </c>
      <c r="M469" s="27">
        <f t="shared" si="487"/>
        <v>148.4</v>
      </c>
      <c r="N469" s="27">
        <f t="shared" si="487"/>
        <v>0</v>
      </c>
      <c r="O469" s="27">
        <f t="shared" si="477"/>
        <v>0</v>
      </c>
    </row>
    <row r="470" spans="1:15" ht="31.5">
      <c r="A470" s="26" t="s">
        <v>300</v>
      </c>
      <c r="B470" s="215">
        <v>903</v>
      </c>
      <c r="C470" s="213" t="s">
        <v>296</v>
      </c>
      <c r="D470" s="213" t="s">
        <v>267</v>
      </c>
      <c r="E470" s="213" t="s">
        <v>406</v>
      </c>
      <c r="F470" s="213" t="s">
        <v>301</v>
      </c>
      <c r="G470" s="27">
        <f>G471</f>
        <v>63</v>
      </c>
      <c r="H470" s="27">
        <f t="shared" si="485"/>
        <v>0</v>
      </c>
      <c r="I470" s="27">
        <f t="shared" si="486"/>
        <v>63</v>
      </c>
      <c r="J470" s="27">
        <f t="shared" si="486"/>
        <v>63</v>
      </c>
      <c r="K470" s="27">
        <f t="shared" si="486"/>
        <v>63</v>
      </c>
      <c r="L470" s="27">
        <f t="shared" si="486"/>
        <v>63</v>
      </c>
      <c r="M470" s="27">
        <f t="shared" si="487"/>
        <v>148.4</v>
      </c>
      <c r="N470" s="27">
        <f t="shared" si="487"/>
        <v>0</v>
      </c>
      <c r="O470" s="27">
        <f t="shared" si="477"/>
        <v>0</v>
      </c>
    </row>
    <row r="471" spans="1:15" ht="31.5">
      <c r="A471" s="26" t="s">
        <v>302</v>
      </c>
      <c r="B471" s="215">
        <v>903</v>
      </c>
      <c r="C471" s="213" t="s">
        <v>296</v>
      </c>
      <c r="D471" s="213" t="s">
        <v>267</v>
      </c>
      <c r="E471" s="213" t="s">
        <v>406</v>
      </c>
      <c r="F471" s="213" t="s">
        <v>303</v>
      </c>
      <c r="G471" s="27">
        <f>60+3</f>
        <v>63</v>
      </c>
      <c r="H471" s="27">
        <v>0</v>
      </c>
      <c r="I471" s="27">
        <f aca="true" t="shared" si="488" ref="I471:L471">60+3</f>
        <v>63</v>
      </c>
      <c r="J471" s="27">
        <f t="shared" si="488"/>
        <v>63</v>
      </c>
      <c r="K471" s="27">
        <f t="shared" si="488"/>
        <v>63</v>
      </c>
      <c r="L471" s="27">
        <f t="shared" si="488"/>
        <v>63</v>
      </c>
      <c r="M471" s="27">
        <v>148.4</v>
      </c>
      <c r="N471" s="27">
        <v>0</v>
      </c>
      <c r="O471" s="27">
        <f t="shared" si="477"/>
        <v>0</v>
      </c>
    </row>
    <row r="472" spans="1:15" ht="31.5">
      <c r="A472" s="26" t="s">
        <v>407</v>
      </c>
      <c r="B472" s="215">
        <v>903</v>
      </c>
      <c r="C472" s="215">
        <v>10</v>
      </c>
      <c r="D472" s="213" t="s">
        <v>267</v>
      </c>
      <c r="E472" s="213" t="s">
        <v>408</v>
      </c>
      <c r="F472" s="213"/>
      <c r="G472" s="27">
        <f aca="true" t="shared" si="489" ref="G472:L474">G473</f>
        <v>420</v>
      </c>
      <c r="H472" s="27">
        <f t="shared" si="489"/>
        <v>300</v>
      </c>
      <c r="I472" s="27">
        <f t="shared" si="489"/>
        <v>420</v>
      </c>
      <c r="J472" s="27">
        <f t="shared" si="489"/>
        <v>420</v>
      </c>
      <c r="K472" s="27">
        <f t="shared" si="489"/>
        <v>420</v>
      </c>
      <c r="L472" s="27">
        <f t="shared" si="489"/>
        <v>420</v>
      </c>
      <c r="M472" s="27">
        <f aca="true" t="shared" si="490" ref="M472:N474">M473</f>
        <v>420</v>
      </c>
      <c r="N472" s="27">
        <f t="shared" si="490"/>
        <v>200</v>
      </c>
      <c r="O472" s="27">
        <f t="shared" si="477"/>
        <v>47.61904761904761</v>
      </c>
    </row>
    <row r="473" spans="1:15" ht="31.5">
      <c r="A473" s="26" t="s">
        <v>209</v>
      </c>
      <c r="B473" s="215">
        <v>903</v>
      </c>
      <c r="C473" s="213" t="s">
        <v>296</v>
      </c>
      <c r="D473" s="213" t="s">
        <v>267</v>
      </c>
      <c r="E473" s="213" t="s">
        <v>409</v>
      </c>
      <c r="F473" s="213"/>
      <c r="G473" s="27">
        <f>G474</f>
        <v>420</v>
      </c>
      <c r="H473" s="27">
        <f>H474</f>
        <v>300</v>
      </c>
      <c r="I473" s="27">
        <f t="shared" si="489"/>
        <v>420</v>
      </c>
      <c r="J473" s="27">
        <f t="shared" si="489"/>
        <v>420</v>
      </c>
      <c r="K473" s="27">
        <f t="shared" si="489"/>
        <v>420</v>
      </c>
      <c r="L473" s="27">
        <f t="shared" si="489"/>
        <v>420</v>
      </c>
      <c r="M473" s="27">
        <f t="shared" si="490"/>
        <v>420</v>
      </c>
      <c r="N473" s="27">
        <f t="shared" si="490"/>
        <v>200</v>
      </c>
      <c r="O473" s="27">
        <f t="shared" si="477"/>
        <v>47.61904761904761</v>
      </c>
    </row>
    <row r="474" spans="1:15" ht="31.5">
      <c r="A474" s="26" t="s">
        <v>300</v>
      </c>
      <c r="B474" s="215">
        <v>903</v>
      </c>
      <c r="C474" s="213" t="s">
        <v>296</v>
      </c>
      <c r="D474" s="213" t="s">
        <v>267</v>
      </c>
      <c r="E474" s="213" t="s">
        <v>409</v>
      </c>
      <c r="F474" s="213" t="s">
        <v>301</v>
      </c>
      <c r="G474" s="27">
        <f t="shared" si="489"/>
        <v>420</v>
      </c>
      <c r="H474" s="27">
        <f t="shared" si="489"/>
        <v>300</v>
      </c>
      <c r="I474" s="27">
        <f t="shared" si="489"/>
        <v>420</v>
      </c>
      <c r="J474" s="27">
        <f t="shared" si="489"/>
        <v>420</v>
      </c>
      <c r="K474" s="27">
        <f t="shared" si="489"/>
        <v>420</v>
      </c>
      <c r="L474" s="27">
        <f t="shared" si="489"/>
        <v>420</v>
      </c>
      <c r="M474" s="27">
        <f t="shared" si="490"/>
        <v>420</v>
      </c>
      <c r="N474" s="27">
        <f t="shared" si="490"/>
        <v>200</v>
      </c>
      <c r="O474" s="27">
        <f t="shared" si="477"/>
        <v>47.61904761904761</v>
      </c>
    </row>
    <row r="475" spans="1:15" ht="31.5">
      <c r="A475" s="26" t="s">
        <v>400</v>
      </c>
      <c r="B475" s="215">
        <v>903</v>
      </c>
      <c r="C475" s="213" t="s">
        <v>296</v>
      </c>
      <c r="D475" s="213" t="s">
        <v>267</v>
      </c>
      <c r="E475" s="213" t="s">
        <v>409</v>
      </c>
      <c r="F475" s="213" t="s">
        <v>401</v>
      </c>
      <c r="G475" s="27">
        <v>420</v>
      </c>
      <c r="H475" s="27">
        <v>300</v>
      </c>
      <c r="I475" s="27">
        <v>420</v>
      </c>
      <c r="J475" s="27">
        <v>420</v>
      </c>
      <c r="K475" s="27">
        <v>420</v>
      </c>
      <c r="L475" s="27">
        <v>420</v>
      </c>
      <c r="M475" s="27">
        <v>420</v>
      </c>
      <c r="N475" s="27">
        <v>200</v>
      </c>
      <c r="O475" s="27">
        <f t="shared" si="477"/>
        <v>47.61904761904761</v>
      </c>
    </row>
    <row r="476" spans="1:15" ht="15.75">
      <c r="A476" s="26" t="s">
        <v>410</v>
      </c>
      <c r="B476" s="215">
        <v>903</v>
      </c>
      <c r="C476" s="215">
        <v>10</v>
      </c>
      <c r="D476" s="213" t="s">
        <v>267</v>
      </c>
      <c r="E476" s="213" t="s">
        <v>411</v>
      </c>
      <c r="F476" s="213"/>
      <c r="G476" s="27">
        <f>G477</f>
        <v>1595</v>
      </c>
      <c r="H476" s="27">
        <f>H477</f>
        <v>919.3</v>
      </c>
      <c r="I476" s="27">
        <f aca="true" t="shared" si="491" ref="I476:L476">I477</f>
        <v>1595</v>
      </c>
      <c r="J476" s="27">
        <f t="shared" si="491"/>
        <v>1595</v>
      </c>
      <c r="K476" s="27">
        <f t="shared" si="491"/>
        <v>1595</v>
      </c>
      <c r="L476" s="27">
        <f t="shared" si="491"/>
        <v>1595</v>
      </c>
      <c r="M476" s="27">
        <f aca="true" t="shared" si="492" ref="M476:N476">M477</f>
        <v>1504.6</v>
      </c>
      <c r="N476" s="27">
        <f t="shared" si="492"/>
        <v>567.7</v>
      </c>
      <c r="O476" s="27">
        <f t="shared" si="477"/>
        <v>37.73095839425761</v>
      </c>
    </row>
    <row r="477" spans="1:15" ht="31.5">
      <c r="A477" s="26" t="s">
        <v>209</v>
      </c>
      <c r="B477" s="215">
        <v>903</v>
      </c>
      <c r="C477" s="213" t="s">
        <v>296</v>
      </c>
      <c r="D477" s="213" t="s">
        <v>267</v>
      </c>
      <c r="E477" s="213" t="s">
        <v>412</v>
      </c>
      <c r="F477" s="213"/>
      <c r="G477" s="27">
        <f>G478+G480</f>
        <v>1595</v>
      </c>
      <c r="H477" s="27">
        <f>H478+H480</f>
        <v>919.3</v>
      </c>
      <c r="I477" s="27">
        <f aca="true" t="shared" si="493" ref="I477:L477">I478+I480</f>
        <v>1595</v>
      </c>
      <c r="J477" s="27">
        <f t="shared" si="493"/>
        <v>1595</v>
      </c>
      <c r="K477" s="27">
        <f t="shared" si="493"/>
        <v>1595</v>
      </c>
      <c r="L477" s="27">
        <f t="shared" si="493"/>
        <v>1595</v>
      </c>
      <c r="M477" s="27">
        <f aca="true" t="shared" si="494" ref="M477:N477">M478+M480</f>
        <v>1504.6</v>
      </c>
      <c r="N477" s="27">
        <f t="shared" si="494"/>
        <v>567.7</v>
      </c>
      <c r="O477" s="27">
        <f t="shared" si="477"/>
        <v>37.73095839425761</v>
      </c>
    </row>
    <row r="478" spans="1:15" ht="31.5">
      <c r="A478" s="26" t="s">
        <v>183</v>
      </c>
      <c r="B478" s="215">
        <v>903</v>
      </c>
      <c r="C478" s="213" t="s">
        <v>296</v>
      </c>
      <c r="D478" s="213" t="s">
        <v>267</v>
      </c>
      <c r="E478" s="213" t="s">
        <v>412</v>
      </c>
      <c r="F478" s="213" t="s">
        <v>184</v>
      </c>
      <c r="G478" s="27">
        <f>G479</f>
        <v>547</v>
      </c>
      <c r="H478" s="27">
        <f>H479</f>
        <v>40.3</v>
      </c>
      <c r="I478" s="27">
        <f aca="true" t="shared" si="495" ref="I478:L478">I479</f>
        <v>547</v>
      </c>
      <c r="J478" s="27">
        <f t="shared" si="495"/>
        <v>547</v>
      </c>
      <c r="K478" s="27">
        <f t="shared" si="495"/>
        <v>547</v>
      </c>
      <c r="L478" s="27">
        <f t="shared" si="495"/>
        <v>547</v>
      </c>
      <c r="M478" s="27">
        <f aca="true" t="shared" si="496" ref="M478:N478">M479</f>
        <v>456.6</v>
      </c>
      <c r="N478" s="27">
        <f t="shared" si="496"/>
        <v>8</v>
      </c>
      <c r="O478" s="27">
        <f t="shared" si="477"/>
        <v>1.7520805957074024</v>
      </c>
    </row>
    <row r="479" spans="1:15" ht="47.25">
      <c r="A479" s="26" t="s">
        <v>185</v>
      </c>
      <c r="B479" s="215">
        <v>903</v>
      </c>
      <c r="C479" s="213" t="s">
        <v>296</v>
      </c>
      <c r="D479" s="213" t="s">
        <v>267</v>
      </c>
      <c r="E479" s="213" t="s">
        <v>412</v>
      </c>
      <c r="F479" s="213" t="s">
        <v>186</v>
      </c>
      <c r="G479" s="27">
        <f>552-50+45</f>
        <v>547</v>
      </c>
      <c r="H479" s="27">
        <v>40.3</v>
      </c>
      <c r="I479" s="27">
        <f aca="true" t="shared" si="497" ref="I479:L479">552-50+45</f>
        <v>547</v>
      </c>
      <c r="J479" s="27">
        <f t="shared" si="497"/>
        <v>547</v>
      </c>
      <c r="K479" s="27">
        <f t="shared" si="497"/>
        <v>547</v>
      </c>
      <c r="L479" s="27">
        <f t="shared" si="497"/>
        <v>547</v>
      </c>
      <c r="M479" s="27">
        <v>456.6</v>
      </c>
      <c r="N479" s="27">
        <v>8</v>
      </c>
      <c r="O479" s="27">
        <f t="shared" si="477"/>
        <v>1.7520805957074024</v>
      </c>
    </row>
    <row r="480" spans="1:15" ht="31.5">
      <c r="A480" s="26" t="s">
        <v>300</v>
      </c>
      <c r="B480" s="215">
        <v>903</v>
      </c>
      <c r="C480" s="213" t="s">
        <v>296</v>
      </c>
      <c r="D480" s="213" t="s">
        <v>267</v>
      </c>
      <c r="E480" s="213" t="s">
        <v>412</v>
      </c>
      <c r="F480" s="213" t="s">
        <v>301</v>
      </c>
      <c r="G480" s="27">
        <f>G481</f>
        <v>1048</v>
      </c>
      <c r="H480" s="27">
        <f>H481</f>
        <v>879</v>
      </c>
      <c r="I480" s="27">
        <f aca="true" t="shared" si="498" ref="I480:L480">I481</f>
        <v>1048</v>
      </c>
      <c r="J480" s="27">
        <f t="shared" si="498"/>
        <v>1048</v>
      </c>
      <c r="K480" s="27">
        <f t="shared" si="498"/>
        <v>1048</v>
      </c>
      <c r="L480" s="27">
        <f t="shared" si="498"/>
        <v>1048</v>
      </c>
      <c r="M480" s="27">
        <f aca="true" t="shared" si="499" ref="M480:N480">M481</f>
        <v>1048</v>
      </c>
      <c r="N480" s="27">
        <f t="shared" si="499"/>
        <v>559.7</v>
      </c>
      <c r="O480" s="27">
        <f t="shared" si="477"/>
        <v>53.406488549618324</v>
      </c>
    </row>
    <row r="481" spans="1:15" ht="31.5">
      <c r="A481" s="26" t="s">
        <v>400</v>
      </c>
      <c r="B481" s="215">
        <v>903</v>
      </c>
      <c r="C481" s="213" t="s">
        <v>296</v>
      </c>
      <c r="D481" s="213" t="s">
        <v>267</v>
      </c>
      <c r="E481" s="213" t="s">
        <v>412</v>
      </c>
      <c r="F481" s="213" t="s">
        <v>401</v>
      </c>
      <c r="G481" s="27">
        <v>1048</v>
      </c>
      <c r="H481" s="27">
        <v>879</v>
      </c>
      <c r="I481" s="27">
        <v>1048</v>
      </c>
      <c r="J481" s="27">
        <v>1048</v>
      </c>
      <c r="K481" s="27">
        <v>1048</v>
      </c>
      <c r="L481" s="27">
        <v>1048</v>
      </c>
      <c r="M481" s="27">
        <v>1048</v>
      </c>
      <c r="N481" s="27">
        <v>559.7</v>
      </c>
      <c r="O481" s="27">
        <f t="shared" si="477"/>
        <v>53.406488549618324</v>
      </c>
    </row>
    <row r="482" spans="1:15" ht="37.5" customHeight="1">
      <c r="A482" s="26" t="s">
        <v>413</v>
      </c>
      <c r="B482" s="215">
        <v>903</v>
      </c>
      <c r="C482" s="213" t="s">
        <v>296</v>
      </c>
      <c r="D482" s="213" t="s">
        <v>267</v>
      </c>
      <c r="E482" s="213" t="s">
        <v>414</v>
      </c>
      <c r="F482" s="213"/>
      <c r="G482" s="27">
        <f>G483</f>
        <v>335</v>
      </c>
      <c r="H482" s="27">
        <f aca="true" t="shared" si="500" ref="H482:H484">H483</f>
        <v>200</v>
      </c>
      <c r="I482" s="27">
        <f aca="true" t="shared" si="501" ref="I482:L484">I483</f>
        <v>335</v>
      </c>
      <c r="J482" s="27">
        <f t="shared" si="501"/>
        <v>1882</v>
      </c>
      <c r="K482" s="27">
        <f t="shared" si="501"/>
        <v>1962</v>
      </c>
      <c r="L482" s="27">
        <f t="shared" si="501"/>
        <v>1992</v>
      </c>
      <c r="M482" s="27">
        <f aca="true" t="shared" si="502" ref="M482:N484">M483</f>
        <v>250</v>
      </c>
      <c r="N482" s="27">
        <f t="shared" si="502"/>
        <v>140</v>
      </c>
      <c r="O482" s="27">
        <f t="shared" si="477"/>
        <v>56.00000000000001</v>
      </c>
    </row>
    <row r="483" spans="1:15" ht="31.5">
      <c r="A483" s="26" t="s">
        <v>209</v>
      </c>
      <c r="B483" s="215">
        <v>903</v>
      </c>
      <c r="C483" s="213" t="s">
        <v>296</v>
      </c>
      <c r="D483" s="213" t="s">
        <v>267</v>
      </c>
      <c r="E483" s="213" t="s">
        <v>415</v>
      </c>
      <c r="F483" s="213"/>
      <c r="G483" s="27">
        <f>G484</f>
        <v>335</v>
      </c>
      <c r="H483" s="27">
        <f t="shared" si="500"/>
        <v>200</v>
      </c>
      <c r="I483" s="27">
        <f t="shared" si="501"/>
        <v>335</v>
      </c>
      <c r="J483" s="27">
        <f t="shared" si="501"/>
        <v>1882</v>
      </c>
      <c r="K483" s="27">
        <f t="shared" si="501"/>
        <v>1962</v>
      </c>
      <c r="L483" s="27">
        <f t="shared" si="501"/>
        <v>1992</v>
      </c>
      <c r="M483" s="27">
        <f t="shared" si="502"/>
        <v>250</v>
      </c>
      <c r="N483" s="27">
        <f t="shared" si="502"/>
        <v>140</v>
      </c>
      <c r="O483" s="27">
        <f t="shared" si="477"/>
        <v>56.00000000000001</v>
      </c>
    </row>
    <row r="484" spans="1:15" ht="31.5">
      <c r="A484" s="26" t="s">
        <v>300</v>
      </c>
      <c r="B484" s="215">
        <v>903</v>
      </c>
      <c r="C484" s="213" t="s">
        <v>296</v>
      </c>
      <c r="D484" s="213" t="s">
        <v>267</v>
      </c>
      <c r="E484" s="213" t="s">
        <v>415</v>
      </c>
      <c r="F484" s="213" t="s">
        <v>301</v>
      </c>
      <c r="G484" s="27">
        <f>G485</f>
        <v>335</v>
      </c>
      <c r="H484" s="27">
        <f t="shared" si="500"/>
        <v>200</v>
      </c>
      <c r="I484" s="27">
        <f t="shared" si="501"/>
        <v>335</v>
      </c>
      <c r="J484" s="27">
        <f t="shared" si="501"/>
        <v>1882</v>
      </c>
      <c r="K484" s="27">
        <f t="shared" si="501"/>
        <v>1962</v>
      </c>
      <c r="L484" s="27">
        <f t="shared" si="501"/>
        <v>1992</v>
      </c>
      <c r="M484" s="27">
        <f t="shared" si="502"/>
        <v>250</v>
      </c>
      <c r="N484" s="27">
        <f t="shared" si="502"/>
        <v>140</v>
      </c>
      <c r="O484" s="27">
        <f t="shared" si="477"/>
        <v>56.00000000000001</v>
      </c>
    </row>
    <row r="485" spans="1:15" ht="31.5">
      <c r="A485" s="26" t="s">
        <v>400</v>
      </c>
      <c r="B485" s="215">
        <v>903</v>
      </c>
      <c r="C485" s="213" t="s">
        <v>296</v>
      </c>
      <c r="D485" s="213" t="s">
        <v>267</v>
      </c>
      <c r="E485" s="213" t="s">
        <v>415</v>
      </c>
      <c r="F485" s="213" t="s">
        <v>401</v>
      </c>
      <c r="G485" s="27">
        <f>400-65</f>
        <v>335</v>
      </c>
      <c r="H485" s="27">
        <v>200</v>
      </c>
      <c r="I485" s="27">
        <f aca="true" t="shared" si="503" ref="I485">400-65</f>
        <v>335</v>
      </c>
      <c r="J485" s="27">
        <f>400-65+1442+60+45</f>
        <v>1882</v>
      </c>
      <c r="K485" s="27">
        <f>400-65+1522+60+45</f>
        <v>1962</v>
      </c>
      <c r="L485" s="27">
        <f>400-65+1552+60+45</f>
        <v>1992</v>
      </c>
      <c r="M485" s="27">
        <v>250</v>
      </c>
      <c r="N485" s="27">
        <v>140</v>
      </c>
      <c r="O485" s="27">
        <f t="shared" si="477"/>
        <v>56.00000000000001</v>
      </c>
    </row>
    <row r="486" spans="1:15" ht="49.5" customHeight="1">
      <c r="A486" s="26" t="s">
        <v>416</v>
      </c>
      <c r="B486" s="215">
        <v>903</v>
      </c>
      <c r="C486" s="213" t="s">
        <v>296</v>
      </c>
      <c r="D486" s="213" t="s">
        <v>267</v>
      </c>
      <c r="E486" s="213" t="s">
        <v>417</v>
      </c>
      <c r="F486" s="213"/>
      <c r="G486" s="27">
        <f>G487</f>
        <v>210</v>
      </c>
      <c r="H486" s="27">
        <f aca="true" t="shared" si="504" ref="H486:H488">H487</f>
        <v>112.8</v>
      </c>
      <c r="I486" s="27">
        <f aca="true" t="shared" si="505" ref="I486:L488">I487</f>
        <v>210</v>
      </c>
      <c r="J486" s="27">
        <f t="shared" si="505"/>
        <v>210</v>
      </c>
      <c r="K486" s="27">
        <f t="shared" si="505"/>
        <v>210</v>
      </c>
      <c r="L486" s="27">
        <f t="shared" si="505"/>
        <v>210</v>
      </c>
      <c r="M486" s="27">
        <f aca="true" t="shared" si="506" ref="M486:N488">M487</f>
        <v>210</v>
      </c>
      <c r="N486" s="27">
        <f t="shared" si="506"/>
        <v>0</v>
      </c>
      <c r="O486" s="27">
        <f t="shared" si="477"/>
        <v>0</v>
      </c>
    </row>
    <row r="487" spans="1:15" ht="31.5">
      <c r="A487" s="26" t="s">
        <v>209</v>
      </c>
      <c r="B487" s="215">
        <v>903</v>
      </c>
      <c r="C487" s="213" t="s">
        <v>296</v>
      </c>
      <c r="D487" s="213" t="s">
        <v>267</v>
      </c>
      <c r="E487" s="213" t="s">
        <v>418</v>
      </c>
      <c r="F487" s="213"/>
      <c r="G487" s="27">
        <f>G488</f>
        <v>210</v>
      </c>
      <c r="H487" s="27">
        <f t="shared" si="504"/>
        <v>112.8</v>
      </c>
      <c r="I487" s="27">
        <f t="shared" si="505"/>
        <v>210</v>
      </c>
      <c r="J487" s="27">
        <f t="shared" si="505"/>
        <v>210</v>
      </c>
      <c r="K487" s="27">
        <f t="shared" si="505"/>
        <v>210</v>
      </c>
      <c r="L487" s="27">
        <f t="shared" si="505"/>
        <v>210</v>
      </c>
      <c r="M487" s="27">
        <f t="shared" si="506"/>
        <v>210</v>
      </c>
      <c r="N487" s="27">
        <f t="shared" si="506"/>
        <v>0</v>
      </c>
      <c r="O487" s="27">
        <f t="shared" si="477"/>
        <v>0</v>
      </c>
    </row>
    <row r="488" spans="1:15" ht="31.5">
      <c r="A488" s="26" t="s">
        <v>183</v>
      </c>
      <c r="B488" s="215">
        <v>903</v>
      </c>
      <c r="C488" s="213" t="s">
        <v>296</v>
      </c>
      <c r="D488" s="213" t="s">
        <v>267</v>
      </c>
      <c r="E488" s="213" t="s">
        <v>418</v>
      </c>
      <c r="F488" s="213" t="s">
        <v>184</v>
      </c>
      <c r="G488" s="27">
        <f>G489</f>
        <v>210</v>
      </c>
      <c r="H488" s="27">
        <f t="shared" si="504"/>
        <v>112.8</v>
      </c>
      <c r="I488" s="27">
        <f t="shared" si="505"/>
        <v>210</v>
      </c>
      <c r="J488" s="27">
        <f t="shared" si="505"/>
        <v>210</v>
      </c>
      <c r="K488" s="27">
        <f t="shared" si="505"/>
        <v>210</v>
      </c>
      <c r="L488" s="27">
        <f t="shared" si="505"/>
        <v>210</v>
      </c>
      <c r="M488" s="27">
        <f t="shared" si="506"/>
        <v>210</v>
      </c>
      <c r="N488" s="27">
        <f t="shared" si="506"/>
        <v>0</v>
      </c>
      <c r="O488" s="27">
        <f t="shared" si="477"/>
        <v>0</v>
      </c>
    </row>
    <row r="489" spans="1:15" ht="47.25">
      <c r="A489" s="26" t="s">
        <v>185</v>
      </c>
      <c r="B489" s="215">
        <v>903</v>
      </c>
      <c r="C489" s="213" t="s">
        <v>296</v>
      </c>
      <c r="D489" s="213" t="s">
        <v>267</v>
      </c>
      <c r="E489" s="213" t="s">
        <v>418</v>
      </c>
      <c r="F489" s="213" t="s">
        <v>186</v>
      </c>
      <c r="G489" s="27">
        <f>150+60</f>
        <v>210</v>
      </c>
      <c r="H489" s="27">
        <v>112.8</v>
      </c>
      <c r="I489" s="27">
        <f aca="true" t="shared" si="507" ref="I489:L489">150+60</f>
        <v>210</v>
      </c>
      <c r="J489" s="27">
        <f t="shared" si="507"/>
        <v>210</v>
      </c>
      <c r="K489" s="27">
        <f t="shared" si="507"/>
        <v>210</v>
      </c>
      <c r="L489" s="27">
        <f t="shared" si="507"/>
        <v>210</v>
      </c>
      <c r="M489" s="27">
        <f aca="true" t="shared" si="508" ref="M489">150+60</f>
        <v>210</v>
      </c>
      <c r="N489" s="27">
        <v>0</v>
      </c>
      <c r="O489" s="27">
        <f t="shared" si="477"/>
        <v>0</v>
      </c>
    </row>
    <row r="490" spans="1:15" ht="63">
      <c r="A490" s="26" t="s">
        <v>419</v>
      </c>
      <c r="B490" s="215">
        <v>903</v>
      </c>
      <c r="C490" s="213" t="s">
        <v>296</v>
      </c>
      <c r="D490" s="213" t="s">
        <v>267</v>
      </c>
      <c r="E490" s="213" t="s">
        <v>420</v>
      </c>
      <c r="F490" s="213"/>
      <c r="G490" s="27">
        <f aca="true" t="shared" si="509" ref="G490:L490">G491+G503+G497+G500</f>
        <v>30</v>
      </c>
      <c r="H490" s="27">
        <f t="shared" si="509"/>
        <v>0</v>
      </c>
      <c r="I490" s="27">
        <f t="shared" si="509"/>
        <v>30</v>
      </c>
      <c r="J490" s="27">
        <f t="shared" si="509"/>
        <v>30</v>
      </c>
      <c r="K490" s="27">
        <f t="shared" si="509"/>
        <v>30</v>
      </c>
      <c r="L490" s="27">
        <f t="shared" si="509"/>
        <v>30</v>
      </c>
      <c r="M490" s="27">
        <f aca="true" t="shared" si="510" ref="M490:N490">M491+M503+M497+M500</f>
        <v>20</v>
      </c>
      <c r="N490" s="27">
        <f t="shared" si="510"/>
        <v>0</v>
      </c>
      <c r="O490" s="27">
        <f t="shared" si="477"/>
        <v>0</v>
      </c>
    </row>
    <row r="491" spans="1:15" ht="33.75" customHeight="1">
      <c r="A491" s="26" t="s">
        <v>421</v>
      </c>
      <c r="B491" s="215">
        <v>903</v>
      </c>
      <c r="C491" s="213" t="s">
        <v>296</v>
      </c>
      <c r="D491" s="213" t="s">
        <v>267</v>
      </c>
      <c r="E491" s="213" t="s">
        <v>422</v>
      </c>
      <c r="F491" s="213"/>
      <c r="G491" s="27">
        <f>G492</f>
        <v>20</v>
      </c>
      <c r="H491" s="27">
        <f>H492</f>
        <v>0</v>
      </c>
      <c r="I491" s="27">
        <f aca="true" t="shared" si="511" ref="I491:L491">I492</f>
        <v>20</v>
      </c>
      <c r="J491" s="27">
        <f t="shared" si="511"/>
        <v>20</v>
      </c>
      <c r="K491" s="27">
        <f t="shared" si="511"/>
        <v>20</v>
      </c>
      <c r="L491" s="27">
        <f t="shared" si="511"/>
        <v>20</v>
      </c>
      <c r="M491" s="27">
        <f aca="true" t="shared" si="512" ref="M491:N492">M492</f>
        <v>10</v>
      </c>
      <c r="N491" s="27">
        <f t="shared" si="512"/>
        <v>0</v>
      </c>
      <c r="O491" s="27">
        <f t="shared" si="477"/>
        <v>0</v>
      </c>
    </row>
    <row r="492" spans="1:15" ht="47.25">
      <c r="A492" s="26" t="s">
        <v>324</v>
      </c>
      <c r="B492" s="215">
        <v>903</v>
      </c>
      <c r="C492" s="213" t="s">
        <v>296</v>
      </c>
      <c r="D492" s="213" t="s">
        <v>267</v>
      </c>
      <c r="E492" s="213" t="s">
        <v>422</v>
      </c>
      <c r="F492" s="213" t="s">
        <v>325</v>
      </c>
      <c r="G492" s="27">
        <f aca="true" t="shared" si="513" ref="G492:L492">G493</f>
        <v>20</v>
      </c>
      <c r="H492" s="27">
        <f t="shared" si="513"/>
        <v>0</v>
      </c>
      <c r="I492" s="27">
        <f t="shared" si="513"/>
        <v>20</v>
      </c>
      <c r="J492" s="27">
        <f t="shared" si="513"/>
        <v>20</v>
      </c>
      <c r="K492" s="27">
        <f t="shared" si="513"/>
        <v>20</v>
      </c>
      <c r="L492" s="27">
        <f t="shared" si="513"/>
        <v>20</v>
      </c>
      <c r="M492" s="27">
        <f t="shared" si="512"/>
        <v>10</v>
      </c>
      <c r="N492" s="27">
        <f t="shared" si="512"/>
        <v>0</v>
      </c>
      <c r="O492" s="27">
        <f t="shared" si="477"/>
        <v>0</v>
      </c>
    </row>
    <row r="493" spans="1:15" ht="47.25" customHeight="1">
      <c r="A493" s="41" t="s">
        <v>423</v>
      </c>
      <c r="B493" s="215">
        <v>903</v>
      </c>
      <c r="C493" s="213" t="s">
        <v>296</v>
      </c>
      <c r="D493" s="213" t="s">
        <v>267</v>
      </c>
      <c r="E493" s="213" t="s">
        <v>422</v>
      </c>
      <c r="F493" s="213" t="s">
        <v>424</v>
      </c>
      <c r="G493" s="27">
        <f>30-10</f>
        <v>20</v>
      </c>
      <c r="H493" s="27">
        <v>0</v>
      </c>
      <c r="I493" s="27">
        <f aca="true" t="shared" si="514" ref="I493:L493">30-10</f>
        <v>20</v>
      </c>
      <c r="J493" s="27">
        <f t="shared" si="514"/>
        <v>20</v>
      </c>
      <c r="K493" s="27">
        <f t="shared" si="514"/>
        <v>20</v>
      </c>
      <c r="L493" s="27">
        <f t="shared" si="514"/>
        <v>20</v>
      </c>
      <c r="M493" s="27">
        <v>10</v>
      </c>
      <c r="N493" s="27">
        <v>0</v>
      </c>
      <c r="O493" s="27">
        <f t="shared" si="477"/>
        <v>0</v>
      </c>
    </row>
    <row r="494" spans="1:15" ht="15.75" customHeight="1" hidden="1">
      <c r="A494" s="41"/>
      <c r="B494" s="215"/>
      <c r="C494" s="213"/>
      <c r="D494" s="213"/>
      <c r="E494" s="213"/>
      <c r="F494" s="213"/>
      <c r="G494" s="27"/>
      <c r="H494" s="27"/>
      <c r="I494" s="27"/>
      <c r="J494" s="27"/>
      <c r="K494" s="27"/>
      <c r="L494" s="27"/>
      <c r="M494" s="27"/>
      <c r="N494" s="27"/>
      <c r="O494" s="27" t="e">
        <f t="shared" si="477"/>
        <v>#DIV/0!</v>
      </c>
    </row>
    <row r="495" spans="1:15" ht="15.75" customHeight="1" hidden="1">
      <c r="A495" s="41"/>
      <c r="B495" s="215"/>
      <c r="C495" s="213"/>
      <c r="D495" s="213"/>
      <c r="E495" s="213"/>
      <c r="F495" s="213"/>
      <c r="G495" s="27"/>
      <c r="H495" s="27"/>
      <c r="I495" s="27"/>
      <c r="J495" s="27"/>
      <c r="K495" s="27"/>
      <c r="L495" s="27"/>
      <c r="M495" s="27"/>
      <c r="N495" s="27"/>
      <c r="O495" s="27" t="e">
        <f t="shared" si="477"/>
        <v>#DIV/0!</v>
      </c>
    </row>
    <row r="496" spans="1:15" ht="15.75" customHeight="1" hidden="1">
      <c r="A496" s="41"/>
      <c r="B496" s="215"/>
      <c r="C496" s="213"/>
      <c r="D496" s="213"/>
      <c r="E496" s="213"/>
      <c r="F496" s="213"/>
      <c r="G496" s="27"/>
      <c r="H496" s="27"/>
      <c r="I496" s="27"/>
      <c r="J496" s="27"/>
      <c r="K496" s="27"/>
      <c r="L496" s="27"/>
      <c r="M496" s="27"/>
      <c r="N496" s="27"/>
      <c r="O496" s="27" t="e">
        <f t="shared" si="477"/>
        <v>#DIV/0!</v>
      </c>
    </row>
    <row r="497" spans="1:15" ht="126" customHeight="1" hidden="1">
      <c r="A497" s="26" t="s">
        <v>425</v>
      </c>
      <c r="B497" s="215">
        <v>903</v>
      </c>
      <c r="C497" s="213" t="s">
        <v>296</v>
      </c>
      <c r="D497" s="213" t="s">
        <v>267</v>
      </c>
      <c r="E497" s="213" t="s">
        <v>426</v>
      </c>
      <c r="F497" s="213"/>
      <c r="G497" s="27">
        <f aca="true" t="shared" si="515" ref="G497:L498">G498</f>
        <v>0</v>
      </c>
      <c r="H497" s="27">
        <f t="shared" si="515"/>
        <v>0</v>
      </c>
      <c r="I497" s="27">
        <f t="shared" si="515"/>
        <v>0</v>
      </c>
      <c r="J497" s="27">
        <f t="shared" si="515"/>
        <v>0</v>
      </c>
      <c r="K497" s="27">
        <f t="shared" si="515"/>
        <v>0</v>
      </c>
      <c r="L497" s="27">
        <f t="shared" si="515"/>
        <v>0</v>
      </c>
      <c r="M497" s="27">
        <f aca="true" t="shared" si="516" ref="M497:N498">M498</f>
        <v>0</v>
      </c>
      <c r="N497" s="27">
        <f t="shared" si="516"/>
        <v>0</v>
      </c>
      <c r="O497" s="27" t="e">
        <f t="shared" si="477"/>
        <v>#DIV/0!</v>
      </c>
    </row>
    <row r="498" spans="1:15" ht="15.75" customHeight="1" hidden="1">
      <c r="A498" s="26" t="s">
        <v>187</v>
      </c>
      <c r="B498" s="215">
        <v>903</v>
      </c>
      <c r="C498" s="213" t="s">
        <v>296</v>
      </c>
      <c r="D498" s="213" t="s">
        <v>267</v>
      </c>
      <c r="E498" s="213" t="s">
        <v>426</v>
      </c>
      <c r="F498" s="213" t="s">
        <v>197</v>
      </c>
      <c r="G498" s="27">
        <f t="shared" si="515"/>
        <v>0</v>
      </c>
      <c r="H498" s="27">
        <f t="shared" si="515"/>
        <v>0</v>
      </c>
      <c r="I498" s="27">
        <f t="shared" si="515"/>
        <v>0</v>
      </c>
      <c r="J498" s="27">
        <f t="shared" si="515"/>
        <v>0</v>
      </c>
      <c r="K498" s="27">
        <f t="shared" si="515"/>
        <v>0</v>
      </c>
      <c r="L498" s="27">
        <f t="shared" si="515"/>
        <v>0</v>
      </c>
      <c r="M498" s="27">
        <f t="shared" si="516"/>
        <v>0</v>
      </c>
      <c r="N498" s="27">
        <f t="shared" si="516"/>
        <v>0</v>
      </c>
      <c r="O498" s="27" t="e">
        <f t="shared" si="477"/>
        <v>#DIV/0!</v>
      </c>
    </row>
    <row r="499" spans="1:15" ht="63" customHeight="1" hidden="1">
      <c r="A499" s="26" t="s">
        <v>236</v>
      </c>
      <c r="B499" s="215">
        <v>903</v>
      </c>
      <c r="C499" s="213" t="s">
        <v>296</v>
      </c>
      <c r="D499" s="213" t="s">
        <v>267</v>
      </c>
      <c r="E499" s="213" t="s">
        <v>426</v>
      </c>
      <c r="F499" s="213" t="s">
        <v>212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 t="e">
        <f t="shared" si="477"/>
        <v>#DIV/0!</v>
      </c>
    </row>
    <row r="500" spans="1:15" ht="50.25" customHeight="1">
      <c r="A500" s="26" t="s">
        <v>427</v>
      </c>
      <c r="B500" s="215">
        <v>903</v>
      </c>
      <c r="C500" s="213" t="s">
        <v>296</v>
      </c>
      <c r="D500" s="213" t="s">
        <v>267</v>
      </c>
      <c r="E500" s="213" t="s">
        <v>428</v>
      </c>
      <c r="F500" s="213"/>
      <c r="G500" s="27">
        <f aca="true" t="shared" si="517" ref="G500:L501">G501</f>
        <v>10</v>
      </c>
      <c r="H500" s="27">
        <f t="shared" si="517"/>
        <v>0</v>
      </c>
      <c r="I500" s="27">
        <f t="shared" si="517"/>
        <v>10</v>
      </c>
      <c r="J500" s="27">
        <f t="shared" si="517"/>
        <v>10</v>
      </c>
      <c r="K500" s="27">
        <f t="shared" si="517"/>
        <v>10</v>
      </c>
      <c r="L500" s="27">
        <f t="shared" si="517"/>
        <v>10</v>
      </c>
      <c r="M500" s="27">
        <f aca="true" t="shared" si="518" ref="M500:N501">M501</f>
        <v>10</v>
      </c>
      <c r="N500" s="27">
        <f t="shared" si="518"/>
        <v>0</v>
      </c>
      <c r="O500" s="27">
        <f t="shared" si="477"/>
        <v>0</v>
      </c>
    </row>
    <row r="501" spans="1:15" ht="31.5">
      <c r="A501" s="26" t="s">
        <v>300</v>
      </c>
      <c r="B501" s="215">
        <v>903</v>
      </c>
      <c r="C501" s="213" t="s">
        <v>296</v>
      </c>
      <c r="D501" s="213" t="s">
        <v>267</v>
      </c>
      <c r="E501" s="213" t="s">
        <v>428</v>
      </c>
      <c r="F501" s="213" t="s">
        <v>301</v>
      </c>
      <c r="G501" s="27">
        <f t="shared" si="517"/>
        <v>10</v>
      </c>
      <c r="H501" s="27">
        <f t="shared" si="517"/>
        <v>0</v>
      </c>
      <c r="I501" s="27">
        <f t="shared" si="517"/>
        <v>10</v>
      </c>
      <c r="J501" s="27">
        <f t="shared" si="517"/>
        <v>10</v>
      </c>
      <c r="K501" s="27">
        <f t="shared" si="517"/>
        <v>10</v>
      </c>
      <c r="L501" s="27">
        <f t="shared" si="517"/>
        <v>10</v>
      </c>
      <c r="M501" s="27">
        <f t="shared" si="518"/>
        <v>10</v>
      </c>
      <c r="N501" s="27">
        <f t="shared" si="518"/>
        <v>0</v>
      </c>
      <c r="O501" s="27">
        <f t="shared" si="477"/>
        <v>0</v>
      </c>
    </row>
    <row r="502" spans="1:15" ht="31.5">
      <c r="A502" s="26" t="s">
        <v>302</v>
      </c>
      <c r="B502" s="215">
        <v>903</v>
      </c>
      <c r="C502" s="213" t="s">
        <v>296</v>
      </c>
      <c r="D502" s="213" t="s">
        <v>267</v>
      </c>
      <c r="E502" s="213" t="s">
        <v>428</v>
      </c>
      <c r="F502" s="213" t="s">
        <v>303</v>
      </c>
      <c r="G502" s="27">
        <v>10</v>
      </c>
      <c r="H502" s="27">
        <v>0</v>
      </c>
      <c r="I502" s="27">
        <v>10</v>
      </c>
      <c r="J502" s="27">
        <v>10</v>
      </c>
      <c r="K502" s="27">
        <v>10</v>
      </c>
      <c r="L502" s="27">
        <v>10</v>
      </c>
      <c r="M502" s="27">
        <v>10</v>
      </c>
      <c r="N502" s="27">
        <v>0</v>
      </c>
      <c r="O502" s="27">
        <f t="shared" si="477"/>
        <v>0</v>
      </c>
    </row>
    <row r="503" spans="1:15" ht="31.5" customHeight="1" hidden="1">
      <c r="A503" s="26" t="s">
        <v>429</v>
      </c>
      <c r="B503" s="215">
        <v>903</v>
      </c>
      <c r="C503" s="213" t="s">
        <v>296</v>
      </c>
      <c r="D503" s="213" t="s">
        <v>267</v>
      </c>
      <c r="E503" s="213" t="s">
        <v>430</v>
      </c>
      <c r="F503" s="213"/>
      <c r="G503" s="27">
        <f aca="true" t="shared" si="519" ref="G503:L503">G504+G506</f>
        <v>0</v>
      </c>
      <c r="H503" s="27">
        <f t="shared" si="519"/>
        <v>0</v>
      </c>
      <c r="I503" s="27">
        <f t="shared" si="519"/>
        <v>0</v>
      </c>
      <c r="J503" s="27">
        <f t="shared" si="519"/>
        <v>0</v>
      </c>
      <c r="K503" s="27">
        <f t="shared" si="519"/>
        <v>0</v>
      </c>
      <c r="L503" s="27">
        <f t="shared" si="519"/>
        <v>0</v>
      </c>
      <c r="M503" s="27">
        <f aca="true" t="shared" si="520" ref="M503:N503">M504+M506</f>
        <v>0</v>
      </c>
      <c r="N503" s="27">
        <f t="shared" si="520"/>
        <v>0</v>
      </c>
      <c r="O503" s="27" t="e">
        <f t="shared" si="477"/>
        <v>#DIV/0!</v>
      </c>
    </row>
    <row r="504" spans="1:15" ht="31.5" customHeight="1" hidden="1">
      <c r="A504" s="26" t="s">
        <v>183</v>
      </c>
      <c r="B504" s="215">
        <v>903</v>
      </c>
      <c r="C504" s="213" t="s">
        <v>296</v>
      </c>
      <c r="D504" s="213" t="s">
        <v>267</v>
      </c>
      <c r="E504" s="213" t="s">
        <v>430</v>
      </c>
      <c r="F504" s="213" t="s">
        <v>184</v>
      </c>
      <c r="G504" s="27">
        <f aca="true" t="shared" si="521" ref="G504:L504">G505</f>
        <v>0</v>
      </c>
      <c r="H504" s="27">
        <f t="shared" si="521"/>
        <v>0</v>
      </c>
      <c r="I504" s="27">
        <f t="shared" si="521"/>
        <v>0</v>
      </c>
      <c r="J504" s="27">
        <f t="shared" si="521"/>
        <v>0</v>
      </c>
      <c r="K504" s="27">
        <f t="shared" si="521"/>
        <v>0</v>
      </c>
      <c r="L504" s="27">
        <f t="shared" si="521"/>
        <v>0</v>
      </c>
      <c r="M504" s="27">
        <f aca="true" t="shared" si="522" ref="M504:N504">M505</f>
        <v>0</v>
      </c>
      <c r="N504" s="27">
        <f t="shared" si="522"/>
        <v>0</v>
      </c>
      <c r="O504" s="27" t="e">
        <f t="shared" si="477"/>
        <v>#DIV/0!</v>
      </c>
    </row>
    <row r="505" spans="1:15" ht="47.25" customHeight="1" hidden="1">
      <c r="A505" s="26" t="s">
        <v>185</v>
      </c>
      <c r="B505" s="215">
        <v>903</v>
      </c>
      <c r="C505" s="213" t="s">
        <v>296</v>
      </c>
      <c r="D505" s="213" t="s">
        <v>267</v>
      </c>
      <c r="E505" s="213" t="s">
        <v>430</v>
      </c>
      <c r="F505" s="213" t="s">
        <v>186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 t="e">
        <f t="shared" si="477"/>
        <v>#DIV/0!</v>
      </c>
    </row>
    <row r="506" spans="1:15" ht="15.75" customHeight="1" hidden="1">
      <c r="A506" s="26" t="s">
        <v>187</v>
      </c>
      <c r="B506" s="215">
        <v>903</v>
      </c>
      <c r="C506" s="213" t="s">
        <v>296</v>
      </c>
      <c r="D506" s="213" t="s">
        <v>267</v>
      </c>
      <c r="E506" s="213" t="s">
        <v>431</v>
      </c>
      <c r="F506" s="213" t="s">
        <v>197</v>
      </c>
      <c r="G506" s="27">
        <f aca="true" t="shared" si="523" ref="G506:L506">G507</f>
        <v>0</v>
      </c>
      <c r="H506" s="27">
        <f t="shared" si="523"/>
        <v>0</v>
      </c>
      <c r="I506" s="27">
        <f t="shared" si="523"/>
        <v>0</v>
      </c>
      <c r="J506" s="27">
        <f t="shared" si="523"/>
        <v>0</v>
      </c>
      <c r="K506" s="27">
        <f t="shared" si="523"/>
        <v>0</v>
      </c>
      <c r="L506" s="27">
        <f t="shared" si="523"/>
        <v>0</v>
      </c>
      <c r="M506" s="27">
        <f aca="true" t="shared" si="524" ref="M506:N506">M507</f>
        <v>0</v>
      </c>
      <c r="N506" s="27">
        <f t="shared" si="524"/>
        <v>0</v>
      </c>
      <c r="O506" s="27" t="e">
        <f t="shared" si="477"/>
        <v>#DIV/0!</v>
      </c>
    </row>
    <row r="507" spans="1:15" ht="63" customHeight="1" hidden="1">
      <c r="A507" s="26" t="s">
        <v>236</v>
      </c>
      <c r="B507" s="215">
        <v>903</v>
      </c>
      <c r="C507" s="213" t="s">
        <v>296</v>
      </c>
      <c r="D507" s="213" t="s">
        <v>267</v>
      </c>
      <c r="E507" s="213" t="s">
        <v>431</v>
      </c>
      <c r="F507" s="213" t="s">
        <v>212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 t="e">
        <f t="shared" si="477"/>
        <v>#DIV/0!</v>
      </c>
    </row>
    <row r="508" spans="1:15" ht="94.5">
      <c r="A508" s="31" t="s">
        <v>432</v>
      </c>
      <c r="B508" s="215">
        <v>903</v>
      </c>
      <c r="C508" s="216" t="s">
        <v>296</v>
      </c>
      <c r="D508" s="216" t="s">
        <v>267</v>
      </c>
      <c r="E508" s="216" t="s">
        <v>433</v>
      </c>
      <c r="F508" s="216"/>
      <c r="G508" s="27">
        <f>G509</f>
        <v>105</v>
      </c>
      <c r="H508" s="27">
        <f aca="true" t="shared" si="525" ref="H508:H510">H509</f>
        <v>94.6</v>
      </c>
      <c r="I508" s="27">
        <f aca="true" t="shared" si="526" ref="I508:L510">I509</f>
        <v>105</v>
      </c>
      <c r="J508" s="27">
        <f t="shared" si="526"/>
        <v>0</v>
      </c>
      <c r="K508" s="27">
        <f t="shared" si="526"/>
        <v>0</v>
      </c>
      <c r="L508" s="27">
        <f t="shared" si="526"/>
        <v>0</v>
      </c>
      <c r="M508" s="27">
        <f aca="true" t="shared" si="527" ref="M508:N510">M509</f>
        <v>200</v>
      </c>
      <c r="N508" s="27">
        <f t="shared" si="527"/>
        <v>28.7</v>
      </c>
      <c r="O508" s="27">
        <f t="shared" si="477"/>
        <v>14.35</v>
      </c>
    </row>
    <row r="509" spans="1:15" ht="31.5">
      <c r="A509" s="31" t="s">
        <v>209</v>
      </c>
      <c r="B509" s="215">
        <v>903</v>
      </c>
      <c r="C509" s="216" t="s">
        <v>296</v>
      </c>
      <c r="D509" s="216" t="s">
        <v>267</v>
      </c>
      <c r="E509" s="216" t="s">
        <v>434</v>
      </c>
      <c r="F509" s="216"/>
      <c r="G509" s="27">
        <f>G510</f>
        <v>105</v>
      </c>
      <c r="H509" s="27">
        <f t="shared" si="525"/>
        <v>94.6</v>
      </c>
      <c r="I509" s="27">
        <f t="shared" si="526"/>
        <v>105</v>
      </c>
      <c r="J509" s="27">
        <f t="shared" si="526"/>
        <v>0</v>
      </c>
      <c r="K509" s="27">
        <f t="shared" si="526"/>
        <v>0</v>
      </c>
      <c r="L509" s="27">
        <f t="shared" si="526"/>
        <v>0</v>
      </c>
      <c r="M509" s="27">
        <f t="shared" si="527"/>
        <v>200</v>
      </c>
      <c r="N509" s="27">
        <f t="shared" si="527"/>
        <v>28.7</v>
      </c>
      <c r="O509" s="27">
        <f t="shared" si="477"/>
        <v>14.35</v>
      </c>
    </row>
    <row r="510" spans="1:15" ht="31.5">
      <c r="A510" s="31" t="s">
        <v>183</v>
      </c>
      <c r="B510" s="215">
        <v>903</v>
      </c>
      <c r="C510" s="216" t="s">
        <v>296</v>
      </c>
      <c r="D510" s="216" t="s">
        <v>267</v>
      </c>
      <c r="E510" s="216" t="s">
        <v>434</v>
      </c>
      <c r="F510" s="216" t="s">
        <v>184</v>
      </c>
      <c r="G510" s="27">
        <f>G511</f>
        <v>105</v>
      </c>
      <c r="H510" s="27">
        <f t="shared" si="525"/>
        <v>94.6</v>
      </c>
      <c r="I510" s="27">
        <f t="shared" si="526"/>
        <v>105</v>
      </c>
      <c r="J510" s="27">
        <f t="shared" si="526"/>
        <v>0</v>
      </c>
      <c r="K510" s="27">
        <f t="shared" si="526"/>
        <v>0</v>
      </c>
      <c r="L510" s="27">
        <f t="shared" si="526"/>
        <v>0</v>
      </c>
      <c r="M510" s="27">
        <f t="shared" si="527"/>
        <v>200</v>
      </c>
      <c r="N510" s="27">
        <f t="shared" si="527"/>
        <v>28.7</v>
      </c>
      <c r="O510" s="27">
        <f t="shared" si="477"/>
        <v>14.35</v>
      </c>
    </row>
    <row r="511" spans="1:15" ht="47.25">
      <c r="A511" s="31" t="s">
        <v>185</v>
      </c>
      <c r="B511" s="215">
        <v>903</v>
      </c>
      <c r="C511" s="216" t="s">
        <v>296</v>
      </c>
      <c r="D511" s="216" t="s">
        <v>267</v>
      </c>
      <c r="E511" s="216" t="s">
        <v>434</v>
      </c>
      <c r="F511" s="216" t="s">
        <v>186</v>
      </c>
      <c r="G511" s="27">
        <f>50+55</f>
        <v>105</v>
      </c>
      <c r="H511" s="27">
        <v>94.6</v>
      </c>
      <c r="I511" s="27">
        <f aca="true" t="shared" si="528" ref="I511">50+55</f>
        <v>105</v>
      </c>
      <c r="J511" s="27">
        <v>0</v>
      </c>
      <c r="K511" s="27">
        <v>0</v>
      </c>
      <c r="L511" s="27">
        <v>0</v>
      </c>
      <c r="M511" s="27">
        <v>200</v>
      </c>
      <c r="N511" s="27">
        <v>28.7</v>
      </c>
      <c r="O511" s="27">
        <f t="shared" si="477"/>
        <v>14.35</v>
      </c>
    </row>
    <row r="512" spans="1:15" ht="15.75">
      <c r="A512" s="26" t="s">
        <v>173</v>
      </c>
      <c r="B512" s="215">
        <v>903</v>
      </c>
      <c r="C512" s="213" t="s">
        <v>296</v>
      </c>
      <c r="D512" s="213" t="s">
        <v>267</v>
      </c>
      <c r="E512" s="213" t="s">
        <v>174</v>
      </c>
      <c r="F512" s="213"/>
      <c r="G512" s="27">
        <f>G513+G524</f>
        <v>932</v>
      </c>
      <c r="H512" s="27">
        <f>H513+H524</f>
        <v>0</v>
      </c>
      <c r="I512" s="27">
        <f aca="true" t="shared" si="529" ref="I512:L512">I513+I524</f>
        <v>932</v>
      </c>
      <c r="J512" s="27">
        <f t="shared" si="529"/>
        <v>0</v>
      </c>
      <c r="K512" s="27">
        <f t="shared" si="529"/>
        <v>0</v>
      </c>
      <c r="L512" s="27">
        <f t="shared" si="529"/>
        <v>0</v>
      </c>
      <c r="M512" s="27">
        <f aca="true" t="shared" si="530" ref="M512:N512">M513+M524</f>
        <v>783.1</v>
      </c>
      <c r="N512" s="27">
        <f t="shared" si="530"/>
        <v>0</v>
      </c>
      <c r="O512" s="27">
        <f t="shared" si="477"/>
        <v>0</v>
      </c>
    </row>
    <row r="513" spans="1:15" ht="31.5">
      <c r="A513" s="26" t="s">
        <v>237</v>
      </c>
      <c r="B513" s="215">
        <v>903</v>
      </c>
      <c r="C513" s="213" t="s">
        <v>296</v>
      </c>
      <c r="D513" s="213" t="s">
        <v>267</v>
      </c>
      <c r="E513" s="213" t="s">
        <v>238</v>
      </c>
      <c r="F513" s="213"/>
      <c r="G513" s="27">
        <f>G520+G514+G517</f>
        <v>932</v>
      </c>
      <c r="H513" s="27">
        <f>H520+H514+H517</f>
        <v>0</v>
      </c>
      <c r="I513" s="27">
        <f aca="true" t="shared" si="531" ref="I513:L513">I520+I514+I517</f>
        <v>932</v>
      </c>
      <c r="J513" s="27">
        <f t="shared" si="531"/>
        <v>0</v>
      </c>
      <c r="K513" s="27">
        <f t="shared" si="531"/>
        <v>0</v>
      </c>
      <c r="L513" s="27">
        <f t="shared" si="531"/>
        <v>0</v>
      </c>
      <c r="M513" s="27">
        <f aca="true" t="shared" si="532" ref="M513:N513">M520+M514+M517</f>
        <v>783.1</v>
      </c>
      <c r="N513" s="27">
        <f t="shared" si="532"/>
        <v>0</v>
      </c>
      <c r="O513" s="27">
        <f t="shared" si="477"/>
        <v>0</v>
      </c>
    </row>
    <row r="514" spans="1:15" ht="47.25">
      <c r="A514" s="26" t="s">
        <v>994</v>
      </c>
      <c r="B514" s="215">
        <v>903</v>
      </c>
      <c r="C514" s="213" t="s">
        <v>296</v>
      </c>
      <c r="D514" s="213" t="s">
        <v>267</v>
      </c>
      <c r="E514" s="213" t="s">
        <v>993</v>
      </c>
      <c r="F514" s="213"/>
      <c r="G514" s="27">
        <f aca="true" t="shared" si="533" ref="G514:L515">G515</f>
        <v>372.6</v>
      </c>
      <c r="H514" s="27">
        <f t="shared" si="533"/>
        <v>0</v>
      </c>
      <c r="I514" s="27">
        <f t="shared" si="533"/>
        <v>372.6</v>
      </c>
      <c r="J514" s="27">
        <f t="shared" si="533"/>
        <v>0</v>
      </c>
      <c r="K514" s="27">
        <f t="shared" si="533"/>
        <v>0</v>
      </c>
      <c r="L514" s="27">
        <f t="shared" si="533"/>
        <v>0</v>
      </c>
      <c r="M514" s="27">
        <f aca="true" t="shared" si="534" ref="M514:N515">M515</f>
        <v>783.1</v>
      </c>
      <c r="N514" s="27">
        <f t="shared" si="534"/>
        <v>0</v>
      </c>
      <c r="O514" s="27">
        <f t="shared" si="477"/>
        <v>0</v>
      </c>
    </row>
    <row r="515" spans="1:15" ht="31.5">
      <c r="A515" s="26" t="s">
        <v>300</v>
      </c>
      <c r="B515" s="215">
        <v>903</v>
      </c>
      <c r="C515" s="213" t="s">
        <v>296</v>
      </c>
      <c r="D515" s="213" t="s">
        <v>267</v>
      </c>
      <c r="E515" s="213" t="s">
        <v>993</v>
      </c>
      <c r="F515" s="213" t="s">
        <v>301</v>
      </c>
      <c r="G515" s="27">
        <f t="shared" si="533"/>
        <v>372.6</v>
      </c>
      <c r="H515" s="27">
        <f t="shared" si="533"/>
        <v>0</v>
      </c>
      <c r="I515" s="27">
        <f t="shared" si="533"/>
        <v>372.6</v>
      </c>
      <c r="J515" s="27">
        <f t="shared" si="533"/>
        <v>0</v>
      </c>
      <c r="K515" s="27">
        <f t="shared" si="533"/>
        <v>0</v>
      </c>
      <c r="L515" s="27">
        <f t="shared" si="533"/>
        <v>0</v>
      </c>
      <c r="M515" s="27">
        <f t="shared" si="534"/>
        <v>783.1</v>
      </c>
      <c r="N515" s="27">
        <f t="shared" si="534"/>
        <v>0</v>
      </c>
      <c r="O515" s="27">
        <f t="shared" si="477"/>
        <v>0</v>
      </c>
    </row>
    <row r="516" spans="1:15" ht="31.5">
      <c r="A516" s="26" t="s">
        <v>302</v>
      </c>
      <c r="B516" s="215">
        <v>903</v>
      </c>
      <c r="C516" s="213" t="s">
        <v>296</v>
      </c>
      <c r="D516" s="213" t="s">
        <v>267</v>
      </c>
      <c r="E516" s="213" t="s">
        <v>993</v>
      </c>
      <c r="F516" s="213" t="s">
        <v>303</v>
      </c>
      <c r="G516" s="27">
        <v>372.6</v>
      </c>
      <c r="H516" s="27">
        <v>0</v>
      </c>
      <c r="I516" s="27">
        <v>372.6</v>
      </c>
      <c r="J516" s="27">
        <v>0</v>
      </c>
      <c r="K516" s="27">
        <v>0</v>
      </c>
      <c r="L516" s="27">
        <v>0</v>
      </c>
      <c r="M516" s="27">
        <v>783.1</v>
      </c>
      <c r="N516" s="27">
        <v>0</v>
      </c>
      <c r="O516" s="27">
        <f t="shared" si="477"/>
        <v>0</v>
      </c>
    </row>
    <row r="517" spans="1:15" ht="63" hidden="1">
      <c r="A517" s="26" t="s">
        <v>427</v>
      </c>
      <c r="B517" s="215">
        <v>903</v>
      </c>
      <c r="C517" s="213" t="s">
        <v>296</v>
      </c>
      <c r="D517" s="213" t="s">
        <v>267</v>
      </c>
      <c r="E517" s="213" t="s">
        <v>437</v>
      </c>
      <c r="F517" s="213"/>
      <c r="G517" s="27">
        <f aca="true" t="shared" si="535" ref="G517:L518">G518</f>
        <v>500</v>
      </c>
      <c r="H517" s="27">
        <f t="shared" si="535"/>
        <v>0</v>
      </c>
      <c r="I517" s="27">
        <f t="shared" si="535"/>
        <v>500</v>
      </c>
      <c r="J517" s="27">
        <f t="shared" si="535"/>
        <v>0</v>
      </c>
      <c r="K517" s="27">
        <f t="shared" si="535"/>
        <v>0</v>
      </c>
      <c r="L517" s="27">
        <f t="shared" si="535"/>
        <v>0</v>
      </c>
      <c r="M517" s="27">
        <f aca="true" t="shared" si="536" ref="M517:N518">M518</f>
        <v>0</v>
      </c>
      <c r="N517" s="27">
        <f t="shared" si="536"/>
        <v>0</v>
      </c>
      <c r="O517" s="22" t="e">
        <f t="shared" si="477"/>
        <v>#DIV/0!</v>
      </c>
    </row>
    <row r="518" spans="1:15" ht="31.5" hidden="1">
      <c r="A518" s="26" t="s">
        <v>300</v>
      </c>
      <c r="B518" s="215">
        <v>903</v>
      </c>
      <c r="C518" s="213" t="s">
        <v>296</v>
      </c>
      <c r="D518" s="213" t="s">
        <v>267</v>
      </c>
      <c r="E518" s="213" t="s">
        <v>437</v>
      </c>
      <c r="F518" s="213" t="s">
        <v>301</v>
      </c>
      <c r="G518" s="27">
        <f t="shared" si="535"/>
        <v>500</v>
      </c>
      <c r="H518" s="27">
        <f t="shared" si="535"/>
        <v>0</v>
      </c>
      <c r="I518" s="27">
        <f t="shared" si="535"/>
        <v>500</v>
      </c>
      <c r="J518" s="27">
        <f t="shared" si="535"/>
        <v>0</v>
      </c>
      <c r="K518" s="27">
        <f t="shared" si="535"/>
        <v>0</v>
      </c>
      <c r="L518" s="27">
        <f t="shared" si="535"/>
        <v>0</v>
      </c>
      <c r="M518" s="27">
        <f t="shared" si="536"/>
        <v>0</v>
      </c>
      <c r="N518" s="27">
        <f t="shared" si="536"/>
        <v>0</v>
      </c>
      <c r="O518" s="22" t="e">
        <f t="shared" si="477"/>
        <v>#DIV/0!</v>
      </c>
    </row>
    <row r="519" spans="1:15" ht="31.5" hidden="1">
      <c r="A519" s="26" t="s">
        <v>302</v>
      </c>
      <c r="B519" s="215">
        <v>903</v>
      </c>
      <c r="C519" s="213" t="s">
        <v>296</v>
      </c>
      <c r="D519" s="213" t="s">
        <v>267</v>
      </c>
      <c r="E519" s="213" t="s">
        <v>437</v>
      </c>
      <c r="F519" s="213" t="s">
        <v>303</v>
      </c>
      <c r="G519" s="27">
        <v>500</v>
      </c>
      <c r="H519" s="27">
        <v>0</v>
      </c>
      <c r="I519" s="27">
        <v>500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2" t="e">
        <f t="shared" si="477"/>
        <v>#DIV/0!</v>
      </c>
    </row>
    <row r="520" spans="1:15" ht="54" customHeight="1" hidden="1">
      <c r="A520" s="26" t="s">
        <v>834</v>
      </c>
      <c r="B520" s="215">
        <v>903</v>
      </c>
      <c r="C520" s="213" t="s">
        <v>296</v>
      </c>
      <c r="D520" s="213" t="s">
        <v>267</v>
      </c>
      <c r="E520" s="213" t="s">
        <v>439</v>
      </c>
      <c r="F520" s="213"/>
      <c r="G520" s="27">
        <f aca="true" t="shared" si="537" ref="G520:L520">G521</f>
        <v>59.4</v>
      </c>
      <c r="H520" s="27">
        <f t="shared" si="537"/>
        <v>0</v>
      </c>
      <c r="I520" s="27">
        <f t="shared" si="537"/>
        <v>59.4</v>
      </c>
      <c r="J520" s="27">
        <f t="shared" si="537"/>
        <v>0</v>
      </c>
      <c r="K520" s="27">
        <f t="shared" si="537"/>
        <v>0</v>
      </c>
      <c r="L520" s="27">
        <f t="shared" si="537"/>
        <v>0</v>
      </c>
      <c r="M520" s="27">
        <f aca="true" t="shared" si="538" ref="M520:N520">M521</f>
        <v>0</v>
      </c>
      <c r="N520" s="27">
        <f t="shared" si="538"/>
        <v>0</v>
      </c>
      <c r="O520" s="22" t="e">
        <f t="shared" si="477"/>
        <v>#DIV/0!</v>
      </c>
    </row>
    <row r="521" spans="1:15" ht="31.5" hidden="1">
      <c r="A521" s="26" t="s">
        <v>300</v>
      </c>
      <c r="B521" s="215">
        <v>903</v>
      </c>
      <c r="C521" s="213" t="s">
        <v>296</v>
      </c>
      <c r="D521" s="213" t="s">
        <v>267</v>
      </c>
      <c r="E521" s="213" t="s">
        <v>439</v>
      </c>
      <c r="F521" s="213" t="s">
        <v>301</v>
      </c>
      <c r="G521" s="27">
        <f aca="true" t="shared" si="539" ref="G521:L521">G522+G523</f>
        <v>59.4</v>
      </c>
      <c r="H521" s="27">
        <f t="shared" si="539"/>
        <v>0</v>
      </c>
      <c r="I521" s="27">
        <f t="shared" si="539"/>
        <v>59.4</v>
      </c>
      <c r="J521" s="27">
        <f t="shared" si="539"/>
        <v>0</v>
      </c>
      <c r="K521" s="27">
        <f t="shared" si="539"/>
        <v>0</v>
      </c>
      <c r="L521" s="27">
        <f t="shared" si="539"/>
        <v>0</v>
      </c>
      <c r="M521" s="27">
        <f aca="true" t="shared" si="540" ref="M521:N521">M522+M523</f>
        <v>0</v>
      </c>
      <c r="N521" s="27">
        <f t="shared" si="540"/>
        <v>0</v>
      </c>
      <c r="O521" s="22" t="e">
        <f t="shared" si="477"/>
        <v>#DIV/0!</v>
      </c>
    </row>
    <row r="522" spans="1:15" ht="31.5" hidden="1">
      <c r="A522" s="26" t="s">
        <v>400</v>
      </c>
      <c r="B522" s="215">
        <v>903</v>
      </c>
      <c r="C522" s="213" t="s">
        <v>296</v>
      </c>
      <c r="D522" s="213" t="s">
        <v>267</v>
      </c>
      <c r="E522" s="213" t="s">
        <v>439</v>
      </c>
      <c r="F522" s="213" t="s">
        <v>401</v>
      </c>
      <c r="G522" s="27">
        <v>59.4</v>
      </c>
      <c r="H522" s="27">
        <v>0</v>
      </c>
      <c r="I522" s="27">
        <f>G522</f>
        <v>59.4</v>
      </c>
      <c r="J522" s="27">
        <v>0</v>
      </c>
      <c r="K522" s="27">
        <v>0</v>
      </c>
      <c r="L522" s="27">
        <v>0</v>
      </c>
      <c r="M522" s="27">
        <f>Q522</f>
        <v>0</v>
      </c>
      <c r="N522" s="27">
        <f aca="true" t="shared" si="541" ref="N522">R522</f>
        <v>0</v>
      </c>
      <c r="O522" s="22" t="e">
        <f t="shared" si="477"/>
        <v>#DIV/0!</v>
      </c>
    </row>
    <row r="523" spans="1:15" ht="31.5" hidden="1">
      <c r="A523" s="26" t="s">
        <v>302</v>
      </c>
      <c r="B523" s="215">
        <v>903</v>
      </c>
      <c r="C523" s="213" t="s">
        <v>296</v>
      </c>
      <c r="D523" s="213" t="s">
        <v>267</v>
      </c>
      <c r="E523" s="213" t="s">
        <v>439</v>
      </c>
      <c r="F523" s="213" t="s">
        <v>303</v>
      </c>
      <c r="G523" s="27"/>
      <c r="H523" s="27"/>
      <c r="I523" s="27"/>
      <c r="J523" s="27"/>
      <c r="K523" s="27"/>
      <c r="L523" s="27"/>
      <c r="M523" s="27"/>
      <c r="N523" s="27"/>
      <c r="O523" s="22" t="e">
        <f t="shared" si="477"/>
        <v>#DIV/0!</v>
      </c>
    </row>
    <row r="524" spans="1:15" ht="15.75" hidden="1">
      <c r="A524" s="26" t="s">
        <v>193</v>
      </c>
      <c r="B524" s="215">
        <v>903</v>
      </c>
      <c r="C524" s="213" t="s">
        <v>296</v>
      </c>
      <c r="D524" s="213" t="s">
        <v>267</v>
      </c>
      <c r="E524" s="213" t="s">
        <v>194</v>
      </c>
      <c r="F524" s="213"/>
      <c r="G524" s="27">
        <f aca="true" t="shared" si="542" ref="G524:L526">G525</f>
        <v>0</v>
      </c>
      <c r="H524" s="27"/>
      <c r="I524" s="27">
        <f t="shared" si="542"/>
        <v>0</v>
      </c>
      <c r="J524" s="27">
        <f t="shared" si="542"/>
        <v>0</v>
      </c>
      <c r="K524" s="27">
        <f t="shared" si="542"/>
        <v>0</v>
      </c>
      <c r="L524" s="27">
        <f t="shared" si="542"/>
        <v>0</v>
      </c>
      <c r="M524" s="27">
        <f aca="true" t="shared" si="543" ref="M524:N526">M525</f>
        <v>0</v>
      </c>
      <c r="N524" s="27">
        <f t="shared" si="543"/>
        <v>0</v>
      </c>
      <c r="O524" s="22" t="e">
        <f t="shared" si="477"/>
        <v>#DIV/0!</v>
      </c>
    </row>
    <row r="525" spans="1:15" ht="15.75" hidden="1">
      <c r="A525" s="26" t="s">
        <v>253</v>
      </c>
      <c r="B525" s="215">
        <v>903</v>
      </c>
      <c r="C525" s="213" t="s">
        <v>296</v>
      </c>
      <c r="D525" s="213" t="s">
        <v>267</v>
      </c>
      <c r="E525" s="213" t="s">
        <v>254</v>
      </c>
      <c r="F525" s="213"/>
      <c r="G525" s="27">
        <f t="shared" si="542"/>
        <v>0</v>
      </c>
      <c r="H525" s="27"/>
      <c r="I525" s="27">
        <f t="shared" si="542"/>
        <v>0</v>
      </c>
      <c r="J525" s="27">
        <f t="shared" si="542"/>
        <v>0</v>
      </c>
      <c r="K525" s="27">
        <f t="shared" si="542"/>
        <v>0</v>
      </c>
      <c r="L525" s="27">
        <f t="shared" si="542"/>
        <v>0</v>
      </c>
      <c r="M525" s="27">
        <f t="shared" si="543"/>
        <v>0</v>
      </c>
      <c r="N525" s="27">
        <f t="shared" si="543"/>
        <v>0</v>
      </c>
      <c r="O525" s="22" t="e">
        <f aca="true" t="shared" si="544" ref="O525:O588">N525/M525*100</f>
        <v>#DIV/0!</v>
      </c>
    </row>
    <row r="526" spans="1:15" ht="31.5" hidden="1">
      <c r="A526" s="26" t="s">
        <v>300</v>
      </c>
      <c r="B526" s="215">
        <v>903</v>
      </c>
      <c r="C526" s="213" t="s">
        <v>296</v>
      </c>
      <c r="D526" s="213" t="s">
        <v>267</v>
      </c>
      <c r="E526" s="213" t="s">
        <v>254</v>
      </c>
      <c r="F526" s="213" t="s">
        <v>301</v>
      </c>
      <c r="G526" s="27">
        <f t="shared" si="542"/>
        <v>0</v>
      </c>
      <c r="H526" s="27"/>
      <c r="I526" s="27">
        <f t="shared" si="542"/>
        <v>0</v>
      </c>
      <c r="J526" s="27">
        <f t="shared" si="542"/>
        <v>0</v>
      </c>
      <c r="K526" s="27">
        <f t="shared" si="542"/>
        <v>0</v>
      </c>
      <c r="L526" s="27">
        <f t="shared" si="542"/>
        <v>0</v>
      </c>
      <c r="M526" s="27">
        <f t="shared" si="543"/>
        <v>0</v>
      </c>
      <c r="N526" s="27">
        <f t="shared" si="543"/>
        <v>0</v>
      </c>
      <c r="O526" s="22" t="e">
        <f t="shared" si="544"/>
        <v>#DIV/0!</v>
      </c>
    </row>
    <row r="527" spans="1:15" ht="31.5" hidden="1">
      <c r="A527" s="26" t="s">
        <v>400</v>
      </c>
      <c r="B527" s="215">
        <v>903</v>
      </c>
      <c r="C527" s="213" t="s">
        <v>296</v>
      </c>
      <c r="D527" s="213" t="s">
        <v>267</v>
      </c>
      <c r="E527" s="213" t="s">
        <v>254</v>
      </c>
      <c r="F527" s="213" t="s">
        <v>401</v>
      </c>
      <c r="G527" s="27">
        <v>0</v>
      </c>
      <c r="H527" s="27"/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2" t="e">
        <f t="shared" si="544"/>
        <v>#DIV/0!</v>
      </c>
    </row>
    <row r="528" spans="1:15" ht="47.25">
      <c r="A528" s="20" t="s">
        <v>440</v>
      </c>
      <c r="B528" s="212">
        <v>905</v>
      </c>
      <c r="C528" s="213"/>
      <c r="D528" s="213"/>
      <c r="E528" s="213"/>
      <c r="F528" s="213"/>
      <c r="G528" s="22">
        <f aca="true" t="shared" si="545" ref="G528:L528">G529+G554+G569</f>
        <v>15801.74</v>
      </c>
      <c r="H528" s="22">
        <f t="shared" si="545"/>
        <v>7212.4</v>
      </c>
      <c r="I528" s="22">
        <f t="shared" si="545"/>
        <v>14493.722352941177</v>
      </c>
      <c r="J528" s="22">
        <f t="shared" si="545"/>
        <v>14356.1</v>
      </c>
      <c r="K528" s="22">
        <f t="shared" si="545"/>
        <v>14537</v>
      </c>
      <c r="L528" s="22">
        <f t="shared" si="545"/>
        <v>14636.1</v>
      </c>
      <c r="M528" s="22">
        <f>M529+M554+M569</f>
        <v>17356.1</v>
      </c>
      <c r="N528" s="22">
        <f aca="true" t="shared" si="546" ref="N528">N529+N554+N569</f>
        <v>8002.0999999999985</v>
      </c>
      <c r="O528" s="22">
        <f t="shared" si="544"/>
        <v>46.10540386377123</v>
      </c>
    </row>
    <row r="529" spans="1:15" ht="15.75">
      <c r="A529" s="24" t="s">
        <v>169</v>
      </c>
      <c r="B529" s="212">
        <v>905</v>
      </c>
      <c r="C529" s="214" t="s">
        <v>170</v>
      </c>
      <c r="D529" s="213"/>
      <c r="E529" s="213"/>
      <c r="F529" s="213"/>
      <c r="G529" s="22">
        <f>G530+G540</f>
        <v>14701.94</v>
      </c>
      <c r="H529" s="22">
        <f aca="true" t="shared" si="547" ref="H529">H530+H540</f>
        <v>7125.9</v>
      </c>
      <c r="I529" s="22">
        <f aca="true" t="shared" si="548" ref="I529:L529">I530+I540</f>
        <v>13501.522352941176</v>
      </c>
      <c r="J529" s="22">
        <f t="shared" si="548"/>
        <v>14092.9</v>
      </c>
      <c r="K529" s="22">
        <f t="shared" si="548"/>
        <v>14273.8</v>
      </c>
      <c r="L529" s="22">
        <f t="shared" si="548"/>
        <v>14372.9</v>
      </c>
      <c r="M529" s="22">
        <f>M530+M540</f>
        <v>16714.399999999998</v>
      </c>
      <c r="N529" s="22">
        <f aca="true" t="shared" si="549" ref="N529">N530+N540</f>
        <v>7906.399999999999</v>
      </c>
      <c r="O529" s="22">
        <f t="shared" si="544"/>
        <v>47.30292442444838</v>
      </c>
    </row>
    <row r="530" spans="1:15" ht="78.75">
      <c r="A530" s="24" t="s">
        <v>201</v>
      </c>
      <c r="B530" s="212">
        <v>905</v>
      </c>
      <c r="C530" s="214" t="s">
        <v>170</v>
      </c>
      <c r="D530" s="214" t="s">
        <v>202</v>
      </c>
      <c r="E530" s="214"/>
      <c r="F530" s="214"/>
      <c r="G530" s="22">
        <f aca="true" t="shared" si="550" ref="G530:L532">G531</f>
        <v>11089</v>
      </c>
      <c r="H530" s="22">
        <f t="shared" si="550"/>
        <v>6704.5</v>
      </c>
      <c r="I530" s="22">
        <f t="shared" si="550"/>
        <v>9888.582352941175</v>
      </c>
      <c r="J530" s="22">
        <f t="shared" si="550"/>
        <v>10969.4</v>
      </c>
      <c r="K530" s="22">
        <f t="shared" si="550"/>
        <v>10969.4</v>
      </c>
      <c r="L530" s="22">
        <f t="shared" si="550"/>
        <v>10969.4</v>
      </c>
      <c r="M530" s="22">
        <f aca="true" t="shared" si="551" ref="M530:N532">M531</f>
        <v>10426.499999999998</v>
      </c>
      <c r="N530" s="22">
        <f t="shared" si="551"/>
        <v>5892.199999999999</v>
      </c>
      <c r="O530" s="22">
        <f t="shared" si="544"/>
        <v>56.51177288639524</v>
      </c>
    </row>
    <row r="531" spans="1:15" ht="15.75">
      <c r="A531" s="26" t="s">
        <v>173</v>
      </c>
      <c r="B531" s="215">
        <v>905</v>
      </c>
      <c r="C531" s="213" t="s">
        <v>170</v>
      </c>
      <c r="D531" s="213" t="s">
        <v>202</v>
      </c>
      <c r="E531" s="213" t="s">
        <v>174</v>
      </c>
      <c r="F531" s="213"/>
      <c r="G531" s="27">
        <f>G532</f>
        <v>11089</v>
      </c>
      <c r="H531" s="27">
        <f>H532</f>
        <v>6704.5</v>
      </c>
      <c r="I531" s="27">
        <f t="shared" si="550"/>
        <v>9888.582352941175</v>
      </c>
      <c r="J531" s="27">
        <f t="shared" si="550"/>
        <v>10969.4</v>
      </c>
      <c r="K531" s="27">
        <f t="shared" si="550"/>
        <v>10969.4</v>
      </c>
      <c r="L531" s="27">
        <f t="shared" si="550"/>
        <v>10969.4</v>
      </c>
      <c r="M531" s="27">
        <f t="shared" si="551"/>
        <v>10426.499999999998</v>
      </c>
      <c r="N531" s="27">
        <f t="shared" si="551"/>
        <v>5892.199999999999</v>
      </c>
      <c r="O531" s="27">
        <f t="shared" si="544"/>
        <v>56.51177288639524</v>
      </c>
    </row>
    <row r="532" spans="1:15" ht="31.5">
      <c r="A532" s="26" t="s">
        <v>175</v>
      </c>
      <c r="B532" s="215">
        <v>905</v>
      </c>
      <c r="C532" s="213" t="s">
        <v>170</v>
      </c>
      <c r="D532" s="213" t="s">
        <v>202</v>
      </c>
      <c r="E532" s="213" t="s">
        <v>176</v>
      </c>
      <c r="F532" s="213"/>
      <c r="G532" s="27">
        <f t="shared" si="550"/>
        <v>11089</v>
      </c>
      <c r="H532" s="27">
        <f t="shared" si="550"/>
        <v>6704.5</v>
      </c>
      <c r="I532" s="27">
        <f t="shared" si="550"/>
        <v>9888.582352941175</v>
      </c>
      <c r="J532" s="27">
        <f t="shared" si="550"/>
        <v>10969.4</v>
      </c>
      <c r="K532" s="27">
        <f t="shared" si="550"/>
        <v>10969.4</v>
      </c>
      <c r="L532" s="27">
        <f t="shared" si="550"/>
        <v>10969.4</v>
      </c>
      <c r="M532" s="27">
        <f t="shared" si="551"/>
        <v>10426.499999999998</v>
      </c>
      <c r="N532" s="27">
        <f t="shared" si="551"/>
        <v>5892.199999999999</v>
      </c>
      <c r="O532" s="27">
        <f t="shared" si="544"/>
        <v>56.51177288639524</v>
      </c>
    </row>
    <row r="533" spans="1:15" ht="47.25">
      <c r="A533" s="26" t="s">
        <v>177</v>
      </c>
      <c r="B533" s="215">
        <v>905</v>
      </c>
      <c r="C533" s="213" t="s">
        <v>170</v>
      </c>
      <c r="D533" s="213" t="s">
        <v>202</v>
      </c>
      <c r="E533" s="213" t="s">
        <v>178</v>
      </c>
      <c r="F533" s="213"/>
      <c r="G533" s="27">
        <f>G534+G536+G538</f>
        <v>11089</v>
      </c>
      <c r="H533" s="27">
        <f>H534+H536+H538</f>
        <v>6704.5</v>
      </c>
      <c r="I533" s="27">
        <f aca="true" t="shared" si="552" ref="I533:L533">I534+I536+I538</f>
        <v>9888.582352941175</v>
      </c>
      <c r="J533" s="27">
        <f t="shared" si="552"/>
        <v>10969.4</v>
      </c>
      <c r="K533" s="27">
        <f t="shared" si="552"/>
        <v>10969.4</v>
      </c>
      <c r="L533" s="27">
        <f t="shared" si="552"/>
        <v>10969.4</v>
      </c>
      <c r="M533" s="27">
        <f aca="true" t="shared" si="553" ref="M533:N533">M534+M536+M538</f>
        <v>10426.499999999998</v>
      </c>
      <c r="N533" s="27">
        <f t="shared" si="553"/>
        <v>5892.199999999999</v>
      </c>
      <c r="O533" s="27">
        <f t="shared" si="544"/>
        <v>56.51177288639524</v>
      </c>
    </row>
    <row r="534" spans="1:15" ht="94.5">
      <c r="A534" s="26" t="s">
        <v>179</v>
      </c>
      <c r="B534" s="215">
        <v>905</v>
      </c>
      <c r="C534" s="213" t="s">
        <v>170</v>
      </c>
      <c r="D534" s="213" t="s">
        <v>202</v>
      </c>
      <c r="E534" s="213" t="s">
        <v>178</v>
      </c>
      <c r="F534" s="213" t="s">
        <v>180</v>
      </c>
      <c r="G534" s="27">
        <f aca="true" t="shared" si="554" ref="G534:L534">G535</f>
        <v>10200.7</v>
      </c>
      <c r="H534" s="27">
        <f t="shared" si="554"/>
        <v>6375.2</v>
      </c>
      <c r="I534" s="27">
        <f t="shared" si="554"/>
        <v>9000.282352941176</v>
      </c>
      <c r="J534" s="27">
        <f t="shared" si="554"/>
        <v>9605.9</v>
      </c>
      <c r="K534" s="27">
        <f t="shared" si="554"/>
        <v>9605.9</v>
      </c>
      <c r="L534" s="27">
        <f t="shared" si="554"/>
        <v>9605.9</v>
      </c>
      <c r="M534" s="27">
        <f aca="true" t="shared" si="555" ref="M534:N534">M535</f>
        <v>9605.9</v>
      </c>
      <c r="N534" s="27">
        <f t="shared" si="555"/>
        <v>5643.4</v>
      </c>
      <c r="O534" s="27">
        <f t="shared" si="544"/>
        <v>58.749310319699354</v>
      </c>
    </row>
    <row r="535" spans="1:15" ht="31.5">
      <c r="A535" s="26" t="s">
        <v>181</v>
      </c>
      <c r="B535" s="215">
        <v>905</v>
      </c>
      <c r="C535" s="213" t="s">
        <v>170</v>
      </c>
      <c r="D535" s="213" t="s">
        <v>202</v>
      </c>
      <c r="E535" s="213" t="s">
        <v>178</v>
      </c>
      <c r="F535" s="213" t="s">
        <v>182</v>
      </c>
      <c r="G535" s="28">
        <v>10200.7</v>
      </c>
      <c r="H535" s="28">
        <v>6375.2</v>
      </c>
      <c r="I535" s="28">
        <f>H535/8.5*12</f>
        <v>9000.282352941176</v>
      </c>
      <c r="J535" s="28">
        <v>9605.9</v>
      </c>
      <c r="K535" s="28">
        <f>J535</f>
        <v>9605.9</v>
      </c>
      <c r="L535" s="28">
        <f>K535</f>
        <v>9605.9</v>
      </c>
      <c r="M535" s="28">
        <v>9605.9</v>
      </c>
      <c r="N535" s="28">
        <v>5643.4</v>
      </c>
      <c r="O535" s="27">
        <f t="shared" si="544"/>
        <v>58.749310319699354</v>
      </c>
    </row>
    <row r="536" spans="1:15" ht="31.5">
      <c r="A536" s="26" t="s">
        <v>183</v>
      </c>
      <c r="B536" s="215">
        <v>905</v>
      </c>
      <c r="C536" s="213" t="s">
        <v>170</v>
      </c>
      <c r="D536" s="213" t="s">
        <v>202</v>
      </c>
      <c r="E536" s="213" t="s">
        <v>178</v>
      </c>
      <c r="F536" s="213" t="s">
        <v>184</v>
      </c>
      <c r="G536" s="27">
        <f aca="true" t="shared" si="556" ref="G536:L536">G537</f>
        <v>811.8</v>
      </c>
      <c r="H536" s="27">
        <f t="shared" si="556"/>
        <v>286.1</v>
      </c>
      <c r="I536" s="27">
        <f t="shared" si="556"/>
        <v>811.8</v>
      </c>
      <c r="J536" s="27">
        <f t="shared" si="556"/>
        <v>1287</v>
      </c>
      <c r="K536" s="27">
        <f t="shared" si="556"/>
        <v>1287</v>
      </c>
      <c r="L536" s="27">
        <f t="shared" si="556"/>
        <v>1287</v>
      </c>
      <c r="M536" s="27">
        <f aca="true" t="shared" si="557" ref="M536:N536">M537</f>
        <v>784.3</v>
      </c>
      <c r="N536" s="27">
        <f t="shared" si="557"/>
        <v>202.9</v>
      </c>
      <c r="O536" s="27">
        <f t="shared" si="544"/>
        <v>25.870202728547753</v>
      </c>
    </row>
    <row r="537" spans="1:15" ht="47.25">
      <c r="A537" s="26" t="s">
        <v>185</v>
      </c>
      <c r="B537" s="215">
        <v>905</v>
      </c>
      <c r="C537" s="213" t="s">
        <v>170</v>
      </c>
      <c r="D537" s="213" t="s">
        <v>202</v>
      </c>
      <c r="E537" s="213" t="s">
        <v>178</v>
      </c>
      <c r="F537" s="213" t="s">
        <v>186</v>
      </c>
      <c r="G537" s="28">
        <f>885.8-74</f>
        <v>811.8</v>
      </c>
      <c r="H537" s="28">
        <v>286.1</v>
      </c>
      <c r="I537" s="28">
        <f aca="true" t="shared" si="558" ref="I537">885.8-74</f>
        <v>811.8</v>
      </c>
      <c r="J537" s="28">
        <f>1363.5-J539</f>
        <v>1287</v>
      </c>
      <c r="K537" s="28">
        <f>J537</f>
        <v>1287</v>
      </c>
      <c r="L537" s="28">
        <f>K537</f>
        <v>1287</v>
      </c>
      <c r="M537" s="28">
        <f>885.8-74-7.5-20</f>
        <v>784.3</v>
      </c>
      <c r="N537" s="28">
        <v>202.9</v>
      </c>
      <c r="O537" s="27">
        <f t="shared" si="544"/>
        <v>25.870202728547753</v>
      </c>
    </row>
    <row r="538" spans="1:15" ht="15.75">
      <c r="A538" s="26" t="s">
        <v>187</v>
      </c>
      <c r="B538" s="215">
        <v>905</v>
      </c>
      <c r="C538" s="213" t="s">
        <v>170</v>
      </c>
      <c r="D538" s="213" t="s">
        <v>202</v>
      </c>
      <c r="E538" s="213" t="s">
        <v>178</v>
      </c>
      <c r="F538" s="213" t="s">
        <v>197</v>
      </c>
      <c r="G538" s="27">
        <f aca="true" t="shared" si="559" ref="G538:L538">G539</f>
        <v>76.5</v>
      </c>
      <c r="H538" s="27">
        <f t="shared" si="559"/>
        <v>43.2</v>
      </c>
      <c r="I538" s="27">
        <f t="shared" si="559"/>
        <v>76.5</v>
      </c>
      <c r="J538" s="27">
        <f t="shared" si="559"/>
        <v>76.5</v>
      </c>
      <c r="K538" s="27">
        <f t="shared" si="559"/>
        <v>76.5</v>
      </c>
      <c r="L538" s="27">
        <f t="shared" si="559"/>
        <v>76.5</v>
      </c>
      <c r="M538" s="27">
        <f aca="true" t="shared" si="560" ref="M538:N538">M539</f>
        <v>36.3</v>
      </c>
      <c r="N538" s="27">
        <f t="shared" si="560"/>
        <v>45.9</v>
      </c>
      <c r="O538" s="27">
        <f t="shared" si="544"/>
        <v>126.44628099173553</v>
      </c>
    </row>
    <row r="539" spans="1:15" ht="15.75">
      <c r="A539" s="26" t="s">
        <v>621</v>
      </c>
      <c r="B539" s="215">
        <v>905</v>
      </c>
      <c r="C539" s="213" t="s">
        <v>170</v>
      </c>
      <c r="D539" s="213" t="s">
        <v>202</v>
      </c>
      <c r="E539" s="213" t="s">
        <v>178</v>
      </c>
      <c r="F539" s="213" t="s">
        <v>190</v>
      </c>
      <c r="G539" s="27">
        <f>2.5+74</f>
        <v>76.5</v>
      </c>
      <c r="H539" s="27">
        <v>43.2</v>
      </c>
      <c r="I539" s="27">
        <f aca="true" t="shared" si="561" ref="I539:L539">2.5+74</f>
        <v>76.5</v>
      </c>
      <c r="J539" s="27">
        <f t="shared" si="561"/>
        <v>76.5</v>
      </c>
      <c r="K539" s="27">
        <f t="shared" si="561"/>
        <v>76.5</v>
      </c>
      <c r="L539" s="27">
        <f t="shared" si="561"/>
        <v>76.5</v>
      </c>
      <c r="M539" s="27">
        <f>8.8+7.5+20</f>
        <v>36.3</v>
      </c>
      <c r="N539" s="27">
        <v>45.9</v>
      </c>
      <c r="O539" s="27">
        <f t="shared" si="544"/>
        <v>126.44628099173553</v>
      </c>
    </row>
    <row r="540" spans="1:15" ht="15.75">
      <c r="A540" s="24" t="s">
        <v>191</v>
      </c>
      <c r="B540" s="212">
        <v>905</v>
      </c>
      <c r="C540" s="214" t="s">
        <v>170</v>
      </c>
      <c r="D540" s="214" t="s">
        <v>192</v>
      </c>
      <c r="E540" s="214"/>
      <c r="F540" s="214"/>
      <c r="G540" s="22">
        <f aca="true" t="shared" si="562" ref="G540:L540">G545</f>
        <v>3612.94</v>
      </c>
      <c r="H540" s="22">
        <f t="shared" si="562"/>
        <v>421.4</v>
      </c>
      <c r="I540" s="22">
        <f t="shared" si="562"/>
        <v>3612.94</v>
      </c>
      <c r="J540" s="22">
        <f t="shared" si="562"/>
        <v>3123.5</v>
      </c>
      <c r="K540" s="22">
        <f t="shared" si="562"/>
        <v>3304.4</v>
      </c>
      <c r="L540" s="22">
        <f t="shared" si="562"/>
        <v>3403.5</v>
      </c>
      <c r="M540" s="22">
        <f>M545+M541</f>
        <v>6287.9</v>
      </c>
      <c r="N540" s="22">
        <f aca="true" t="shared" si="563" ref="N540">N545+N541</f>
        <v>2014.2</v>
      </c>
      <c r="O540" s="22">
        <f t="shared" si="544"/>
        <v>32.032952177992655</v>
      </c>
    </row>
    <row r="541" spans="1:15" s="135" customFormat="1" ht="72.75" customHeight="1">
      <c r="A541" s="26" t="s">
        <v>951</v>
      </c>
      <c r="B541" s="215">
        <v>905</v>
      </c>
      <c r="C541" s="213" t="s">
        <v>170</v>
      </c>
      <c r="D541" s="213" t="s">
        <v>192</v>
      </c>
      <c r="E541" s="213" t="s">
        <v>956</v>
      </c>
      <c r="F541" s="213"/>
      <c r="G541" s="27"/>
      <c r="H541" s="27"/>
      <c r="I541" s="27"/>
      <c r="J541" s="27"/>
      <c r="K541" s="27"/>
      <c r="L541" s="27"/>
      <c r="M541" s="27">
        <f>M542</f>
        <v>67</v>
      </c>
      <c r="N541" s="27">
        <f aca="true" t="shared" si="564" ref="N541:N543">N542</f>
        <v>0</v>
      </c>
      <c r="O541" s="27">
        <f t="shared" si="544"/>
        <v>0</v>
      </c>
    </row>
    <row r="542" spans="1:15" s="135" customFormat="1" ht="31.5">
      <c r="A542" s="26" t="s">
        <v>808</v>
      </c>
      <c r="B542" s="215">
        <v>905</v>
      </c>
      <c r="C542" s="213" t="s">
        <v>170</v>
      </c>
      <c r="D542" s="213" t="s">
        <v>192</v>
      </c>
      <c r="E542" s="213" t="s">
        <v>952</v>
      </c>
      <c r="F542" s="213"/>
      <c r="G542" s="27"/>
      <c r="H542" s="27"/>
      <c r="I542" s="27"/>
      <c r="J542" s="27"/>
      <c r="K542" s="27"/>
      <c r="L542" s="27"/>
      <c r="M542" s="27">
        <f>M543</f>
        <v>67</v>
      </c>
      <c r="N542" s="27">
        <f t="shared" si="564"/>
        <v>0</v>
      </c>
      <c r="O542" s="27">
        <f t="shared" si="544"/>
        <v>0</v>
      </c>
    </row>
    <row r="543" spans="1:15" s="135" customFormat="1" ht="31.5">
      <c r="A543" s="26" t="s">
        <v>183</v>
      </c>
      <c r="B543" s="215">
        <v>905</v>
      </c>
      <c r="C543" s="213" t="s">
        <v>170</v>
      </c>
      <c r="D543" s="213" t="s">
        <v>192</v>
      </c>
      <c r="E543" s="213" t="s">
        <v>952</v>
      </c>
      <c r="F543" s="213" t="s">
        <v>184</v>
      </c>
      <c r="G543" s="27"/>
      <c r="H543" s="27"/>
      <c r="I543" s="27"/>
      <c r="J543" s="27"/>
      <c r="K543" s="27"/>
      <c r="L543" s="27"/>
      <c r="M543" s="27">
        <f>M544</f>
        <v>67</v>
      </c>
      <c r="N543" s="27">
        <f t="shared" si="564"/>
        <v>0</v>
      </c>
      <c r="O543" s="27">
        <f t="shared" si="544"/>
        <v>0</v>
      </c>
    </row>
    <row r="544" spans="1:15" s="135" customFormat="1" ht="47.25">
      <c r="A544" s="26" t="s">
        <v>185</v>
      </c>
      <c r="B544" s="215">
        <v>905</v>
      </c>
      <c r="C544" s="213" t="s">
        <v>170</v>
      </c>
      <c r="D544" s="213" t="s">
        <v>192</v>
      </c>
      <c r="E544" s="213" t="s">
        <v>952</v>
      </c>
      <c r="F544" s="213" t="s">
        <v>186</v>
      </c>
      <c r="G544" s="27"/>
      <c r="H544" s="27"/>
      <c r="I544" s="27"/>
      <c r="J544" s="27"/>
      <c r="K544" s="27"/>
      <c r="L544" s="27"/>
      <c r="M544" s="27">
        <f>200-133</f>
        <v>67</v>
      </c>
      <c r="N544" s="27">
        <v>0</v>
      </c>
      <c r="O544" s="27">
        <f t="shared" si="544"/>
        <v>0</v>
      </c>
    </row>
    <row r="545" spans="1:15" ht="15.75">
      <c r="A545" s="26" t="s">
        <v>173</v>
      </c>
      <c r="B545" s="215">
        <v>905</v>
      </c>
      <c r="C545" s="213" t="s">
        <v>170</v>
      </c>
      <c r="D545" s="213" t="s">
        <v>192</v>
      </c>
      <c r="E545" s="213" t="s">
        <v>174</v>
      </c>
      <c r="F545" s="213"/>
      <c r="G545" s="27">
        <f aca="true" t="shared" si="565" ref="G545:L545">G550</f>
        <v>3612.94</v>
      </c>
      <c r="H545" s="27">
        <f t="shared" si="565"/>
        <v>421.4</v>
      </c>
      <c r="I545" s="27">
        <f t="shared" si="565"/>
        <v>3612.94</v>
      </c>
      <c r="J545" s="27">
        <f t="shared" si="565"/>
        <v>3123.5</v>
      </c>
      <c r="K545" s="27">
        <f t="shared" si="565"/>
        <v>3304.4</v>
      </c>
      <c r="L545" s="27">
        <f t="shared" si="565"/>
        <v>3403.5</v>
      </c>
      <c r="M545" s="27">
        <f>M550+M546</f>
        <v>6220.9</v>
      </c>
      <c r="N545" s="27">
        <f aca="true" t="shared" si="566" ref="N545">N550+N546</f>
        <v>2014.2</v>
      </c>
      <c r="O545" s="27">
        <f t="shared" si="544"/>
        <v>32.377951743316885</v>
      </c>
    </row>
    <row r="546" spans="1:15" ht="31.5">
      <c r="A546" s="26" t="s">
        <v>237</v>
      </c>
      <c r="B546" s="215">
        <v>905</v>
      </c>
      <c r="C546" s="213" t="s">
        <v>170</v>
      </c>
      <c r="D546" s="213" t="s">
        <v>192</v>
      </c>
      <c r="E546" s="213" t="s">
        <v>238</v>
      </c>
      <c r="F546" s="213"/>
      <c r="G546" s="27"/>
      <c r="H546" s="27"/>
      <c r="I546" s="27"/>
      <c r="J546" s="27"/>
      <c r="K546" s="27"/>
      <c r="L546" s="27"/>
      <c r="M546" s="27">
        <f>M547</f>
        <v>670</v>
      </c>
      <c r="N546" s="27">
        <f aca="true" t="shared" si="567" ref="N546:N548">N547</f>
        <v>0</v>
      </c>
      <c r="O546" s="27">
        <f t="shared" si="544"/>
        <v>0</v>
      </c>
    </row>
    <row r="547" spans="1:15" ht="31.5">
      <c r="A547" s="26" t="s">
        <v>995</v>
      </c>
      <c r="B547" s="215">
        <v>905</v>
      </c>
      <c r="C547" s="213" t="s">
        <v>170</v>
      </c>
      <c r="D547" s="213" t="s">
        <v>192</v>
      </c>
      <c r="E547" s="213" t="s">
        <v>996</v>
      </c>
      <c r="F547" s="213"/>
      <c r="G547" s="27"/>
      <c r="H547" s="27"/>
      <c r="I547" s="27"/>
      <c r="J547" s="27"/>
      <c r="K547" s="27"/>
      <c r="L547" s="27"/>
      <c r="M547" s="27">
        <f>M548</f>
        <v>670</v>
      </c>
      <c r="N547" s="27">
        <f t="shared" si="567"/>
        <v>0</v>
      </c>
      <c r="O547" s="27">
        <f t="shared" si="544"/>
        <v>0</v>
      </c>
    </row>
    <row r="548" spans="1:15" ht="31.5">
      <c r="A548" s="26" t="s">
        <v>183</v>
      </c>
      <c r="B548" s="215">
        <v>905</v>
      </c>
      <c r="C548" s="213" t="s">
        <v>170</v>
      </c>
      <c r="D548" s="213" t="s">
        <v>192</v>
      </c>
      <c r="E548" s="213" t="s">
        <v>996</v>
      </c>
      <c r="F548" s="213" t="s">
        <v>184</v>
      </c>
      <c r="G548" s="27"/>
      <c r="H548" s="27"/>
      <c r="I548" s="27"/>
      <c r="J548" s="27"/>
      <c r="K548" s="27"/>
      <c r="L548" s="27"/>
      <c r="M548" s="27">
        <f>M549</f>
        <v>670</v>
      </c>
      <c r="N548" s="27">
        <f t="shared" si="567"/>
        <v>0</v>
      </c>
      <c r="O548" s="27">
        <f t="shared" si="544"/>
        <v>0</v>
      </c>
    </row>
    <row r="549" spans="1:15" ht="47.25">
      <c r="A549" s="26" t="s">
        <v>185</v>
      </c>
      <c r="B549" s="215">
        <v>905</v>
      </c>
      <c r="C549" s="213" t="s">
        <v>170</v>
      </c>
      <c r="D549" s="213" t="s">
        <v>192</v>
      </c>
      <c r="E549" s="213" t="s">
        <v>996</v>
      </c>
      <c r="F549" s="213" t="s">
        <v>186</v>
      </c>
      <c r="G549" s="27"/>
      <c r="H549" s="27"/>
      <c r="I549" s="27"/>
      <c r="J549" s="27"/>
      <c r="K549" s="27"/>
      <c r="L549" s="27"/>
      <c r="M549" s="27">
        <v>670</v>
      </c>
      <c r="N549" s="27">
        <v>0</v>
      </c>
      <c r="O549" s="27">
        <f t="shared" si="544"/>
        <v>0</v>
      </c>
    </row>
    <row r="550" spans="1:15" ht="15.75">
      <c r="A550" s="26" t="s">
        <v>193</v>
      </c>
      <c r="B550" s="215">
        <v>905</v>
      </c>
      <c r="C550" s="213" t="s">
        <v>170</v>
      </c>
      <c r="D550" s="213" t="s">
        <v>192</v>
      </c>
      <c r="E550" s="213" t="s">
        <v>194</v>
      </c>
      <c r="F550" s="213"/>
      <c r="G550" s="27">
        <f aca="true" t="shared" si="568" ref="G550:L552">G551</f>
        <v>3612.94</v>
      </c>
      <c r="H550" s="27">
        <f t="shared" si="568"/>
        <v>421.4</v>
      </c>
      <c r="I550" s="27">
        <f t="shared" si="568"/>
        <v>3612.94</v>
      </c>
      <c r="J550" s="27">
        <f t="shared" si="568"/>
        <v>3123.5</v>
      </c>
      <c r="K550" s="27">
        <f t="shared" si="568"/>
        <v>3304.4</v>
      </c>
      <c r="L550" s="27">
        <f t="shared" si="568"/>
        <v>3403.5</v>
      </c>
      <c r="M550" s="27">
        <f aca="true" t="shared" si="569" ref="M550:N552">M551</f>
        <v>5550.9</v>
      </c>
      <c r="N550" s="27">
        <f t="shared" si="569"/>
        <v>2014.2</v>
      </c>
      <c r="O550" s="27">
        <f t="shared" si="544"/>
        <v>36.286007674431175</v>
      </c>
    </row>
    <row r="551" spans="1:15" ht="47.25">
      <c r="A551" s="26" t="s">
        <v>441</v>
      </c>
      <c r="B551" s="215">
        <v>905</v>
      </c>
      <c r="C551" s="213" t="s">
        <v>170</v>
      </c>
      <c r="D551" s="213" t="s">
        <v>192</v>
      </c>
      <c r="E551" s="213" t="s">
        <v>442</v>
      </c>
      <c r="F551" s="213"/>
      <c r="G551" s="27">
        <f>G552</f>
        <v>3612.94</v>
      </c>
      <c r="H551" s="27">
        <f>H552</f>
        <v>421.4</v>
      </c>
      <c r="I551" s="27">
        <f t="shared" si="568"/>
        <v>3612.94</v>
      </c>
      <c r="J551" s="27">
        <f t="shared" si="568"/>
        <v>3123.5</v>
      </c>
      <c r="K551" s="27">
        <f t="shared" si="568"/>
        <v>3304.4</v>
      </c>
      <c r="L551" s="27">
        <f t="shared" si="568"/>
        <v>3403.5</v>
      </c>
      <c r="M551" s="27">
        <f t="shared" si="569"/>
        <v>5550.9</v>
      </c>
      <c r="N551" s="27">
        <f t="shared" si="569"/>
        <v>2014.2</v>
      </c>
      <c r="O551" s="27">
        <f t="shared" si="544"/>
        <v>36.286007674431175</v>
      </c>
    </row>
    <row r="552" spans="1:15" ht="31.5">
      <c r="A552" s="26" t="s">
        <v>183</v>
      </c>
      <c r="B552" s="215">
        <v>905</v>
      </c>
      <c r="C552" s="213" t="s">
        <v>170</v>
      </c>
      <c r="D552" s="213" t="s">
        <v>192</v>
      </c>
      <c r="E552" s="213" t="s">
        <v>442</v>
      </c>
      <c r="F552" s="213" t="s">
        <v>184</v>
      </c>
      <c r="G552" s="27">
        <f t="shared" si="568"/>
        <v>3612.94</v>
      </c>
      <c r="H552" s="27">
        <f t="shared" si="568"/>
        <v>421.4</v>
      </c>
      <c r="I552" s="27">
        <f t="shared" si="568"/>
        <v>3612.94</v>
      </c>
      <c r="J552" s="27">
        <f t="shared" si="568"/>
        <v>3123.5</v>
      </c>
      <c r="K552" s="27">
        <f t="shared" si="568"/>
        <v>3304.4</v>
      </c>
      <c r="L552" s="27">
        <f t="shared" si="568"/>
        <v>3403.5</v>
      </c>
      <c r="M552" s="27">
        <f t="shared" si="569"/>
        <v>5550.9</v>
      </c>
      <c r="N552" s="27">
        <f t="shared" si="569"/>
        <v>2014.2</v>
      </c>
      <c r="O552" s="27">
        <f t="shared" si="544"/>
        <v>36.286007674431175</v>
      </c>
    </row>
    <row r="553" spans="1:15" ht="47.25">
      <c r="A553" s="26" t="s">
        <v>185</v>
      </c>
      <c r="B553" s="215">
        <v>905</v>
      </c>
      <c r="C553" s="213" t="s">
        <v>170</v>
      </c>
      <c r="D553" s="213" t="s">
        <v>192</v>
      </c>
      <c r="E553" s="213" t="s">
        <v>442</v>
      </c>
      <c r="F553" s="213" t="s">
        <v>186</v>
      </c>
      <c r="G553" s="27">
        <f>1961.14+1251.8+400</f>
        <v>3612.94</v>
      </c>
      <c r="H553" s="27">
        <v>421.4</v>
      </c>
      <c r="I553" s="27">
        <f aca="true" t="shared" si="570" ref="I553">1961.14+1251.8+400</f>
        <v>3612.94</v>
      </c>
      <c r="J553" s="27">
        <v>3123.5</v>
      </c>
      <c r="K553" s="27">
        <v>3304.4</v>
      </c>
      <c r="L553" s="27">
        <v>3403.5</v>
      </c>
      <c r="M553" s="27">
        <f>3123.5+1000+1427.4</f>
        <v>5550.9</v>
      </c>
      <c r="N553" s="27">
        <v>2014.2</v>
      </c>
      <c r="O553" s="27">
        <f t="shared" si="544"/>
        <v>36.286007674431175</v>
      </c>
    </row>
    <row r="554" spans="1:15" ht="15.75">
      <c r="A554" s="43" t="s">
        <v>443</v>
      </c>
      <c r="B554" s="212">
        <v>905</v>
      </c>
      <c r="C554" s="214" t="s">
        <v>286</v>
      </c>
      <c r="D554" s="214"/>
      <c r="E554" s="214"/>
      <c r="F554" s="214"/>
      <c r="G554" s="22">
        <f aca="true" t="shared" si="571" ref="G554:L555">G555</f>
        <v>1099.8</v>
      </c>
      <c r="H554" s="22">
        <f t="shared" si="571"/>
        <v>86.5</v>
      </c>
      <c r="I554" s="22">
        <f t="shared" si="571"/>
        <v>992.2</v>
      </c>
      <c r="J554" s="22">
        <f t="shared" si="571"/>
        <v>263.2</v>
      </c>
      <c r="K554" s="22">
        <f t="shared" si="571"/>
        <v>263.2</v>
      </c>
      <c r="L554" s="22">
        <f t="shared" si="571"/>
        <v>263.2</v>
      </c>
      <c r="M554" s="22">
        <f aca="true" t="shared" si="572" ref="M554:N555">M555</f>
        <v>263.2</v>
      </c>
      <c r="N554" s="22">
        <f t="shared" si="572"/>
        <v>95.7</v>
      </c>
      <c r="O554" s="22">
        <f t="shared" si="544"/>
        <v>36.360182370820674</v>
      </c>
    </row>
    <row r="555" spans="1:15" ht="15.75">
      <c r="A555" s="43" t="s">
        <v>444</v>
      </c>
      <c r="B555" s="212">
        <v>905</v>
      </c>
      <c r="C555" s="214" t="s">
        <v>286</v>
      </c>
      <c r="D555" s="214" t="s">
        <v>170</v>
      </c>
      <c r="E555" s="214"/>
      <c r="F555" s="214"/>
      <c r="G555" s="22">
        <f>G556</f>
        <v>1099.8</v>
      </c>
      <c r="H555" s="22">
        <f t="shared" si="571"/>
        <v>86.5</v>
      </c>
      <c r="I555" s="22">
        <f t="shared" si="571"/>
        <v>992.2</v>
      </c>
      <c r="J555" s="22">
        <f t="shared" si="571"/>
        <v>263.2</v>
      </c>
      <c r="K555" s="22">
        <f t="shared" si="571"/>
        <v>263.2</v>
      </c>
      <c r="L555" s="22">
        <f t="shared" si="571"/>
        <v>263.2</v>
      </c>
      <c r="M555" s="22">
        <f t="shared" si="572"/>
        <v>263.2</v>
      </c>
      <c r="N555" s="22">
        <f t="shared" si="572"/>
        <v>95.7</v>
      </c>
      <c r="O555" s="22">
        <f t="shared" si="544"/>
        <v>36.360182370820674</v>
      </c>
    </row>
    <row r="556" spans="1:15" ht="15.75">
      <c r="A556" s="31" t="s">
        <v>173</v>
      </c>
      <c r="B556" s="215">
        <v>905</v>
      </c>
      <c r="C556" s="213" t="s">
        <v>286</v>
      </c>
      <c r="D556" s="213" t="s">
        <v>170</v>
      </c>
      <c r="E556" s="213" t="s">
        <v>174</v>
      </c>
      <c r="F556" s="213"/>
      <c r="G556" s="27">
        <f aca="true" t="shared" si="573" ref="G556:L556">G562+G557</f>
        <v>1099.8</v>
      </c>
      <c r="H556" s="27">
        <f t="shared" si="573"/>
        <v>86.5</v>
      </c>
      <c r="I556" s="27">
        <f t="shared" si="573"/>
        <v>992.2</v>
      </c>
      <c r="J556" s="27">
        <f t="shared" si="573"/>
        <v>263.2</v>
      </c>
      <c r="K556" s="27">
        <f t="shared" si="573"/>
        <v>263.2</v>
      </c>
      <c r="L556" s="27">
        <f t="shared" si="573"/>
        <v>263.2</v>
      </c>
      <c r="M556" s="27">
        <f aca="true" t="shared" si="574" ref="M556:N556">M562+M557</f>
        <v>263.2</v>
      </c>
      <c r="N556" s="27">
        <f t="shared" si="574"/>
        <v>95.7</v>
      </c>
      <c r="O556" s="27">
        <f t="shared" si="544"/>
        <v>36.360182370820674</v>
      </c>
    </row>
    <row r="557" spans="1:15" ht="31.5" customHeight="1" hidden="1">
      <c r="A557" s="26" t="s">
        <v>237</v>
      </c>
      <c r="B557" s="221">
        <v>905</v>
      </c>
      <c r="C557" s="213" t="s">
        <v>286</v>
      </c>
      <c r="D557" s="213" t="s">
        <v>170</v>
      </c>
      <c r="E557" s="213" t="s">
        <v>238</v>
      </c>
      <c r="F557" s="213"/>
      <c r="G557" s="27">
        <f aca="true" t="shared" si="575" ref="G557:L560">G558</f>
        <v>0</v>
      </c>
      <c r="H557" s="27">
        <f t="shared" si="575"/>
        <v>0</v>
      </c>
      <c r="I557" s="27">
        <f t="shared" si="575"/>
        <v>0</v>
      </c>
      <c r="J557" s="27">
        <f t="shared" si="575"/>
        <v>0</v>
      </c>
      <c r="K557" s="27">
        <f t="shared" si="575"/>
        <v>0</v>
      </c>
      <c r="L557" s="27">
        <f t="shared" si="575"/>
        <v>0</v>
      </c>
      <c r="M557" s="27">
        <f aca="true" t="shared" si="576" ref="M557:N560">M558</f>
        <v>0</v>
      </c>
      <c r="N557" s="27">
        <f t="shared" si="576"/>
        <v>0</v>
      </c>
      <c r="O557" s="27" t="e">
        <f t="shared" si="544"/>
        <v>#DIV/0!</v>
      </c>
    </row>
    <row r="558" spans="1:15" ht="47.25" customHeight="1" hidden="1">
      <c r="A558" s="38" t="s">
        <v>445</v>
      </c>
      <c r="B558" s="221">
        <v>905</v>
      </c>
      <c r="C558" s="213" t="s">
        <v>286</v>
      </c>
      <c r="D558" s="213" t="s">
        <v>170</v>
      </c>
      <c r="E558" s="213" t="s">
        <v>446</v>
      </c>
      <c r="F558" s="213"/>
      <c r="G558" s="27">
        <f t="shared" si="575"/>
        <v>0</v>
      </c>
      <c r="H558" s="27">
        <f t="shared" si="575"/>
        <v>0</v>
      </c>
      <c r="I558" s="27">
        <f t="shared" si="575"/>
        <v>0</v>
      </c>
      <c r="J558" s="27">
        <f t="shared" si="575"/>
        <v>0</v>
      </c>
      <c r="K558" s="27">
        <f t="shared" si="575"/>
        <v>0</v>
      </c>
      <c r="L558" s="27">
        <f t="shared" si="575"/>
        <v>0</v>
      </c>
      <c r="M558" s="27">
        <f t="shared" si="576"/>
        <v>0</v>
      </c>
      <c r="N558" s="27">
        <f t="shared" si="576"/>
        <v>0</v>
      </c>
      <c r="O558" s="27" t="e">
        <f t="shared" si="544"/>
        <v>#DIV/0!</v>
      </c>
    </row>
    <row r="559" spans="1:15" ht="31.5" customHeight="1" hidden="1">
      <c r="A559" s="44" t="s">
        <v>447</v>
      </c>
      <c r="B559" s="221">
        <v>905</v>
      </c>
      <c r="C559" s="213" t="s">
        <v>286</v>
      </c>
      <c r="D559" s="213" t="s">
        <v>170</v>
      </c>
      <c r="E559" s="213" t="s">
        <v>448</v>
      </c>
      <c r="F559" s="213"/>
      <c r="G559" s="27">
        <f t="shared" si="575"/>
        <v>0</v>
      </c>
      <c r="H559" s="27">
        <f t="shared" si="575"/>
        <v>0</v>
      </c>
      <c r="I559" s="27">
        <f t="shared" si="575"/>
        <v>0</v>
      </c>
      <c r="J559" s="27">
        <f t="shared" si="575"/>
        <v>0</v>
      </c>
      <c r="K559" s="27">
        <f t="shared" si="575"/>
        <v>0</v>
      </c>
      <c r="L559" s="27">
        <f t="shared" si="575"/>
        <v>0</v>
      </c>
      <c r="M559" s="27">
        <f t="shared" si="576"/>
        <v>0</v>
      </c>
      <c r="N559" s="27">
        <f t="shared" si="576"/>
        <v>0</v>
      </c>
      <c r="O559" s="27" t="e">
        <f t="shared" si="544"/>
        <v>#DIV/0!</v>
      </c>
    </row>
    <row r="560" spans="1:15" ht="31.5" customHeight="1" hidden="1">
      <c r="A560" s="26" t="s">
        <v>183</v>
      </c>
      <c r="B560" s="215">
        <v>905</v>
      </c>
      <c r="C560" s="213" t="s">
        <v>286</v>
      </c>
      <c r="D560" s="213" t="s">
        <v>170</v>
      </c>
      <c r="E560" s="213" t="s">
        <v>448</v>
      </c>
      <c r="F560" s="213" t="s">
        <v>184</v>
      </c>
      <c r="G560" s="27">
        <f t="shared" si="575"/>
        <v>0</v>
      </c>
      <c r="H560" s="27">
        <f t="shared" si="575"/>
        <v>0</v>
      </c>
      <c r="I560" s="27">
        <f t="shared" si="575"/>
        <v>0</v>
      </c>
      <c r="J560" s="27">
        <f t="shared" si="575"/>
        <v>0</v>
      </c>
      <c r="K560" s="27">
        <f t="shared" si="575"/>
        <v>0</v>
      </c>
      <c r="L560" s="27">
        <f t="shared" si="575"/>
        <v>0</v>
      </c>
      <c r="M560" s="27">
        <f t="shared" si="576"/>
        <v>0</v>
      </c>
      <c r="N560" s="27">
        <f t="shared" si="576"/>
        <v>0</v>
      </c>
      <c r="O560" s="27" t="e">
        <f t="shared" si="544"/>
        <v>#DIV/0!</v>
      </c>
    </row>
    <row r="561" spans="1:15" ht="47.25" customHeight="1" hidden="1">
      <c r="A561" s="26" t="s">
        <v>185</v>
      </c>
      <c r="B561" s="215">
        <v>905</v>
      </c>
      <c r="C561" s="213" t="s">
        <v>286</v>
      </c>
      <c r="D561" s="213" t="s">
        <v>170</v>
      </c>
      <c r="E561" s="213" t="s">
        <v>448</v>
      </c>
      <c r="F561" s="213" t="s">
        <v>186</v>
      </c>
      <c r="G561" s="27"/>
      <c r="H561" s="27"/>
      <c r="I561" s="27"/>
      <c r="J561" s="27"/>
      <c r="K561" s="27"/>
      <c r="L561" s="27"/>
      <c r="M561" s="27"/>
      <c r="N561" s="27"/>
      <c r="O561" s="27" t="e">
        <f t="shared" si="544"/>
        <v>#DIV/0!</v>
      </c>
    </row>
    <row r="562" spans="1:15" ht="15.75">
      <c r="A562" s="31" t="s">
        <v>193</v>
      </c>
      <c r="B562" s="215">
        <v>905</v>
      </c>
      <c r="C562" s="213" t="s">
        <v>286</v>
      </c>
      <c r="D562" s="213" t="s">
        <v>170</v>
      </c>
      <c r="E562" s="213" t="s">
        <v>194</v>
      </c>
      <c r="F562" s="213"/>
      <c r="G562" s="27">
        <f>G563+G566</f>
        <v>1099.8</v>
      </c>
      <c r="H562" s="27">
        <f>H563+H566</f>
        <v>86.5</v>
      </c>
      <c r="I562" s="27">
        <f aca="true" t="shared" si="577" ref="I562:L562">I563+I566</f>
        <v>992.2</v>
      </c>
      <c r="J562" s="27">
        <f t="shared" si="577"/>
        <v>263.2</v>
      </c>
      <c r="K562" s="27">
        <f t="shared" si="577"/>
        <v>263.2</v>
      </c>
      <c r="L562" s="27">
        <f t="shared" si="577"/>
        <v>263.2</v>
      </c>
      <c r="M562" s="27">
        <f aca="true" t="shared" si="578" ref="M562:N562">M563+M566</f>
        <v>263.2</v>
      </c>
      <c r="N562" s="27">
        <f t="shared" si="578"/>
        <v>95.7</v>
      </c>
      <c r="O562" s="27">
        <f t="shared" si="544"/>
        <v>36.360182370820674</v>
      </c>
    </row>
    <row r="563" spans="1:15" ht="31.5">
      <c r="A563" s="31" t="s">
        <v>451</v>
      </c>
      <c r="B563" s="215">
        <v>905</v>
      </c>
      <c r="C563" s="213" t="s">
        <v>286</v>
      </c>
      <c r="D563" s="213" t="s">
        <v>170</v>
      </c>
      <c r="E563" s="213" t="s">
        <v>452</v>
      </c>
      <c r="F563" s="213"/>
      <c r="G563" s="27">
        <f>G564</f>
        <v>260.8</v>
      </c>
      <c r="H563" s="27">
        <f>H564</f>
        <v>86.5</v>
      </c>
      <c r="I563" s="27">
        <f aca="true" t="shared" si="579" ref="I563:L563">I564</f>
        <v>260.8</v>
      </c>
      <c r="J563" s="27">
        <f t="shared" si="579"/>
        <v>263.2</v>
      </c>
      <c r="K563" s="27">
        <f t="shared" si="579"/>
        <v>263.2</v>
      </c>
      <c r="L563" s="27">
        <f t="shared" si="579"/>
        <v>263.2</v>
      </c>
      <c r="M563" s="27">
        <f aca="true" t="shared" si="580" ref="M563:N564">M564</f>
        <v>263.2</v>
      </c>
      <c r="N563" s="27">
        <f t="shared" si="580"/>
        <v>95.7</v>
      </c>
      <c r="O563" s="27">
        <f t="shared" si="544"/>
        <v>36.360182370820674</v>
      </c>
    </row>
    <row r="564" spans="1:15" ht="31.5">
      <c r="A564" s="26" t="s">
        <v>183</v>
      </c>
      <c r="B564" s="215">
        <v>905</v>
      </c>
      <c r="C564" s="213" t="s">
        <v>286</v>
      </c>
      <c r="D564" s="213" t="s">
        <v>170</v>
      </c>
      <c r="E564" s="213" t="s">
        <v>452</v>
      </c>
      <c r="F564" s="213" t="s">
        <v>184</v>
      </c>
      <c r="G564" s="27">
        <f aca="true" t="shared" si="581" ref="G564:L564">G565</f>
        <v>260.8</v>
      </c>
      <c r="H564" s="27">
        <f t="shared" si="581"/>
        <v>86.5</v>
      </c>
      <c r="I564" s="27">
        <f t="shared" si="581"/>
        <v>260.8</v>
      </c>
      <c r="J564" s="27">
        <f t="shared" si="581"/>
        <v>263.2</v>
      </c>
      <c r="K564" s="27">
        <f t="shared" si="581"/>
        <v>263.2</v>
      </c>
      <c r="L564" s="27">
        <f t="shared" si="581"/>
        <v>263.2</v>
      </c>
      <c r="M564" s="27">
        <f t="shared" si="580"/>
        <v>263.2</v>
      </c>
      <c r="N564" s="27">
        <f t="shared" si="580"/>
        <v>95.7</v>
      </c>
      <c r="O564" s="27">
        <f t="shared" si="544"/>
        <v>36.360182370820674</v>
      </c>
    </row>
    <row r="565" spans="1:15" ht="47.25">
      <c r="A565" s="26" t="s">
        <v>185</v>
      </c>
      <c r="B565" s="215">
        <v>905</v>
      </c>
      <c r="C565" s="213" t="s">
        <v>286</v>
      </c>
      <c r="D565" s="213" t="s">
        <v>170</v>
      </c>
      <c r="E565" s="213" t="s">
        <v>452</v>
      </c>
      <c r="F565" s="213" t="s">
        <v>186</v>
      </c>
      <c r="G565" s="27">
        <v>260.8</v>
      </c>
      <c r="H565" s="27">
        <v>86.5</v>
      </c>
      <c r="I565" s="27">
        <v>260.8</v>
      </c>
      <c r="J565" s="27">
        <v>263.2</v>
      </c>
      <c r="K565" s="27">
        <v>263.2</v>
      </c>
      <c r="L565" s="27">
        <v>263.2</v>
      </c>
      <c r="M565" s="27">
        <v>263.2</v>
      </c>
      <c r="N565" s="27">
        <v>95.7</v>
      </c>
      <c r="O565" s="27">
        <f t="shared" si="544"/>
        <v>36.360182370820674</v>
      </c>
    </row>
    <row r="566" spans="1:15" ht="15.75" hidden="1">
      <c r="A566" s="31" t="s">
        <v>449</v>
      </c>
      <c r="B566" s="215">
        <v>905</v>
      </c>
      <c r="C566" s="213" t="s">
        <v>286</v>
      </c>
      <c r="D566" s="213" t="s">
        <v>170</v>
      </c>
      <c r="E566" s="213" t="s">
        <v>450</v>
      </c>
      <c r="F566" s="213"/>
      <c r="G566" s="27">
        <f>G567</f>
        <v>839</v>
      </c>
      <c r="H566" s="27">
        <f>H567</f>
        <v>0</v>
      </c>
      <c r="I566" s="27">
        <f aca="true" t="shared" si="582" ref="I566:L567">I567</f>
        <v>731.4</v>
      </c>
      <c r="J566" s="27">
        <f t="shared" si="582"/>
        <v>0</v>
      </c>
      <c r="K566" s="27">
        <f t="shared" si="582"/>
        <v>0</v>
      </c>
      <c r="L566" s="27">
        <f t="shared" si="582"/>
        <v>0</v>
      </c>
      <c r="M566" s="27">
        <f aca="true" t="shared" si="583" ref="M566:N567">M567</f>
        <v>0</v>
      </c>
      <c r="N566" s="27">
        <f t="shared" si="583"/>
        <v>0</v>
      </c>
      <c r="O566" s="22" t="e">
        <f t="shared" si="544"/>
        <v>#DIV/0!</v>
      </c>
    </row>
    <row r="567" spans="1:15" ht="31.5" hidden="1">
      <c r="A567" s="26" t="s">
        <v>183</v>
      </c>
      <c r="B567" s="215">
        <v>905</v>
      </c>
      <c r="C567" s="213" t="s">
        <v>286</v>
      </c>
      <c r="D567" s="213" t="s">
        <v>170</v>
      </c>
      <c r="E567" s="213" t="s">
        <v>450</v>
      </c>
      <c r="F567" s="213" t="s">
        <v>184</v>
      </c>
      <c r="G567" s="27">
        <f>G568</f>
        <v>839</v>
      </c>
      <c r="H567" s="27">
        <f>H568</f>
        <v>0</v>
      </c>
      <c r="I567" s="27">
        <f t="shared" si="582"/>
        <v>731.4</v>
      </c>
      <c r="J567" s="27">
        <f t="shared" si="582"/>
        <v>0</v>
      </c>
      <c r="K567" s="27">
        <f t="shared" si="582"/>
        <v>0</v>
      </c>
      <c r="L567" s="27">
        <f t="shared" si="582"/>
        <v>0</v>
      </c>
      <c r="M567" s="27">
        <f t="shared" si="583"/>
        <v>0</v>
      </c>
      <c r="N567" s="27">
        <f t="shared" si="583"/>
        <v>0</v>
      </c>
      <c r="O567" s="22" t="e">
        <f t="shared" si="544"/>
        <v>#DIV/0!</v>
      </c>
    </row>
    <row r="568" spans="1:15" ht="47.25" hidden="1">
      <c r="A568" s="26" t="s">
        <v>185</v>
      </c>
      <c r="B568" s="215">
        <v>905</v>
      </c>
      <c r="C568" s="213" t="s">
        <v>286</v>
      </c>
      <c r="D568" s="213" t="s">
        <v>170</v>
      </c>
      <c r="E568" s="213" t="s">
        <v>450</v>
      </c>
      <c r="F568" s="213" t="s">
        <v>186</v>
      </c>
      <c r="G568" s="27">
        <v>839</v>
      </c>
      <c r="H568" s="27">
        <v>0</v>
      </c>
      <c r="I568" s="27">
        <v>731.4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2" t="e">
        <f t="shared" si="544"/>
        <v>#DIV/0!</v>
      </c>
    </row>
    <row r="569" spans="1:15" ht="15.75" customHeight="1">
      <c r="A569" s="45" t="s">
        <v>295</v>
      </c>
      <c r="B569" s="212">
        <v>905</v>
      </c>
      <c r="C569" s="214" t="s">
        <v>296</v>
      </c>
      <c r="D569" s="214"/>
      <c r="E569" s="214"/>
      <c r="F569" s="214"/>
      <c r="G569" s="22">
        <f aca="true" t="shared" si="584" ref="G569:L573">G570</f>
        <v>0</v>
      </c>
      <c r="H569" s="22"/>
      <c r="I569" s="22">
        <f t="shared" si="584"/>
        <v>0</v>
      </c>
      <c r="J569" s="22">
        <f t="shared" si="584"/>
        <v>0</v>
      </c>
      <c r="K569" s="22">
        <f t="shared" si="584"/>
        <v>0</v>
      </c>
      <c r="L569" s="22">
        <f t="shared" si="584"/>
        <v>0</v>
      </c>
      <c r="M569" s="22">
        <f aca="true" t="shared" si="585" ref="M569:N573">M570</f>
        <v>378.5</v>
      </c>
      <c r="N569" s="22">
        <f t="shared" si="585"/>
        <v>0</v>
      </c>
      <c r="O569" s="22">
        <f t="shared" si="544"/>
        <v>0</v>
      </c>
    </row>
    <row r="570" spans="1:15" ht="15.75" customHeight="1">
      <c r="A570" s="24" t="s">
        <v>453</v>
      </c>
      <c r="B570" s="212">
        <v>905</v>
      </c>
      <c r="C570" s="214" t="s">
        <v>296</v>
      </c>
      <c r="D570" s="214" t="s">
        <v>202</v>
      </c>
      <c r="E570" s="214"/>
      <c r="F570" s="214"/>
      <c r="G570" s="22">
        <f t="shared" si="584"/>
        <v>0</v>
      </c>
      <c r="H570" s="22"/>
      <c r="I570" s="22">
        <f t="shared" si="584"/>
        <v>0</v>
      </c>
      <c r="J570" s="22">
        <f t="shared" si="584"/>
        <v>0</v>
      </c>
      <c r="K570" s="22">
        <f t="shared" si="584"/>
        <v>0</v>
      </c>
      <c r="L570" s="22">
        <f t="shared" si="584"/>
        <v>0</v>
      </c>
      <c r="M570" s="22">
        <f t="shared" si="585"/>
        <v>378.5</v>
      </c>
      <c r="N570" s="22">
        <f t="shared" si="585"/>
        <v>0</v>
      </c>
      <c r="O570" s="22">
        <f t="shared" si="544"/>
        <v>0</v>
      </c>
    </row>
    <row r="571" spans="1:15" ht="31.5" customHeight="1">
      <c r="A571" s="26" t="s">
        <v>237</v>
      </c>
      <c r="B571" s="215">
        <v>905</v>
      </c>
      <c r="C571" s="213" t="s">
        <v>296</v>
      </c>
      <c r="D571" s="213" t="s">
        <v>202</v>
      </c>
      <c r="E571" s="213" t="s">
        <v>238</v>
      </c>
      <c r="F571" s="213"/>
      <c r="G571" s="27">
        <f t="shared" si="584"/>
        <v>0</v>
      </c>
      <c r="H571" s="27"/>
      <c r="I571" s="27">
        <f t="shared" si="584"/>
        <v>0</v>
      </c>
      <c r="J571" s="27">
        <f t="shared" si="584"/>
        <v>0</v>
      </c>
      <c r="K571" s="27">
        <f t="shared" si="584"/>
        <v>0</v>
      </c>
      <c r="L571" s="27">
        <f t="shared" si="584"/>
        <v>0</v>
      </c>
      <c r="M571" s="27">
        <f t="shared" si="585"/>
        <v>378.5</v>
      </c>
      <c r="N571" s="27">
        <f t="shared" si="585"/>
        <v>0</v>
      </c>
      <c r="O571" s="27">
        <f t="shared" si="544"/>
        <v>0</v>
      </c>
    </row>
    <row r="572" spans="1:15" ht="64.5" customHeight="1">
      <c r="A572" s="33" t="s">
        <v>953</v>
      </c>
      <c r="B572" s="215">
        <v>905</v>
      </c>
      <c r="C572" s="213" t="s">
        <v>296</v>
      </c>
      <c r="D572" s="213" t="s">
        <v>202</v>
      </c>
      <c r="E572" s="213" t="s">
        <v>954</v>
      </c>
      <c r="F572" s="213"/>
      <c r="G572" s="27">
        <f t="shared" si="584"/>
        <v>0</v>
      </c>
      <c r="H572" s="27"/>
      <c r="I572" s="27">
        <f t="shared" si="584"/>
        <v>0</v>
      </c>
      <c r="J572" s="27">
        <f t="shared" si="584"/>
        <v>0</v>
      </c>
      <c r="K572" s="27">
        <f t="shared" si="584"/>
        <v>0</v>
      </c>
      <c r="L572" s="27">
        <f t="shared" si="584"/>
        <v>0</v>
      </c>
      <c r="M572" s="27">
        <f t="shared" si="585"/>
        <v>378.5</v>
      </c>
      <c r="N572" s="27">
        <f t="shared" si="585"/>
        <v>0</v>
      </c>
      <c r="O572" s="27">
        <f t="shared" si="544"/>
        <v>0</v>
      </c>
    </row>
    <row r="573" spans="1:15" ht="31.5" customHeight="1">
      <c r="A573" s="26" t="s">
        <v>183</v>
      </c>
      <c r="B573" s="215">
        <v>905</v>
      </c>
      <c r="C573" s="213" t="s">
        <v>296</v>
      </c>
      <c r="D573" s="213" t="s">
        <v>202</v>
      </c>
      <c r="E573" s="213" t="s">
        <v>954</v>
      </c>
      <c r="F573" s="213" t="s">
        <v>184</v>
      </c>
      <c r="G573" s="27">
        <f t="shared" si="584"/>
        <v>0</v>
      </c>
      <c r="H573" s="27"/>
      <c r="I573" s="27">
        <f t="shared" si="584"/>
        <v>0</v>
      </c>
      <c r="J573" s="27">
        <f t="shared" si="584"/>
        <v>0</v>
      </c>
      <c r="K573" s="27">
        <f t="shared" si="584"/>
        <v>0</v>
      </c>
      <c r="L573" s="27">
        <f t="shared" si="584"/>
        <v>0</v>
      </c>
      <c r="M573" s="27">
        <f t="shared" si="585"/>
        <v>378.5</v>
      </c>
      <c r="N573" s="27">
        <f t="shared" si="585"/>
        <v>0</v>
      </c>
      <c r="O573" s="27">
        <f t="shared" si="544"/>
        <v>0</v>
      </c>
    </row>
    <row r="574" spans="1:15" ht="47.25" customHeight="1">
      <c r="A574" s="26" t="s">
        <v>185</v>
      </c>
      <c r="B574" s="215">
        <v>905</v>
      </c>
      <c r="C574" s="213" t="s">
        <v>296</v>
      </c>
      <c r="D574" s="213" t="s">
        <v>202</v>
      </c>
      <c r="E574" s="213" t="s">
        <v>954</v>
      </c>
      <c r="F574" s="213" t="s">
        <v>186</v>
      </c>
      <c r="G574" s="27">
        <f>1330-1330</f>
        <v>0</v>
      </c>
      <c r="H574" s="27"/>
      <c r="I574" s="27">
        <f aca="true" t="shared" si="586" ref="I574:L574">1330-1330</f>
        <v>0</v>
      </c>
      <c r="J574" s="27">
        <f t="shared" si="586"/>
        <v>0</v>
      </c>
      <c r="K574" s="27">
        <f t="shared" si="586"/>
        <v>0</v>
      </c>
      <c r="L574" s="27">
        <f t="shared" si="586"/>
        <v>0</v>
      </c>
      <c r="M574" s="27">
        <f>378.5</f>
        <v>378.5</v>
      </c>
      <c r="N574" s="27">
        <v>0</v>
      </c>
      <c r="O574" s="27">
        <f t="shared" si="544"/>
        <v>0</v>
      </c>
    </row>
    <row r="575" spans="1:15" ht="31.5">
      <c r="A575" s="20" t="s">
        <v>456</v>
      </c>
      <c r="B575" s="212">
        <v>906</v>
      </c>
      <c r="C575" s="214"/>
      <c r="D575" s="214"/>
      <c r="E575" s="214"/>
      <c r="F575" s="214"/>
      <c r="G575" s="22">
        <f aca="true" t="shared" si="587" ref="G575:M575">G594+G576</f>
        <v>261521.80000000002</v>
      </c>
      <c r="H575" s="22">
        <f t="shared" si="587"/>
        <v>209815.18000000002</v>
      </c>
      <c r="I575" s="22">
        <f t="shared" si="587"/>
        <v>262473.3666666667</v>
      </c>
      <c r="J575" s="22">
        <f t="shared" si="587"/>
        <v>311297.3</v>
      </c>
      <c r="K575" s="22">
        <f t="shared" si="587"/>
        <v>303897.8</v>
      </c>
      <c r="L575" s="22">
        <f t="shared" si="587"/>
        <v>297349</v>
      </c>
      <c r="M575" s="22">
        <f t="shared" si="587"/>
        <v>267919.3</v>
      </c>
      <c r="N575" s="22">
        <f aca="true" t="shared" si="588" ref="N575">N594+N576</f>
        <v>175150.59999999998</v>
      </c>
      <c r="O575" s="22">
        <f t="shared" si="544"/>
        <v>65.37438698891792</v>
      </c>
    </row>
    <row r="576" spans="1:15" ht="15.75">
      <c r="A576" s="24" t="s">
        <v>169</v>
      </c>
      <c r="B576" s="212">
        <v>906</v>
      </c>
      <c r="C576" s="214" t="s">
        <v>170</v>
      </c>
      <c r="D576" s="214"/>
      <c r="E576" s="214"/>
      <c r="F576" s="214"/>
      <c r="G576" s="22">
        <f>G577</f>
        <v>5</v>
      </c>
      <c r="H576" s="22">
        <f aca="true" t="shared" si="589" ref="H576:L576">H577</f>
        <v>0</v>
      </c>
      <c r="I576" s="22">
        <f t="shared" si="589"/>
        <v>0</v>
      </c>
      <c r="J576" s="22">
        <f t="shared" si="589"/>
        <v>60</v>
      </c>
      <c r="K576" s="22">
        <f t="shared" si="589"/>
        <v>60</v>
      </c>
      <c r="L576" s="22">
        <f t="shared" si="589"/>
        <v>60</v>
      </c>
      <c r="M576" s="22">
        <f aca="true" t="shared" si="590" ref="M576:N588">M577</f>
        <v>1698.3</v>
      </c>
      <c r="N576" s="22">
        <f t="shared" si="590"/>
        <v>1169</v>
      </c>
      <c r="O576" s="22">
        <f t="shared" si="544"/>
        <v>68.83353942177472</v>
      </c>
    </row>
    <row r="577" spans="1:15" ht="15.75">
      <c r="A577" s="36" t="s">
        <v>191</v>
      </c>
      <c r="B577" s="212">
        <v>906</v>
      </c>
      <c r="C577" s="214" t="s">
        <v>170</v>
      </c>
      <c r="D577" s="214" t="s">
        <v>192</v>
      </c>
      <c r="E577" s="214"/>
      <c r="F577" s="214"/>
      <c r="G577" s="22">
        <f>G585+G578</f>
        <v>5</v>
      </c>
      <c r="H577" s="22">
        <f aca="true" t="shared" si="591" ref="H577:L577">H585+H578</f>
        <v>0</v>
      </c>
      <c r="I577" s="22">
        <f t="shared" si="591"/>
        <v>0</v>
      </c>
      <c r="J577" s="22">
        <f t="shared" si="591"/>
        <v>60</v>
      </c>
      <c r="K577" s="22">
        <f t="shared" si="591"/>
        <v>60</v>
      </c>
      <c r="L577" s="22">
        <f t="shared" si="591"/>
        <v>60</v>
      </c>
      <c r="M577" s="22">
        <f>M585+M578+M590</f>
        <v>1698.3</v>
      </c>
      <c r="N577" s="22">
        <f aca="true" t="shared" si="592" ref="N577">N585+N578+N590</f>
        <v>1169</v>
      </c>
      <c r="O577" s="22">
        <f t="shared" si="544"/>
        <v>68.83353942177472</v>
      </c>
    </row>
    <row r="578" spans="1:15" ht="47.25">
      <c r="A578" s="26" t="s">
        <v>386</v>
      </c>
      <c r="B578" s="215">
        <v>906</v>
      </c>
      <c r="C578" s="213" t="s">
        <v>170</v>
      </c>
      <c r="D578" s="213" t="s">
        <v>192</v>
      </c>
      <c r="E578" s="213" t="s">
        <v>387</v>
      </c>
      <c r="F578" s="213"/>
      <c r="G578" s="27">
        <f>G579+G582</f>
        <v>0</v>
      </c>
      <c r="H578" s="27">
        <f aca="true" t="shared" si="593" ref="H578:M578">H579+H582</f>
        <v>0</v>
      </c>
      <c r="I578" s="27">
        <f t="shared" si="593"/>
        <v>0</v>
      </c>
      <c r="J578" s="27">
        <f t="shared" si="593"/>
        <v>60</v>
      </c>
      <c r="K578" s="27">
        <f t="shared" si="593"/>
        <v>60</v>
      </c>
      <c r="L578" s="27">
        <f t="shared" si="593"/>
        <v>60</v>
      </c>
      <c r="M578" s="27">
        <f t="shared" si="593"/>
        <v>60</v>
      </c>
      <c r="N578" s="27">
        <f aca="true" t="shared" si="594" ref="N578">N579+N582</f>
        <v>0</v>
      </c>
      <c r="O578" s="27">
        <f t="shared" si="544"/>
        <v>0</v>
      </c>
    </row>
    <row r="579" spans="1:15" ht="47.25">
      <c r="A579" s="120" t="s">
        <v>922</v>
      </c>
      <c r="B579" s="215">
        <v>906</v>
      </c>
      <c r="C579" s="213" t="s">
        <v>170</v>
      </c>
      <c r="D579" s="213" t="s">
        <v>192</v>
      </c>
      <c r="E579" s="213" t="s">
        <v>389</v>
      </c>
      <c r="F579" s="213"/>
      <c r="G579" s="27">
        <f>G580</f>
        <v>0</v>
      </c>
      <c r="H579" s="27">
        <f aca="true" t="shared" si="595" ref="H579:H580">H580</f>
        <v>0</v>
      </c>
      <c r="I579" s="27">
        <f aca="true" t="shared" si="596" ref="I579:I580">I580</f>
        <v>0</v>
      </c>
      <c r="J579" s="27">
        <f aca="true" t="shared" si="597" ref="J579:J580">J580</f>
        <v>50</v>
      </c>
      <c r="K579" s="27">
        <f aca="true" t="shared" si="598" ref="K579:K580">K580</f>
        <v>50</v>
      </c>
      <c r="L579" s="27">
        <f aca="true" t="shared" si="599" ref="L579:L580">L580</f>
        <v>50</v>
      </c>
      <c r="M579" s="27">
        <f aca="true" t="shared" si="600" ref="M579:N580">M580</f>
        <v>50</v>
      </c>
      <c r="N579" s="27">
        <f t="shared" si="600"/>
        <v>0</v>
      </c>
      <c r="O579" s="27">
        <f t="shared" si="544"/>
        <v>0</v>
      </c>
    </row>
    <row r="580" spans="1:15" ht="31.5">
      <c r="A580" s="26" t="s">
        <v>183</v>
      </c>
      <c r="B580" s="215">
        <v>906</v>
      </c>
      <c r="C580" s="213" t="s">
        <v>170</v>
      </c>
      <c r="D580" s="213" t="s">
        <v>192</v>
      </c>
      <c r="E580" s="213" t="s">
        <v>389</v>
      </c>
      <c r="F580" s="213" t="s">
        <v>184</v>
      </c>
      <c r="G580" s="27">
        <f>G581</f>
        <v>0</v>
      </c>
      <c r="H580" s="27">
        <f t="shared" si="595"/>
        <v>0</v>
      </c>
      <c r="I580" s="27">
        <f t="shared" si="596"/>
        <v>0</v>
      </c>
      <c r="J580" s="27">
        <f t="shared" si="597"/>
        <v>50</v>
      </c>
      <c r="K580" s="27">
        <f t="shared" si="598"/>
        <v>50</v>
      </c>
      <c r="L580" s="27">
        <f t="shared" si="599"/>
        <v>50</v>
      </c>
      <c r="M580" s="27">
        <f t="shared" si="600"/>
        <v>50</v>
      </c>
      <c r="N580" s="27">
        <f t="shared" si="600"/>
        <v>0</v>
      </c>
      <c r="O580" s="27">
        <f t="shared" si="544"/>
        <v>0</v>
      </c>
    </row>
    <row r="581" spans="1:15" ht="47.25">
      <c r="A581" s="26" t="s">
        <v>185</v>
      </c>
      <c r="B581" s="215">
        <v>906</v>
      </c>
      <c r="C581" s="213" t="s">
        <v>170</v>
      </c>
      <c r="D581" s="213" t="s">
        <v>192</v>
      </c>
      <c r="E581" s="213" t="s">
        <v>389</v>
      </c>
      <c r="F581" s="213" t="s">
        <v>186</v>
      </c>
      <c r="G581" s="27">
        <v>0</v>
      </c>
      <c r="H581" s="27">
        <v>0</v>
      </c>
      <c r="I581" s="27">
        <v>0</v>
      </c>
      <c r="J581" s="27">
        <v>50</v>
      </c>
      <c r="K581" s="27">
        <v>50</v>
      </c>
      <c r="L581" s="27">
        <v>50</v>
      </c>
      <c r="M581" s="27">
        <v>50</v>
      </c>
      <c r="N581" s="27">
        <v>0</v>
      </c>
      <c r="O581" s="27">
        <f t="shared" si="544"/>
        <v>0</v>
      </c>
    </row>
    <row r="582" spans="1:15" ht="31.5">
      <c r="A582" s="33" t="s">
        <v>927</v>
      </c>
      <c r="B582" s="215">
        <v>906</v>
      </c>
      <c r="C582" s="213" t="s">
        <v>170</v>
      </c>
      <c r="D582" s="213" t="s">
        <v>192</v>
      </c>
      <c r="E582" s="213" t="s">
        <v>926</v>
      </c>
      <c r="F582" s="213"/>
      <c r="G582" s="27">
        <f>G583</f>
        <v>0</v>
      </c>
      <c r="H582" s="27">
        <f>H583</f>
        <v>0</v>
      </c>
      <c r="I582" s="27">
        <f aca="true" t="shared" si="601" ref="I582:N583">I583</f>
        <v>0</v>
      </c>
      <c r="J582" s="27">
        <f t="shared" si="601"/>
        <v>10</v>
      </c>
      <c r="K582" s="27">
        <f t="shared" si="601"/>
        <v>10</v>
      </c>
      <c r="L582" s="27">
        <f t="shared" si="601"/>
        <v>10</v>
      </c>
      <c r="M582" s="27">
        <f t="shared" si="601"/>
        <v>10</v>
      </c>
      <c r="N582" s="27">
        <f t="shared" si="601"/>
        <v>0</v>
      </c>
      <c r="O582" s="27">
        <f t="shared" si="544"/>
        <v>0</v>
      </c>
    </row>
    <row r="583" spans="1:15" ht="31.5">
      <c r="A583" s="26" t="s">
        <v>183</v>
      </c>
      <c r="B583" s="215">
        <v>906</v>
      </c>
      <c r="C583" s="213" t="s">
        <v>170</v>
      </c>
      <c r="D583" s="213" t="s">
        <v>192</v>
      </c>
      <c r="E583" s="213" t="s">
        <v>926</v>
      </c>
      <c r="F583" s="213" t="s">
        <v>184</v>
      </c>
      <c r="G583" s="27">
        <f>G584</f>
        <v>0</v>
      </c>
      <c r="H583" s="27">
        <f>H584</f>
        <v>0</v>
      </c>
      <c r="I583" s="27">
        <f t="shared" si="601"/>
        <v>0</v>
      </c>
      <c r="J583" s="27">
        <f t="shared" si="601"/>
        <v>10</v>
      </c>
      <c r="K583" s="27">
        <f t="shared" si="601"/>
        <v>10</v>
      </c>
      <c r="L583" s="27">
        <f t="shared" si="601"/>
        <v>10</v>
      </c>
      <c r="M583" s="27">
        <f t="shared" si="601"/>
        <v>10</v>
      </c>
      <c r="N583" s="27">
        <f t="shared" si="601"/>
        <v>0</v>
      </c>
      <c r="O583" s="27">
        <f t="shared" si="544"/>
        <v>0</v>
      </c>
    </row>
    <row r="584" spans="1:15" ht="47.25">
      <c r="A584" s="26" t="s">
        <v>185</v>
      </c>
      <c r="B584" s="215">
        <v>906</v>
      </c>
      <c r="C584" s="213" t="s">
        <v>170</v>
      </c>
      <c r="D584" s="213" t="s">
        <v>192</v>
      </c>
      <c r="E584" s="213" t="s">
        <v>926</v>
      </c>
      <c r="F584" s="213" t="s">
        <v>186</v>
      </c>
      <c r="G584" s="27">
        <v>0</v>
      </c>
      <c r="H584" s="27">
        <v>0</v>
      </c>
      <c r="I584" s="27">
        <v>0</v>
      </c>
      <c r="J584" s="27">
        <v>10</v>
      </c>
      <c r="K584" s="27">
        <v>10</v>
      </c>
      <c r="L584" s="27">
        <v>10</v>
      </c>
      <c r="M584" s="27">
        <v>10</v>
      </c>
      <c r="N584" s="27">
        <v>0</v>
      </c>
      <c r="O584" s="27">
        <f t="shared" si="544"/>
        <v>0</v>
      </c>
    </row>
    <row r="585" spans="1:15" ht="18" customHeight="1" hidden="1">
      <c r="A585" s="33" t="s">
        <v>173</v>
      </c>
      <c r="B585" s="215">
        <v>906</v>
      </c>
      <c r="C585" s="213" t="s">
        <v>170</v>
      </c>
      <c r="D585" s="213" t="s">
        <v>192</v>
      </c>
      <c r="E585" s="213" t="s">
        <v>174</v>
      </c>
      <c r="F585" s="213"/>
      <c r="G585" s="27">
        <f>G586</f>
        <v>5</v>
      </c>
      <c r="H585" s="27">
        <f>H586</f>
        <v>0</v>
      </c>
      <c r="I585" s="27">
        <f aca="true" t="shared" si="602" ref="G585:L588">I586</f>
        <v>0</v>
      </c>
      <c r="J585" s="27">
        <f t="shared" si="602"/>
        <v>0</v>
      </c>
      <c r="K585" s="27">
        <f t="shared" si="602"/>
        <v>0</v>
      </c>
      <c r="L585" s="27">
        <f t="shared" si="602"/>
        <v>0</v>
      </c>
      <c r="M585" s="27">
        <f t="shared" si="590"/>
        <v>0</v>
      </c>
      <c r="N585" s="27">
        <f t="shared" si="590"/>
        <v>0</v>
      </c>
      <c r="O585" s="27" t="e">
        <f t="shared" si="544"/>
        <v>#DIV/0!</v>
      </c>
    </row>
    <row r="586" spans="1:15" ht="15.75" hidden="1">
      <c r="A586" s="33" t="s">
        <v>193</v>
      </c>
      <c r="B586" s="215">
        <v>906</v>
      </c>
      <c r="C586" s="213" t="s">
        <v>170</v>
      </c>
      <c r="D586" s="213" t="s">
        <v>192</v>
      </c>
      <c r="E586" s="213" t="s">
        <v>194</v>
      </c>
      <c r="F586" s="213"/>
      <c r="G586" s="27">
        <f t="shared" si="602"/>
        <v>5</v>
      </c>
      <c r="H586" s="27">
        <f t="shared" si="602"/>
        <v>0</v>
      </c>
      <c r="I586" s="27">
        <f t="shared" si="602"/>
        <v>0</v>
      </c>
      <c r="J586" s="27">
        <f t="shared" si="602"/>
        <v>0</v>
      </c>
      <c r="K586" s="27">
        <f t="shared" si="602"/>
        <v>0</v>
      </c>
      <c r="L586" s="27">
        <f t="shared" si="602"/>
        <v>0</v>
      </c>
      <c r="M586" s="27">
        <f t="shared" si="590"/>
        <v>0</v>
      </c>
      <c r="N586" s="27">
        <f t="shared" si="590"/>
        <v>0</v>
      </c>
      <c r="O586" s="27" t="e">
        <f t="shared" si="544"/>
        <v>#DIV/0!</v>
      </c>
    </row>
    <row r="587" spans="1:15" ht="15.75" hidden="1">
      <c r="A587" s="26" t="s">
        <v>231</v>
      </c>
      <c r="B587" s="215">
        <v>906</v>
      </c>
      <c r="C587" s="213" t="s">
        <v>170</v>
      </c>
      <c r="D587" s="213" t="s">
        <v>192</v>
      </c>
      <c r="E587" s="213" t="s">
        <v>257</v>
      </c>
      <c r="F587" s="213"/>
      <c r="G587" s="27">
        <f>G588</f>
        <v>5</v>
      </c>
      <c r="H587" s="27">
        <f>H588</f>
        <v>0</v>
      </c>
      <c r="I587" s="27">
        <f t="shared" si="602"/>
        <v>0</v>
      </c>
      <c r="J587" s="27">
        <f t="shared" si="602"/>
        <v>0</v>
      </c>
      <c r="K587" s="27">
        <f t="shared" si="602"/>
        <v>0</v>
      </c>
      <c r="L587" s="27">
        <f t="shared" si="602"/>
        <v>0</v>
      </c>
      <c r="M587" s="27">
        <f t="shared" si="590"/>
        <v>0</v>
      </c>
      <c r="N587" s="27">
        <f t="shared" si="590"/>
        <v>0</v>
      </c>
      <c r="O587" s="27" t="e">
        <f t="shared" si="544"/>
        <v>#DIV/0!</v>
      </c>
    </row>
    <row r="588" spans="1:15" ht="31.5" hidden="1">
      <c r="A588" s="26" t="s">
        <v>183</v>
      </c>
      <c r="B588" s="215">
        <v>906</v>
      </c>
      <c r="C588" s="213" t="s">
        <v>170</v>
      </c>
      <c r="D588" s="213" t="s">
        <v>192</v>
      </c>
      <c r="E588" s="213" t="s">
        <v>257</v>
      </c>
      <c r="F588" s="213" t="s">
        <v>184</v>
      </c>
      <c r="G588" s="27">
        <f t="shared" si="602"/>
        <v>5</v>
      </c>
      <c r="H588" s="27">
        <f t="shared" si="602"/>
        <v>0</v>
      </c>
      <c r="I588" s="27">
        <f t="shared" si="602"/>
        <v>0</v>
      </c>
      <c r="J588" s="27">
        <f t="shared" si="602"/>
        <v>0</v>
      </c>
      <c r="K588" s="27">
        <f t="shared" si="602"/>
        <v>0</v>
      </c>
      <c r="L588" s="27">
        <f t="shared" si="602"/>
        <v>0</v>
      </c>
      <c r="M588" s="27">
        <f t="shared" si="590"/>
        <v>0</v>
      </c>
      <c r="N588" s="27">
        <f t="shared" si="590"/>
        <v>0</v>
      </c>
      <c r="O588" s="27" t="e">
        <f t="shared" si="544"/>
        <v>#DIV/0!</v>
      </c>
    </row>
    <row r="589" spans="1:15" ht="47.25" hidden="1">
      <c r="A589" s="26" t="s">
        <v>185</v>
      </c>
      <c r="B589" s="215">
        <v>906</v>
      </c>
      <c r="C589" s="213" t="s">
        <v>170</v>
      </c>
      <c r="D589" s="213" t="s">
        <v>192</v>
      </c>
      <c r="E589" s="213" t="s">
        <v>257</v>
      </c>
      <c r="F589" s="213" t="s">
        <v>186</v>
      </c>
      <c r="G589" s="27">
        <v>5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 t="e">
        <f aca="true" t="shared" si="603" ref="O589:O652">N589/M589*100</f>
        <v>#DIV/0!</v>
      </c>
    </row>
    <row r="590" spans="1:15" ht="63">
      <c r="A590" s="31" t="s">
        <v>805</v>
      </c>
      <c r="B590" s="215">
        <v>906</v>
      </c>
      <c r="C590" s="213" t="s">
        <v>170</v>
      </c>
      <c r="D590" s="213" t="s">
        <v>192</v>
      </c>
      <c r="E590" s="213" t="s">
        <v>803</v>
      </c>
      <c r="F590" s="220"/>
      <c r="G590" s="27">
        <f>G592</f>
        <v>29</v>
      </c>
      <c r="H590" s="27">
        <f aca="true" t="shared" si="604" ref="H590:L590">H592</f>
        <v>19.1</v>
      </c>
      <c r="I590" s="27">
        <f t="shared" si="604"/>
        <v>29</v>
      </c>
      <c r="J590" s="27">
        <f t="shared" si="604"/>
        <v>0</v>
      </c>
      <c r="K590" s="27">
        <f t="shared" si="604"/>
        <v>0</v>
      </c>
      <c r="L590" s="27">
        <f t="shared" si="604"/>
        <v>0</v>
      </c>
      <c r="M590" s="27">
        <f>M591</f>
        <v>1638.3</v>
      </c>
      <c r="N590" s="27">
        <f aca="true" t="shared" si="605" ref="N590">N591</f>
        <v>1169</v>
      </c>
      <c r="O590" s="27">
        <f t="shared" si="603"/>
        <v>71.35445278642496</v>
      </c>
    </row>
    <row r="591" spans="1:15" ht="47.25">
      <c r="A591" s="122" t="s">
        <v>948</v>
      </c>
      <c r="B591" s="215">
        <v>906</v>
      </c>
      <c r="C591" s="213" t="s">
        <v>170</v>
      </c>
      <c r="D591" s="213" t="s">
        <v>192</v>
      </c>
      <c r="E591" s="213" t="s">
        <v>949</v>
      </c>
      <c r="F591" s="220"/>
      <c r="G591" s="27">
        <f>G592</f>
        <v>29</v>
      </c>
      <c r="H591" s="27">
        <f aca="true" t="shared" si="606" ref="H591:N592">H592</f>
        <v>19.1</v>
      </c>
      <c r="I591" s="27">
        <f t="shared" si="606"/>
        <v>29</v>
      </c>
      <c r="J591" s="27">
        <f t="shared" si="606"/>
        <v>0</v>
      </c>
      <c r="K591" s="27">
        <f t="shared" si="606"/>
        <v>0</v>
      </c>
      <c r="L591" s="27">
        <f t="shared" si="606"/>
        <v>0</v>
      </c>
      <c r="M591" s="27">
        <f t="shared" si="606"/>
        <v>1638.3</v>
      </c>
      <c r="N591" s="27">
        <f t="shared" si="606"/>
        <v>1169</v>
      </c>
      <c r="O591" s="27">
        <f t="shared" si="603"/>
        <v>71.35445278642496</v>
      </c>
    </row>
    <row r="592" spans="1:15" ht="47.25">
      <c r="A592" s="31" t="s">
        <v>324</v>
      </c>
      <c r="B592" s="215">
        <v>906</v>
      </c>
      <c r="C592" s="213" t="s">
        <v>170</v>
      </c>
      <c r="D592" s="213" t="s">
        <v>192</v>
      </c>
      <c r="E592" s="213" t="s">
        <v>949</v>
      </c>
      <c r="F592" s="220" t="s">
        <v>325</v>
      </c>
      <c r="G592" s="27">
        <f>G593</f>
        <v>29</v>
      </c>
      <c r="H592" s="27">
        <f t="shared" si="606"/>
        <v>19.1</v>
      </c>
      <c r="I592" s="27">
        <f t="shared" si="606"/>
        <v>29</v>
      </c>
      <c r="J592" s="27">
        <f t="shared" si="606"/>
        <v>0</v>
      </c>
      <c r="K592" s="27">
        <f t="shared" si="606"/>
        <v>0</v>
      </c>
      <c r="L592" s="27">
        <f t="shared" si="606"/>
        <v>0</v>
      </c>
      <c r="M592" s="27">
        <f t="shared" si="606"/>
        <v>1638.3</v>
      </c>
      <c r="N592" s="27">
        <f t="shared" si="606"/>
        <v>1169</v>
      </c>
      <c r="O592" s="27">
        <f t="shared" si="603"/>
        <v>71.35445278642496</v>
      </c>
    </row>
    <row r="593" spans="1:15" ht="15.75">
      <c r="A593" s="256" t="s">
        <v>326</v>
      </c>
      <c r="B593" s="215">
        <v>906</v>
      </c>
      <c r="C593" s="213" t="s">
        <v>170</v>
      </c>
      <c r="D593" s="213" t="s">
        <v>192</v>
      </c>
      <c r="E593" s="213" t="s">
        <v>949</v>
      </c>
      <c r="F593" s="220" t="s">
        <v>327</v>
      </c>
      <c r="G593" s="27">
        <v>29</v>
      </c>
      <c r="H593" s="27">
        <v>19.1</v>
      </c>
      <c r="I593" s="27">
        <v>29</v>
      </c>
      <c r="J593" s="27">
        <v>0</v>
      </c>
      <c r="K593" s="27">
        <v>0</v>
      </c>
      <c r="L593" s="27">
        <v>0</v>
      </c>
      <c r="M593" s="27">
        <v>1638.3</v>
      </c>
      <c r="N593" s="27">
        <v>1169</v>
      </c>
      <c r="O593" s="27">
        <f t="shared" si="603"/>
        <v>71.35445278642496</v>
      </c>
    </row>
    <row r="594" spans="1:15" ht="15.75">
      <c r="A594" s="24" t="s">
        <v>315</v>
      </c>
      <c r="B594" s="212">
        <v>906</v>
      </c>
      <c r="C594" s="214" t="s">
        <v>316</v>
      </c>
      <c r="D594" s="214"/>
      <c r="E594" s="214"/>
      <c r="F594" s="214"/>
      <c r="G594" s="22">
        <f aca="true" t="shared" si="607" ref="G594:L594">G595+G640+G733+G745+G709</f>
        <v>261516.80000000002</v>
      </c>
      <c r="H594" s="22">
        <f aca="true" t="shared" si="608" ref="H594">H595+H640+H733+H745+H709</f>
        <v>209815.18000000002</v>
      </c>
      <c r="I594" s="22">
        <f t="shared" si="607"/>
        <v>262473.3666666667</v>
      </c>
      <c r="J594" s="22">
        <f t="shared" si="607"/>
        <v>311237.3</v>
      </c>
      <c r="K594" s="22">
        <f t="shared" si="607"/>
        <v>303837.8</v>
      </c>
      <c r="L594" s="22">
        <f t="shared" si="607"/>
        <v>297289</v>
      </c>
      <c r="M594" s="22">
        <f aca="true" t="shared" si="609" ref="M594:N594">M595+M640+M733+M745+M709</f>
        <v>266221</v>
      </c>
      <c r="N594" s="22">
        <f t="shared" si="609"/>
        <v>173981.59999999998</v>
      </c>
      <c r="O594" s="22">
        <f t="shared" si="603"/>
        <v>65.35232006490847</v>
      </c>
    </row>
    <row r="595" spans="1:15" ht="15.75">
      <c r="A595" s="24" t="s">
        <v>457</v>
      </c>
      <c r="B595" s="212">
        <v>906</v>
      </c>
      <c r="C595" s="214" t="s">
        <v>316</v>
      </c>
      <c r="D595" s="214" t="s">
        <v>170</v>
      </c>
      <c r="E595" s="214"/>
      <c r="F595" s="214"/>
      <c r="G595" s="22">
        <f aca="true" t="shared" si="610" ref="G595:L595">G596+G620</f>
        <v>84659.4</v>
      </c>
      <c r="H595" s="22">
        <f aca="true" t="shared" si="611" ref="H595">H596+H620</f>
        <v>71004</v>
      </c>
      <c r="I595" s="22">
        <f t="shared" si="610"/>
        <v>85381.2</v>
      </c>
      <c r="J595" s="22">
        <f t="shared" si="610"/>
        <v>122402.5</v>
      </c>
      <c r="K595" s="22">
        <f t="shared" si="610"/>
        <v>117666.8</v>
      </c>
      <c r="L595" s="22">
        <f t="shared" si="610"/>
        <v>112203.8</v>
      </c>
      <c r="M595" s="22">
        <f aca="true" t="shared" si="612" ref="M595:N595">M596+M620</f>
        <v>92076.5</v>
      </c>
      <c r="N595" s="22">
        <f t="shared" si="612"/>
        <v>54246</v>
      </c>
      <c r="O595" s="22">
        <f t="shared" si="603"/>
        <v>58.914055160654456</v>
      </c>
    </row>
    <row r="596" spans="1:15" ht="47.25">
      <c r="A596" s="26" t="s">
        <v>458</v>
      </c>
      <c r="B596" s="215">
        <v>906</v>
      </c>
      <c r="C596" s="213" t="s">
        <v>316</v>
      </c>
      <c r="D596" s="213" t="s">
        <v>170</v>
      </c>
      <c r="E596" s="213" t="s">
        <v>459</v>
      </c>
      <c r="F596" s="213"/>
      <c r="G596" s="27">
        <f aca="true" t="shared" si="613" ref="G596:L596">G597+G601</f>
        <v>23453.4</v>
      </c>
      <c r="H596" s="27">
        <f aca="true" t="shared" si="614" ref="H596">H597+H601</f>
        <v>20620</v>
      </c>
      <c r="I596" s="27">
        <f t="shared" si="613"/>
        <v>24175.2</v>
      </c>
      <c r="J596" s="27">
        <f t="shared" si="613"/>
        <v>61196.5</v>
      </c>
      <c r="K596" s="27">
        <f t="shared" si="613"/>
        <v>56460.8</v>
      </c>
      <c r="L596" s="27">
        <f t="shared" si="613"/>
        <v>50997.8</v>
      </c>
      <c r="M596" s="27">
        <f aca="true" t="shared" si="615" ref="M596:N596">M597+M601</f>
        <v>25134.9</v>
      </c>
      <c r="N596" s="27">
        <f t="shared" si="615"/>
        <v>17540</v>
      </c>
      <c r="O596" s="27">
        <f t="shared" si="603"/>
        <v>69.78344851183016</v>
      </c>
    </row>
    <row r="597" spans="1:15" ht="38.25" customHeight="1">
      <c r="A597" s="26" t="s">
        <v>460</v>
      </c>
      <c r="B597" s="215">
        <v>906</v>
      </c>
      <c r="C597" s="213" t="s">
        <v>316</v>
      </c>
      <c r="D597" s="213" t="s">
        <v>170</v>
      </c>
      <c r="E597" s="213" t="s">
        <v>461</v>
      </c>
      <c r="F597" s="213"/>
      <c r="G597" s="27">
        <f>G598</f>
        <v>15578.400000000001</v>
      </c>
      <c r="H597" s="27">
        <f aca="true" t="shared" si="616" ref="H597:L597">H598</f>
        <v>14300</v>
      </c>
      <c r="I597" s="27">
        <f t="shared" si="616"/>
        <v>16300.2</v>
      </c>
      <c r="J597" s="27">
        <f t="shared" si="616"/>
        <v>35498.2</v>
      </c>
      <c r="K597" s="27">
        <f t="shared" si="616"/>
        <v>36442.5</v>
      </c>
      <c r="L597" s="27">
        <f t="shared" si="616"/>
        <v>37029.5</v>
      </c>
      <c r="M597" s="27">
        <f aca="true" t="shared" si="617" ref="M597:N599">M598</f>
        <v>15316.6</v>
      </c>
      <c r="N597" s="27">
        <f t="shared" si="617"/>
        <v>10800</v>
      </c>
      <c r="O597" s="27">
        <f t="shared" si="603"/>
        <v>70.51173236880247</v>
      </c>
    </row>
    <row r="598" spans="1:15" ht="47.25">
      <c r="A598" s="26" t="s">
        <v>462</v>
      </c>
      <c r="B598" s="215">
        <v>906</v>
      </c>
      <c r="C598" s="213" t="s">
        <v>316</v>
      </c>
      <c r="D598" s="213" t="s">
        <v>170</v>
      </c>
      <c r="E598" s="213" t="s">
        <v>463</v>
      </c>
      <c r="F598" s="213"/>
      <c r="G598" s="27">
        <f aca="true" t="shared" si="618" ref="G598:L599">G599</f>
        <v>15578.400000000001</v>
      </c>
      <c r="H598" s="27">
        <f t="shared" si="618"/>
        <v>14300</v>
      </c>
      <c r="I598" s="27">
        <f t="shared" si="618"/>
        <v>16300.2</v>
      </c>
      <c r="J598" s="27">
        <f t="shared" si="618"/>
        <v>35498.2</v>
      </c>
      <c r="K598" s="27">
        <f t="shared" si="618"/>
        <v>36442.5</v>
      </c>
      <c r="L598" s="27">
        <f t="shared" si="618"/>
        <v>37029.5</v>
      </c>
      <c r="M598" s="27">
        <f t="shared" si="617"/>
        <v>15316.6</v>
      </c>
      <c r="N598" s="27">
        <f t="shared" si="617"/>
        <v>10800</v>
      </c>
      <c r="O598" s="27">
        <f t="shared" si="603"/>
        <v>70.51173236880247</v>
      </c>
    </row>
    <row r="599" spans="1:15" ht="47.25">
      <c r="A599" s="26" t="s">
        <v>324</v>
      </c>
      <c r="B599" s="215">
        <v>906</v>
      </c>
      <c r="C599" s="213" t="s">
        <v>316</v>
      </c>
      <c r="D599" s="213" t="s">
        <v>170</v>
      </c>
      <c r="E599" s="213" t="s">
        <v>463</v>
      </c>
      <c r="F599" s="213" t="s">
        <v>325</v>
      </c>
      <c r="G599" s="27">
        <f>G600</f>
        <v>15578.400000000001</v>
      </c>
      <c r="H599" s="27">
        <f t="shared" si="618"/>
        <v>14300</v>
      </c>
      <c r="I599" s="27">
        <f t="shared" si="618"/>
        <v>16300.2</v>
      </c>
      <c r="J599" s="27">
        <f t="shared" si="618"/>
        <v>35498.2</v>
      </c>
      <c r="K599" s="27">
        <f t="shared" si="618"/>
        <v>36442.5</v>
      </c>
      <c r="L599" s="27">
        <f t="shared" si="618"/>
        <v>37029.5</v>
      </c>
      <c r="M599" s="27">
        <f t="shared" si="617"/>
        <v>15316.6</v>
      </c>
      <c r="N599" s="27">
        <f t="shared" si="617"/>
        <v>10800</v>
      </c>
      <c r="O599" s="27">
        <f t="shared" si="603"/>
        <v>70.51173236880247</v>
      </c>
    </row>
    <row r="600" spans="1:15" ht="15.75">
      <c r="A600" s="26" t="s">
        <v>326</v>
      </c>
      <c r="B600" s="215">
        <v>906</v>
      </c>
      <c r="C600" s="213" t="s">
        <v>316</v>
      </c>
      <c r="D600" s="213" t="s">
        <v>170</v>
      </c>
      <c r="E600" s="213" t="s">
        <v>463</v>
      </c>
      <c r="F600" s="213" t="s">
        <v>327</v>
      </c>
      <c r="G600" s="28">
        <f>17368.2+6858.7-6314-1360.2-974.3</f>
        <v>15578.400000000001</v>
      </c>
      <c r="H600" s="28">
        <v>14300</v>
      </c>
      <c r="I600" s="28">
        <v>16300.2</v>
      </c>
      <c r="J600" s="28">
        <v>35498.2</v>
      </c>
      <c r="K600" s="28">
        <v>36442.5</v>
      </c>
      <c r="L600" s="28">
        <v>37029.5</v>
      </c>
      <c r="M600" s="28">
        <f>13780.9+2000-464.3</f>
        <v>15316.6</v>
      </c>
      <c r="N600" s="28">
        <v>10800</v>
      </c>
      <c r="O600" s="27">
        <f t="shared" si="603"/>
        <v>70.51173236880247</v>
      </c>
    </row>
    <row r="601" spans="1:15" ht="30" customHeight="1">
      <c r="A601" s="26" t="s">
        <v>464</v>
      </c>
      <c r="B601" s="215">
        <v>906</v>
      </c>
      <c r="C601" s="213" t="s">
        <v>316</v>
      </c>
      <c r="D601" s="213" t="s">
        <v>170</v>
      </c>
      <c r="E601" s="213" t="s">
        <v>465</v>
      </c>
      <c r="F601" s="213"/>
      <c r="G601" s="27">
        <f>G602+G605+G608+G611+G614+G617</f>
        <v>7875</v>
      </c>
      <c r="H601" s="27">
        <f aca="true" t="shared" si="619" ref="H601:L601">H602+H605+H608+H611+H614+H617</f>
        <v>6320</v>
      </c>
      <c r="I601" s="27">
        <f t="shared" si="619"/>
        <v>7875</v>
      </c>
      <c r="J601" s="27">
        <f t="shared" si="619"/>
        <v>25698.3</v>
      </c>
      <c r="K601" s="27">
        <f t="shared" si="619"/>
        <v>20018.3</v>
      </c>
      <c r="L601" s="27">
        <f t="shared" si="619"/>
        <v>13968.3</v>
      </c>
      <c r="M601" s="27">
        <f aca="true" t="shared" si="620" ref="M601:N601">M602+M605+M608+M611+M614+M617</f>
        <v>9818.300000000001</v>
      </c>
      <c r="N601" s="27">
        <f t="shared" si="620"/>
        <v>6740</v>
      </c>
      <c r="O601" s="27">
        <f t="shared" si="603"/>
        <v>68.64732183779269</v>
      </c>
    </row>
    <row r="602" spans="1:15" ht="47.25" customHeight="1">
      <c r="A602" s="26" t="s">
        <v>330</v>
      </c>
      <c r="B602" s="215">
        <v>906</v>
      </c>
      <c r="C602" s="213" t="s">
        <v>316</v>
      </c>
      <c r="D602" s="213" t="s">
        <v>170</v>
      </c>
      <c r="E602" s="213" t="s">
        <v>466</v>
      </c>
      <c r="F602" s="213"/>
      <c r="G602" s="27">
        <f aca="true" t="shared" si="621" ref="G602:L603">G603</f>
        <v>0</v>
      </c>
      <c r="H602" s="27">
        <v>0</v>
      </c>
      <c r="I602" s="27">
        <f t="shared" si="621"/>
        <v>0</v>
      </c>
      <c r="J602" s="27">
        <f t="shared" si="621"/>
        <v>15330</v>
      </c>
      <c r="K602" s="27">
        <f t="shared" si="621"/>
        <v>10100</v>
      </c>
      <c r="L602" s="27">
        <f t="shared" si="621"/>
        <v>3600</v>
      </c>
      <c r="M602" s="27">
        <f aca="true" t="shared" si="622" ref="M602:N603">M603</f>
        <v>200</v>
      </c>
      <c r="N602" s="27">
        <f t="shared" si="622"/>
        <v>0</v>
      </c>
      <c r="O602" s="27">
        <f t="shared" si="603"/>
        <v>0</v>
      </c>
    </row>
    <row r="603" spans="1:15" ht="47.25" customHeight="1">
      <c r="A603" s="26" t="s">
        <v>324</v>
      </c>
      <c r="B603" s="215">
        <v>906</v>
      </c>
      <c r="C603" s="213" t="s">
        <v>316</v>
      </c>
      <c r="D603" s="213" t="s">
        <v>170</v>
      </c>
      <c r="E603" s="213" t="s">
        <v>466</v>
      </c>
      <c r="F603" s="213" t="s">
        <v>325</v>
      </c>
      <c r="G603" s="27">
        <f t="shared" si="621"/>
        <v>0</v>
      </c>
      <c r="H603" s="27">
        <v>0</v>
      </c>
      <c r="I603" s="27">
        <f t="shared" si="621"/>
        <v>0</v>
      </c>
      <c r="J603" s="27">
        <f t="shared" si="621"/>
        <v>15330</v>
      </c>
      <c r="K603" s="27">
        <f t="shared" si="621"/>
        <v>10100</v>
      </c>
      <c r="L603" s="27">
        <f t="shared" si="621"/>
        <v>3600</v>
      </c>
      <c r="M603" s="27">
        <f t="shared" si="622"/>
        <v>200</v>
      </c>
      <c r="N603" s="27">
        <f t="shared" si="622"/>
        <v>0</v>
      </c>
      <c r="O603" s="27">
        <f t="shared" si="603"/>
        <v>0</v>
      </c>
    </row>
    <row r="604" spans="1:15" ht="15.75" customHeight="1">
      <c r="A604" s="26" t="s">
        <v>326</v>
      </c>
      <c r="B604" s="215">
        <v>906</v>
      </c>
      <c r="C604" s="213" t="s">
        <v>316</v>
      </c>
      <c r="D604" s="213" t="s">
        <v>170</v>
      </c>
      <c r="E604" s="213" t="s">
        <v>466</v>
      </c>
      <c r="F604" s="213" t="s">
        <v>327</v>
      </c>
      <c r="G604" s="27">
        <v>0</v>
      </c>
      <c r="H604" s="27">
        <v>0</v>
      </c>
      <c r="I604" s="27">
        <v>0</v>
      </c>
      <c r="J604" s="27">
        <v>15330</v>
      </c>
      <c r="K604" s="27">
        <v>10100</v>
      </c>
      <c r="L604" s="27">
        <v>3600</v>
      </c>
      <c r="M604" s="27">
        <v>200</v>
      </c>
      <c r="N604" s="27">
        <v>0</v>
      </c>
      <c r="O604" s="27">
        <f t="shared" si="603"/>
        <v>0</v>
      </c>
    </row>
    <row r="605" spans="1:15" ht="31.5" hidden="1">
      <c r="A605" s="26" t="s">
        <v>332</v>
      </c>
      <c r="B605" s="215">
        <v>906</v>
      </c>
      <c r="C605" s="213" t="s">
        <v>316</v>
      </c>
      <c r="D605" s="213" t="s">
        <v>170</v>
      </c>
      <c r="E605" s="213" t="s">
        <v>467</v>
      </c>
      <c r="F605" s="213"/>
      <c r="G605" s="27">
        <f aca="true" t="shared" si="623" ref="G605:L606">G606</f>
        <v>1145</v>
      </c>
      <c r="H605" s="27">
        <f t="shared" si="623"/>
        <v>1145</v>
      </c>
      <c r="I605" s="27">
        <f t="shared" si="623"/>
        <v>1145</v>
      </c>
      <c r="J605" s="27">
        <f t="shared" si="623"/>
        <v>0</v>
      </c>
      <c r="K605" s="27">
        <f t="shared" si="623"/>
        <v>0</v>
      </c>
      <c r="L605" s="27">
        <f t="shared" si="623"/>
        <v>0</v>
      </c>
      <c r="M605" s="27">
        <f aca="true" t="shared" si="624" ref="M605:N606">M606</f>
        <v>0</v>
      </c>
      <c r="N605" s="27">
        <f t="shared" si="624"/>
        <v>0</v>
      </c>
      <c r="O605" s="27" t="e">
        <f t="shared" si="603"/>
        <v>#DIV/0!</v>
      </c>
    </row>
    <row r="606" spans="1:15" ht="47.25" hidden="1">
      <c r="A606" s="26" t="s">
        <v>324</v>
      </c>
      <c r="B606" s="215">
        <v>906</v>
      </c>
      <c r="C606" s="213" t="s">
        <v>316</v>
      </c>
      <c r="D606" s="213" t="s">
        <v>170</v>
      </c>
      <c r="E606" s="213" t="s">
        <v>467</v>
      </c>
      <c r="F606" s="213" t="s">
        <v>325</v>
      </c>
      <c r="G606" s="27">
        <f t="shared" si="623"/>
        <v>1145</v>
      </c>
      <c r="H606" s="27">
        <f t="shared" si="623"/>
        <v>1145</v>
      </c>
      <c r="I606" s="27">
        <f t="shared" si="623"/>
        <v>1145</v>
      </c>
      <c r="J606" s="27">
        <f t="shared" si="623"/>
        <v>0</v>
      </c>
      <c r="K606" s="27">
        <f t="shared" si="623"/>
        <v>0</v>
      </c>
      <c r="L606" s="27">
        <f t="shared" si="623"/>
        <v>0</v>
      </c>
      <c r="M606" s="27">
        <f t="shared" si="624"/>
        <v>0</v>
      </c>
      <c r="N606" s="27">
        <f t="shared" si="624"/>
        <v>0</v>
      </c>
      <c r="O606" s="27" t="e">
        <f t="shared" si="603"/>
        <v>#DIV/0!</v>
      </c>
    </row>
    <row r="607" spans="1:15" ht="15.75" hidden="1">
      <c r="A607" s="26" t="s">
        <v>326</v>
      </c>
      <c r="B607" s="215">
        <v>906</v>
      </c>
      <c r="C607" s="213" t="s">
        <v>316</v>
      </c>
      <c r="D607" s="213" t="s">
        <v>170</v>
      </c>
      <c r="E607" s="213" t="s">
        <v>467</v>
      </c>
      <c r="F607" s="213" t="s">
        <v>327</v>
      </c>
      <c r="G607" s="27">
        <f>800+300+45</f>
        <v>1145</v>
      </c>
      <c r="H607" s="27">
        <f>800+300+45</f>
        <v>1145</v>
      </c>
      <c r="I607" s="27">
        <f aca="true" t="shared" si="625" ref="I607">800+300+45</f>
        <v>1145</v>
      </c>
      <c r="J607" s="27">
        <v>0</v>
      </c>
      <c r="K607" s="27">
        <v>0</v>
      </c>
      <c r="L607" s="27">
        <v>0</v>
      </c>
      <c r="M607" s="27">
        <v>0</v>
      </c>
      <c r="N607" s="27">
        <v>0</v>
      </c>
      <c r="O607" s="27" t="e">
        <f t="shared" si="603"/>
        <v>#DIV/0!</v>
      </c>
    </row>
    <row r="608" spans="1:15" ht="47.25">
      <c r="A608" s="26" t="s">
        <v>468</v>
      </c>
      <c r="B608" s="215">
        <v>906</v>
      </c>
      <c r="C608" s="213" t="s">
        <v>316</v>
      </c>
      <c r="D608" s="213" t="s">
        <v>170</v>
      </c>
      <c r="E608" s="213" t="s">
        <v>469</v>
      </c>
      <c r="F608" s="213"/>
      <c r="G608" s="27">
        <f aca="true" t="shared" si="626" ref="G608:L609">G609</f>
        <v>6730</v>
      </c>
      <c r="H608" s="27">
        <f t="shared" si="626"/>
        <v>5175</v>
      </c>
      <c r="I608" s="27">
        <f t="shared" si="626"/>
        <v>6730</v>
      </c>
      <c r="J608" s="27">
        <f t="shared" si="626"/>
        <v>5168.8</v>
      </c>
      <c r="K608" s="27">
        <f t="shared" si="626"/>
        <v>5168.8</v>
      </c>
      <c r="L608" s="27">
        <f t="shared" si="626"/>
        <v>5168.8</v>
      </c>
      <c r="M608" s="27">
        <f aca="true" t="shared" si="627" ref="M608:N609">M609</f>
        <v>5168.8</v>
      </c>
      <c r="N608" s="27">
        <f t="shared" si="627"/>
        <v>2850</v>
      </c>
      <c r="O608" s="27">
        <f t="shared" si="603"/>
        <v>55.13852344838261</v>
      </c>
    </row>
    <row r="609" spans="1:15" ht="47.25">
      <c r="A609" s="26" t="s">
        <v>324</v>
      </c>
      <c r="B609" s="215">
        <v>906</v>
      </c>
      <c r="C609" s="213" t="s">
        <v>316</v>
      </c>
      <c r="D609" s="213" t="s">
        <v>170</v>
      </c>
      <c r="E609" s="213" t="s">
        <v>469</v>
      </c>
      <c r="F609" s="213" t="s">
        <v>325</v>
      </c>
      <c r="G609" s="27">
        <f>G610</f>
        <v>6730</v>
      </c>
      <c r="H609" s="27">
        <f>H610</f>
        <v>5175</v>
      </c>
      <c r="I609" s="27">
        <f t="shared" si="626"/>
        <v>6730</v>
      </c>
      <c r="J609" s="27">
        <f t="shared" si="626"/>
        <v>5168.8</v>
      </c>
      <c r="K609" s="27">
        <f t="shared" si="626"/>
        <v>5168.8</v>
      </c>
      <c r="L609" s="27">
        <f t="shared" si="626"/>
        <v>5168.8</v>
      </c>
      <c r="M609" s="27">
        <f t="shared" si="627"/>
        <v>5168.8</v>
      </c>
      <c r="N609" s="27">
        <f t="shared" si="627"/>
        <v>2850</v>
      </c>
      <c r="O609" s="27">
        <f t="shared" si="603"/>
        <v>55.13852344838261</v>
      </c>
    </row>
    <row r="610" spans="1:15" ht="15.75">
      <c r="A610" s="26" t="s">
        <v>326</v>
      </c>
      <c r="B610" s="215">
        <v>906</v>
      </c>
      <c r="C610" s="213" t="s">
        <v>316</v>
      </c>
      <c r="D610" s="213" t="s">
        <v>170</v>
      </c>
      <c r="E610" s="213" t="s">
        <v>469</v>
      </c>
      <c r="F610" s="213" t="s">
        <v>327</v>
      </c>
      <c r="G610" s="28">
        <v>6730</v>
      </c>
      <c r="H610" s="28">
        <v>5175</v>
      </c>
      <c r="I610" s="28">
        <v>6730</v>
      </c>
      <c r="J610" s="28">
        <v>5168.8</v>
      </c>
      <c r="K610" s="28">
        <v>5168.8</v>
      </c>
      <c r="L610" s="28">
        <v>5168.8</v>
      </c>
      <c r="M610" s="28">
        <v>5168.8</v>
      </c>
      <c r="N610" s="28">
        <v>2850</v>
      </c>
      <c r="O610" s="27">
        <f t="shared" si="603"/>
        <v>55.13852344838261</v>
      </c>
    </row>
    <row r="611" spans="1:15" ht="31.5" customHeight="1" hidden="1">
      <c r="A611" s="26" t="s">
        <v>336</v>
      </c>
      <c r="B611" s="215">
        <v>906</v>
      </c>
      <c r="C611" s="213" t="s">
        <v>316</v>
      </c>
      <c r="D611" s="213" t="s">
        <v>170</v>
      </c>
      <c r="E611" s="213" t="s">
        <v>470</v>
      </c>
      <c r="F611" s="213"/>
      <c r="G611" s="27">
        <f aca="true" t="shared" si="628" ref="G611:L612">G612</f>
        <v>0</v>
      </c>
      <c r="H611" s="27">
        <v>0</v>
      </c>
      <c r="I611" s="27">
        <f t="shared" si="628"/>
        <v>0</v>
      </c>
      <c r="J611" s="27">
        <f t="shared" si="628"/>
        <v>500</v>
      </c>
      <c r="K611" s="27">
        <f t="shared" si="628"/>
        <v>50</v>
      </c>
      <c r="L611" s="27">
        <f t="shared" si="628"/>
        <v>500</v>
      </c>
      <c r="M611" s="27">
        <f aca="true" t="shared" si="629" ref="M611:N612">M612</f>
        <v>0</v>
      </c>
      <c r="N611" s="27">
        <f t="shared" si="629"/>
        <v>0</v>
      </c>
      <c r="O611" s="27" t="e">
        <f t="shared" si="603"/>
        <v>#DIV/0!</v>
      </c>
    </row>
    <row r="612" spans="1:15" ht="47.25" customHeight="1" hidden="1">
      <c r="A612" s="26" t="s">
        <v>324</v>
      </c>
      <c r="B612" s="215">
        <v>906</v>
      </c>
      <c r="C612" s="213" t="s">
        <v>316</v>
      </c>
      <c r="D612" s="213" t="s">
        <v>170</v>
      </c>
      <c r="E612" s="213" t="s">
        <v>470</v>
      </c>
      <c r="F612" s="213" t="s">
        <v>325</v>
      </c>
      <c r="G612" s="27">
        <f t="shared" si="628"/>
        <v>0</v>
      </c>
      <c r="H612" s="27">
        <v>0</v>
      </c>
      <c r="I612" s="27">
        <f t="shared" si="628"/>
        <v>0</v>
      </c>
      <c r="J612" s="27">
        <f t="shared" si="628"/>
        <v>500</v>
      </c>
      <c r="K612" s="27">
        <f t="shared" si="628"/>
        <v>50</v>
      </c>
      <c r="L612" s="27">
        <f t="shared" si="628"/>
        <v>500</v>
      </c>
      <c r="M612" s="27">
        <f t="shared" si="629"/>
        <v>0</v>
      </c>
      <c r="N612" s="27">
        <f t="shared" si="629"/>
        <v>0</v>
      </c>
      <c r="O612" s="27" t="e">
        <f t="shared" si="603"/>
        <v>#DIV/0!</v>
      </c>
    </row>
    <row r="613" spans="1:15" ht="15.75" customHeight="1" hidden="1">
      <c r="A613" s="26" t="s">
        <v>326</v>
      </c>
      <c r="B613" s="215">
        <v>906</v>
      </c>
      <c r="C613" s="213" t="s">
        <v>316</v>
      </c>
      <c r="D613" s="213" t="s">
        <v>170</v>
      </c>
      <c r="E613" s="213" t="s">
        <v>470</v>
      </c>
      <c r="F613" s="213" t="s">
        <v>327</v>
      </c>
      <c r="G613" s="27">
        <v>0</v>
      </c>
      <c r="H613" s="27">
        <v>0</v>
      </c>
      <c r="I613" s="27">
        <v>0</v>
      </c>
      <c r="J613" s="27">
        <v>500</v>
      </c>
      <c r="K613" s="27">
        <v>50</v>
      </c>
      <c r="L613" s="27">
        <v>500</v>
      </c>
      <c r="M613" s="27">
        <v>0</v>
      </c>
      <c r="N613" s="27">
        <v>0</v>
      </c>
      <c r="O613" s="27" t="e">
        <f t="shared" si="603"/>
        <v>#DIV/0!</v>
      </c>
    </row>
    <row r="614" spans="1:15" ht="47.25" customHeight="1">
      <c r="A614" s="70" t="s">
        <v>865</v>
      </c>
      <c r="B614" s="215">
        <v>906</v>
      </c>
      <c r="C614" s="213" t="s">
        <v>316</v>
      </c>
      <c r="D614" s="213" t="s">
        <v>170</v>
      </c>
      <c r="E614" s="213" t="s">
        <v>868</v>
      </c>
      <c r="F614" s="213"/>
      <c r="G614" s="27">
        <f>G615</f>
        <v>0</v>
      </c>
      <c r="H614" s="27">
        <v>0</v>
      </c>
      <c r="I614" s="27">
        <f aca="true" t="shared" si="630" ref="I614:L615">I615</f>
        <v>0</v>
      </c>
      <c r="J614" s="27">
        <f t="shared" si="630"/>
        <v>3468.9</v>
      </c>
      <c r="K614" s="27">
        <f t="shared" si="630"/>
        <v>3468.9</v>
      </c>
      <c r="L614" s="27">
        <f t="shared" si="630"/>
        <v>3468.9</v>
      </c>
      <c r="M614" s="27">
        <f aca="true" t="shared" si="631" ref="M614:N615">M615</f>
        <v>3218.9</v>
      </c>
      <c r="N614" s="27">
        <f t="shared" si="631"/>
        <v>3100</v>
      </c>
      <c r="O614" s="27">
        <f t="shared" si="603"/>
        <v>96.30619155612166</v>
      </c>
    </row>
    <row r="615" spans="1:15" ht="55.5" customHeight="1">
      <c r="A615" s="31" t="s">
        <v>324</v>
      </c>
      <c r="B615" s="215">
        <v>906</v>
      </c>
      <c r="C615" s="213" t="s">
        <v>316</v>
      </c>
      <c r="D615" s="213" t="s">
        <v>170</v>
      </c>
      <c r="E615" s="213" t="s">
        <v>868</v>
      </c>
      <c r="F615" s="213" t="s">
        <v>325</v>
      </c>
      <c r="G615" s="27">
        <f>G616</f>
        <v>0</v>
      </c>
      <c r="H615" s="27">
        <v>0</v>
      </c>
      <c r="I615" s="27">
        <f t="shared" si="630"/>
        <v>0</v>
      </c>
      <c r="J615" s="27">
        <f t="shared" si="630"/>
        <v>3468.9</v>
      </c>
      <c r="K615" s="27">
        <f t="shared" si="630"/>
        <v>3468.9</v>
      </c>
      <c r="L615" s="27">
        <f t="shared" si="630"/>
        <v>3468.9</v>
      </c>
      <c r="M615" s="27">
        <f t="shared" si="631"/>
        <v>3218.9</v>
      </c>
      <c r="N615" s="27">
        <f t="shared" si="631"/>
        <v>3100</v>
      </c>
      <c r="O615" s="27">
        <f t="shared" si="603"/>
        <v>96.30619155612166</v>
      </c>
    </row>
    <row r="616" spans="1:15" ht="15.75" customHeight="1">
      <c r="A616" s="256" t="s">
        <v>326</v>
      </c>
      <c r="B616" s="215">
        <v>906</v>
      </c>
      <c r="C616" s="213" t="s">
        <v>316</v>
      </c>
      <c r="D616" s="213" t="s">
        <v>170</v>
      </c>
      <c r="E616" s="213" t="s">
        <v>868</v>
      </c>
      <c r="F616" s="213" t="s">
        <v>327</v>
      </c>
      <c r="G616" s="27">
        <v>0</v>
      </c>
      <c r="H616" s="27">
        <v>0</v>
      </c>
      <c r="I616" s="27">
        <v>0</v>
      </c>
      <c r="J616" s="27">
        <v>3468.9</v>
      </c>
      <c r="K616" s="27">
        <f>J616</f>
        <v>3468.9</v>
      </c>
      <c r="L616" s="27">
        <f>K616</f>
        <v>3468.9</v>
      </c>
      <c r="M616" s="27">
        <f>3468.9-250</f>
        <v>3218.9</v>
      </c>
      <c r="N616" s="27">
        <v>3100</v>
      </c>
      <c r="O616" s="27">
        <f t="shared" si="603"/>
        <v>96.30619155612166</v>
      </c>
    </row>
    <row r="617" spans="1:15" ht="50.25" customHeight="1">
      <c r="A617" s="70" t="s">
        <v>874</v>
      </c>
      <c r="B617" s="215">
        <v>906</v>
      </c>
      <c r="C617" s="213" t="s">
        <v>316</v>
      </c>
      <c r="D617" s="213" t="s">
        <v>170</v>
      </c>
      <c r="E617" s="213" t="s">
        <v>869</v>
      </c>
      <c r="F617" s="213"/>
      <c r="G617" s="27">
        <f>G618</f>
        <v>0</v>
      </c>
      <c r="H617" s="27">
        <v>0</v>
      </c>
      <c r="I617" s="27">
        <f aca="true" t="shared" si="632" ref="I617:L618">I618</f>
        <v>0</v>
      </c>
      <c r="J617" s="27">
        <f t="shared" si="632"/>
        <v>1230.6</v>
      </c>
      <c r="K617" s="27">
        <f t="shared" si="632"/>
        <v>1230.6</v>
      </c>
      <c r="L617" s="27">
        <f t="shared" si="632"/>
        <v>1230.6</v>
      </c>
      <c r="M617" s="27">
        <f aca="true" t="shared" si="633" ref="M617:N618">M618</f>
        <v>1230.6</v>
      </c>
      <c r="N617" s="27">
        <f t="shared" si="633"/>
        <v>790</v>
      </c>
      <c r="O617" s="27">
        <f t="shared" si="603"/>
        <v>64.19632699496182</v>
      </c>
    </row>
    <row r="618" spans="1:15" ht="15.75" customHeight="1">
      <c r="A618" s="31" t="s">
        <v>324</v>
      </c>
      <c r="B618" s="215">
        <v>906</v>
      </c>
      <c r="C618" s="213" t="s">
        <v>316</v>
      </c>
      <c r="D618" s="213" t="s">
        <v>170</v>
      </c>
      <c r="E618" s="213" t="s">
        <v>869</v>
      </c>
      <c r="F618" s="213" t="s">
        <v>325</v>
      </c>
      <c r="G618" s="27">
        <f>G619</f>
        <v>0</v>
      </c>
      <c r="H618" s="27">
        <v>0</v>
      </c>
      <c r="I618" s="27">
        <f t="shared" si="632"/>
        <v>0</v>
      </c>
      <c r="J618" s="27">
        <f t="shared" si="632"/>
        <v>1230.6</v>
      </c>
      <c r="K618" s="27">
        <f t="shared" si="632"/>
        <v>1230.6</v>
      </c>
      <c r="L618" s="27">
        <f t="shared" si="632"/>
        <v>1230.6</v>
      </c>
      <c r="M618" s="27">
        <f t="shared" si="633"/>
        <v>1230.6</v>
      </c>
      <c r="N618" s="27">
        <f t="shared" si="633"/>
        <v>790</v>
      </c>
      <c r="O618" s="27">
        <f t="shared" si="603"/>
        <v>64.19632699496182</v>
      </c>
    </row>
    <row r="619" spans="1:15" ht="15.75" customHeight="1">
      <c r="A619" s="256" t="s">
        <v>326</v>
      </c>
      <c r="B619" s="215">
        <v>906</v>
      </c>
      <c r="C619" s="213" t="s">
        <v>316</v>
      </c>
      <c r="D619" s="213" t="s">
        <v>170</v>
      </c>
      <c r="E619" s="213" t="s">
        <v>869</v>
      </c>
      <c r="F619" s="213" t="s">
        <v>327</v>
      </c>
      <c r="G619" s="27">
        <v>0</v>
      </c>
      <c r="H619" s="27">
        <v>0</v>
      </c>
      <c r="I619" s="27">
        <v>0</v>
      </c>
      <c r="J619" s="27">
        <v>1230.6</v>
      </c>
      <c r="K619" s="27">
        <f>J619</f>
        <v>1230.6</v>
      </c>
      <c r="L619" s="27">
        <f>K619</f>
        <v>1230.6</v>
      </c>
      <c r="M619" s="27">
        <v>1230.6</v>
      </c>
      <c r="N619" s="27">
        <v>790</v>
      </c>
      <c r="O619" s="27">
        <f t="shared" si="603"/>
        <v>64.19632699496182</v>
      </c>
    </row>
    <row r="620" spans="1:15" ht="15.75">
      <c r="A620" s="26" t="s">
        <v>173</v>
      </c>
      <c r="B620" s="215">
        <v>906</v>
      </c>
      <c r="C620" s="213" t="s">
        <v>316</v>
      </c>
      <c r="D620" s="213" t="s">
        <v>170</v>
      </c>
      <c r="E620" s="213" t="s">
        <v>174</v>
      </c>
      <c r="F620" s="213"/>
      <c r="G620" s="27">
        <f>G621</f>
        <v>61206</v>
      </c>
      <c r="H620" s="27">
        <f>H621</f>
        <v>50384</v>
      </c>
      <c r="I620" s="27">
        <f aca="true" t="shared" si="634" ref="I620:L620">I621</f>
        <v>61206</v>
      </c>
      <c r="J620" s="27">
        <f t="shared" si="634"/>
        <v>61206</v>
      </c>
      <c r="K620" s="27">
        <f t="shared" si="634"/>
        <v>61206</v>
      </c>
      <c r="L620" s="27">
        <f t="shared" si="634"/>
        <v>61206</v>
      </c>
      <c r="M620" s="27">
        <f aca="true" t="shared" si="635" ref="M620:N620">M621</f>
        <v>66941.6</v>
      </c>
      <c r="N620" s="27">
        <f t="shared" si="635"/>
        <v>36706</v>
      </c>
      <c r="O620" s="27">
        <f t="shared" si="603"/>
        <v>54.83286924722444</v>
      </c>
    </row>
    <row r="621" spans="1:15" ht="31.5">
      <c r="A621" s="26" t="s">
        <v>237</v>
      </c>
      <c r="B621" s="215">
        <v>906</v>
      </c>
      <c r="C621" s="213" t="s">
        <v>316</v>
      </c>
      <c r="D621" s="213" t="s">
        <v>170</v>
      </c>
      <c r="E621" s="213" t="s">
        <v>238</v>
      </c>
      <c r="F621" s="213"/>
      <c r="G621" s="27">
        <f aca="true" t="shared" si="636" ref="G621:L621">G622+G625+G628+G631+G634+G637</f>
        <v>61206</v>
      </c>
      <c r="H621" s="27">
        <f t="shared" si="636"/>
        <v>50384</v>
      </c>
      <c r="I621" s="27">
        <f t="shared" si="636"/>
        <v>61206</v>
      </c>
      <c r="J621" s="27">
        <f t="shared" si="636"/>
        <v>61206</v>
      </c>
      <c r="K621" s="27">
        <f t="shared" si="636"/>
        <v>61206</v>
      </c>
      <c r="L621" s="27">
        <f t="shared" si="636"/>
        <v>61206</v>
      </c>
      <c r="M621" s="27">
        <f aca="true" t="shared" si="637" ref="M621:N621">M622+M625+M628+M631+M634+M637</f>
        <v>66941.6</v>
      </c>
      <c r="N621" s="27">
        <f t="shared" si="637"/>
        <v>36706</v>
      </c>
      <c r="O621" s="27">
        <f t="shared" si="603"/>
        <v>54.83286924722444</v>
      </c>
    </row>
    <row r="622" spans="1:15" ht="31.5" customHeight="1" hidden="1">
      <c r="A622" s="26" t="s">
        <v>471</v>
      </c>
      <c r="B622" s="215">
        <v>906</v>
      </c>
      <c r="C622" s="213" t="s">
        <v>316</v>
      </c>
      <c r="D622" s="213" t="s">
        <v>170</v>
      </c>
      <c r="E622" s="213" t="s">
        <v>472</v>
      </c>
      <c r="F622" s="213"/>
      <c r="G622" s="27">
        <f aca="true" t="shared" si="638" ref="G622:L623">G623</f>
        <v>0</v>
      </c>
      <c r="H622" s="27">
        <f t="shared" si="638"/>
        <v>0</v>
      </c>
      <c r="I622" s="27">
        <f t="shared" si="638"/>
        <v>0</v>
      </c>
      <c r="J622" s="27">
        <f t="shared" si="638"/>
        <v>0</v>
      </c>
      <c r="K622" s="27">
        <f t="shared" si="638"/>
        <v>0</v>
      </c>
      <c r="L622" s="27">
        <f t="shared" si="638"/>
        <v>0</v>
      </c>
      <c r="M622" s="27">
        <f aca="true" t="shared" si="639" ref="M622:N623">M623</f>
        <v>0</v>
      </c>
      <c r="N622" s="27">
        <f t="shared" si="639"/>
        <v>0</v>
      </c>
      <c r="O622" s="27" t="e">
        <f t="shared" si="603"/>
        <v>#DIV/0!</v>
      </c>
    </row>
    <row r="623" spans="1:15" ht="47.25" customHeight="1" hidden="1">
      <c r="A623" s="26" t="s">
        <v>324</v>
      </c>
      <c r="B623" s="215">
        <v>906</v>
      </c>
      <c r="C623" s="213" t="s">
        <v>316</v>
      </c>
      <c r="D623" s="213" t="s">
        <v>170</v>
      </c>
      <c r="E623" s="213" t="s">
        <v>472</v>
      </c>
      <c r="F623" s="213" t="s">
        <v>325</v>
      </c>
      <c r="G623" s="27">
        <f t="shared" si="638"/>
        <v>0</v>
      </c>
      <c r="H623" s="27">
        <f t="shared" si="638"/>
        <v>0</v>
      </c>
      <c r="I623" s="27">
        <f t="shared" si="638"/>
        <v>0</v>
      </c>
      <c r="J623" s="27">
        <f t="shared" si="638"/>
        <v>0</v>
      </c>
      <c r="K623" s="27">
        <f t="shared" si="638"/>
        <v>0</v>
      </c>
      <c r="L623" s="27">
        <f t="shared" si="638"/>
        <v>0</v>
      </c>
      <c r="M623" s="27">
        <f t="shared" si="639"/>
        <v>0</v>
      </c>
      <c r="N623" s="27">
        <f t="shared" si="639"/>
        <v>0</v>
      </c>
      <c r="O623" s="27" t="e">
        <f t="shared" si="603"/>
        <v>#DIV/0!</v>
      </c>
    </row>
    <row r="624" spans="1:15" ht="15.75" customHeight="1" hidden="1">
      <c r="A624" s="26" t="s">
        <v>326</v>
      </c>
      <c r="B624" s="215">
        <v>906</v>
      </c>
      <c r="C624" s="213" t="s">
        <v>316</v>
      </c>
      <c r="D624" s="213" t="s">
        <v>170</v>
      </c>
      <c r="E624" s="213" t="s">
        <v>472</v>
      </c>
      <c r="F624" s="213" t="s">
        <v>327</v>
      </c>
      <c r="G624" s="27"/>
      <c r="H624" s="27"/>
      <c r="I624" s="27"/>
      <c r="J624" s="27"/>
      <c r="K624" s="27"/>
      <c r="L624" s="27"/>
      <c r="M624" s="27"/>
      <c r="N624" s="27"/>
      <c r="O624" s="27" t="e">
        <f t="shared" si="603"/>
        <v>#DIV/0!</v>
      </c>
    </row>
    <row r="625" spans="1:15" ht="63">
      <c r="A625" s="33" t="s">
        <v>341</v>
      </c>
      <c r="B625" s="215">
        <v>906</v>
      </c>
      <c r="C625" s="213" t="s">
        <v>316</v>
      </c>
      <c r="D625" s="213" t="s">
        <v>170</v>
      </c>
      <c r="E625" s="213" t="s">
        <v>342</v>
      </c>
      <c r="F625" s="213"/>
      <c r="G625" s="27">
        <f>G626</f>
        <v>310.2</v>
      </c>
      <c r="H625" s="27">
        <f>H626</f>
        <v>307.1</v>
      </c>
      <c r="I625" s="27">
        <f aca="true" t="shared" si="640" ref="I625:L625">I626</f>
        <v>310.2</v>
      </c>
      <c r="J625" s="27">
        <f t="shared" si="640"/>
        <v>310.2</v>
      </c>
      <c r="K625" s="27">
        <f t="shared" si="640"/>
        <v>310.2</v>
      </c>
      <c r="L625" s="27">
        <f t="shared" si="640"/>
        <v>310.2</v>
      </c>
      <c r="M625" s="27">
        <f aca="true" t="shared" si="641" ref="M625:N626">M626</f>
        <v>310.2</v>
      </c>
      <c r="N625" s="27">
        <f t="shared" si="641"/>
        <v>217.5</v>
      </c>
      <c r="O625" s="27">
        <f t="shared" si="603"/>
        <v>70.11605415860735</v>
      </c>
    </row>
    <row r="626" spans="1:15" ht="47.25">
      <c r="A626" s="26" t="s">
        <v>324</v>
      </c>
      <c r="B626" s="215">
        <v>906</v>
      </c>
      <c r="C626" s="213" t="s">
        <v>316</v>
      </c>
      <c r="D626" s="213" t="s">
        <v>170</v>
      </c>
      <c r="E626" s="213" t="s">
        <v>342</v>
      </c>
      <c r="F626" s="213" t="s">
        <v>325</v>
      </c>
      <c r="G626" s="27">
        <f aca="true" t="shared" si="642" ref="G626:L626">G627</f>
        <v>310.2</v>
      </c>
      <c r="H626" s="27">
        <f t="shared" si="642"/>
        <v>307.1</v>
      </c>
      <c r="I626" s="27">
        <f t="shared" si="642"/>
        <v>310.2</v>
      </c>
      <c r="J626" s="27">
        <f t="shared" si="642"/>
        <v>310.2</v>
      </c>
      <c r="K626" s="27">
        <f t="shared" si="642"/>
        <v>310.2</v>
      </c>
      <c r="L626" s="27">
        <f t="shared" si="642"/>
        <v>310.2</v>
      </c>
      <c r="M626" s="27">
        <f t="shared" si="641"/>
        <v>310.2</v>
      </c>
      <c r="N626" s="27">
        <f t="shared" si="641"/>
        <v>217.5</v>
      </c>
      <c r="O626" s="27">
        <f t="shared" si="603"/>
        <v>70.11605415860735</v>
      </c>
    </row>
    <row r="627" spans="1:15" ht="15.75">
      <c r="A627" s="26" t="s">
        <v>326</v>
      </c>
      <c r="B627" s="215">
        <v>906</v>
      </c>
      <c r="C627" s="213" t="s">
        <v>316</v>
      </c>
      <c r="D627" s="213" t="s">
        <v>170</v>
      </c>
      <c r="E627" s="213" t="s">
        <v>342</v>
      </c>
      <c r="F627" s="213" t="s">
        <v>327</v>
      </c>
      <c r="G627" s="27">
        <f>416.2-106</f>
        <v>310.2</v>
      </c>
      <c r="H627" s="27">
        <v>307.1</v>
      </c>
      <c r="I627" s="27">
        <f aca="true" t="shared" si="643" ref="I627:L627">416.2-106</f>
        <v>310.2</v>
      </c>
      <c r="J627" s="27">
        <f t="shared" si="643"/>
        <v>310.2</v>
      </c>
      <c r="K627" s="27">
        <f t="shared" si="643"/>
        <v>310.2</v>
      </c>
      <c r="L627" s="27">
        <f t="shared" si="643"/>
        <v>310.2</v>
      </c>
      <c r="M627" s="27">
        <f aca="true" t="shared" si="644" ref="M627">416.2-106</f>
        <v>310.2</v>
      </c>
      <c r="N627" s="27">
        <v>217.5</v>
      </c>
      <c r="O627" s="27">
        <f t="shared" si="603"/>
        <v>70.11605415860735</v>
      </c>
    </row>
    <row r="628" spans="1:15" ht="78.75">
      <c r="A628" s="33" t="s">
        <v>473</v>
      </c>
      <c r="B628" s="215">
        <v>906</v>
      </c>
      <c r="C628" s="213" t="s">
        <v>316</v>
      </c>
      <c r="D628" s="213" t="s">
        <v>170</v>
      </c>
      <c r="E628" s="213" t="s">
        <v>344</v>
      </c>
      <c r="F628" s="213"/>
      <c r="G628" s="27">
        <f aca="true" t="shared" si="645" ref="G628:L629">G629</f>
        <v>1696.8</v>
      </c>
      <c r="H628" s="27">
        <f t="shared" si="645"/>
        <v>1006.1</v>
      </c>
      <c r="I628" s="27">
        <f t="shared" si="645"/>
        <v>1696.8</v>
      </c>
      <c r="J628" s="27">
        <f t="shared" si="645"/>
        <v>1696.8</v>
      </c>
      <c r="K628" s="27">
        <f t="shared" si="645"/>
        <v>1696.8</v>
      </c>
      <c r="L628" s="27">
        <f t="shared" si="645"/>
        <v>1696.8</v>
      </c>
      <c r="M628" s="27">
        <f aca="true" t="shared" si="646" ref="M628:N629">M629</f>
        <v>1755.8</v>
      </c>
      <c r="N628" s="27">
        <f t="shared" si="646"/>
        <v>944.4</v>
      </c>
      <c r="O628" s="27">
        <f t="shared" si="603"/>
        <v>53.787447317462124</v>
      </c>
    </row>
    <row r="629" spans="1:15" ht="47.25">
      <c r="A629" s="26" t="s">
        <v>324</v>
      </c>
      <c r="B629" s="215">
        <v>906</v>
      </c>
      <c r="C629" s="213" t="s">
        <v>316</v>
      </c>
      <c r="D629" s="213" t="s">
        <v>170</v>
      </c>
      <c r="E629" s="213" t="s">
        <v>344</v>
      </c>
      <c r="F629" s="213" t="s">
        <v>325</v>
      </c>
      <c r="G629" s="27">
        <f>G630</f>
        <v>1696.8</v>
      </c>
      <c r="H629" s="27">
        <f>H630</f>
        <v>1006.1</v>
      </c>
      <c r="I629" s="27">
        <f t="shared" si="645"/>
        <v>1696.8</v>
      </c>
      <c r="J629" s="27">
        <f t="shared" si="645"/>
        <v>1696.8</v>
      </c>
      <c r="K629" s="27">
        <f t="shared" si="645"/>
        <v>1696.8</v>
      </c>
      <c r="L629" s="27">
        <f t="shared" si="645"/>
        <v>1696.8</v>
      </c>
      <c r="M629" s="27">
        <f t="shared" si="646"/>
        <v>1755.8</v>
      </c>
      <c r="N629" s="27">
        <f t="shared" si="646"/>
        <v>944.4</v>
      </c>
      <c r="O629" s="27">
        <f t="shared" si="603"/>
        <v>53.787447317462124</v>
      </c>
    </row>
    <row r="630" spans="1:15" ht="15.75">
      <c r="A630" s="26" t="s">
        <v>326</v>
      </c>
      <c r="B630" s="215">
        <v>906</v>
      </c>
      <c r="C630" s="213" t="s">
        <v>316</v>
      </c>
      <c r="D630" s="213" t="s">
        <v>170</v>
      </c>
      <c r="E630" s="213" t="s">
        <v>344</v>
      </c>
      <c r="F630" s="213" t="s">
        <v>327</v>
      </c>
      <c r="G630" s="27">
        <f>1900-203.2</f>
        <v>1696.8</v>
      </c>
      <c r="H630" s="27">
        <v>1006.1</v>
      </c>
      <c r="I630" s="27">
        <f aca="true" t="shared" si="647" ref="I630:L630">1900-203.2</f>
        <v>1696.8</v>
      </c>
      <c r="J630" s="27">
        <f t="shared" si="647"/>
        <v>1696.8</v>
      </c>
      <c r="K630" s="27">
        <f t="shared" si="647"/>
        <v>1696.8</v>
      </c>
      <c r="L630" s="27">
        <f t="shared" si="647"/>
        <v>1696.8</v>
      </c>
      <c r="M630" s="27">
        <f>1900-203.2+59</f>
        <v>1755.8</v>
      </c>
      <c r="N630" s="27">
        <v>944.4</v>
      </c>
      <c r="O630" s="27">
        <f t="shared" si="603"/>
        <v>53.787447317462124</v>
      </c>
    </row>
    <row r="631" spans="1:15" ht="94.5">
      <c r="A631" s="33" t="s">
        <v>474</v>
      </c>
      <c r="B631" s="215">
        <v>906</v>
      </c>
      <c r="C631" s="213" t="s">
        <v>316</v>
      </c>
      <c r="D631" s="213" t="s">
        <v>170</v>
      </c>
      <c r="E631" s="213" t="s">
        <v>475</v>
      </c>
      <c r="F631" s="213"/>
      <c r="G631" s="27">
        <f>G632</f>
        <v>56320</v>
      </c>
      <c r="H631" s="27">
        <f>H632</f>
        <v>46863</v>
      </c>
      <c r="I631" s="27">
        <f aca="true" t="shared" si="648" ref="I631:L631">I632</f>
        <v>56320</v>
      </c>
      <c r="J631" s="27">
        <f t="shared" si="648"/>
        <v>56320</v>
      </c>
      <c r="K631" s="27">
        <f t="shared" si="648"/>
        <v>56320</v>
      </c>
      <c r="L631" s="27">
        <f t="shared" si="648"/>
        <v>56320</v>
      </c>
      <c r="M631" s="27">
        <f aca="true" t="shared" si="649" ref="M631:N632">M632</f>
        <v>62045.6</v>
      </c>
      <c r="N631" s="27">
        <f t="shared" si="649"/>
        <v>34021</v>
      </c>
      <c r="O631" s="27">
        <f t="shared" si="603"/>
        <v>54.832252407906445</v>
      </c>
    </row>
    <row r="632" spans="1:15" ht="47.25">
      <c r="A632" s="26" t="s">
        <v>324</v>
      </c>
      <c r="B632" s="215">
        <v>906</v>
      </c>
      <c r="C632" s="213" t="s">
        <v>316</v>
      </c>
      <c r="D632" s="213" t="s">
        <v>170</v>
      </c>
      <c r="E632" s="213" t="s">
        <v>475</v>
      </c>
      <c r="F632" s="213" t="s">
        <v>325</v>
      </c>
      <c r="G632" s="27">
        <f aca="true" t="shared" si="650" ref="G632:L632">G633</f>
        <v>56320</v>
      </c>
      <c r="H632" s="27">
        <f t="shared" si="650"/>
        <v>46863</v>
      </c>
      <c r="I632" s="27">
        <f t="shared" si="650"/>
        <v>56320</v>
      </c>
      <c r="J632" s="27">
        <f t="shared" si="650"/>
        <v>56320</v>
      </c>
      <c r="K632" s="27">
        <f t="shared" si="650"/>
        <v>56320</v>
      </c>
      <c r="L632" s="27">
        <f t="shared" si="650"/>
        <v>56320</v>
      </c>
      <c r="M632" s="27">
        <f t="shared" si="649"/>
        <v>62045.6</v>
      </c>
      <c r="N632" s="27">
        <f t="shared" si="649"/>
        <v>34021</v>
      </c>
      <c r="O632" s="27">
        <f t="shared" si="603"/>
        <v>54.832252407906445</v>
      </c>
    </row>
    <row r="633" spans="1:15" ht="15.75">
      <c r="A633" s="26" t="s">
        <v>326</v>
      </c>
      <c r="B633" s="215">
        <v>906</v>
      </c>
      <c r="C633" s="213" t="s">
        <v>316</v>
      </c>
      <c r="D633" s="213" t="s">
        <v>170</v>
      </c>
      <c r="E633" s="213" t="s">
        <v>475</v>
      </c>
      <c r="F633" s="213" t="s">
        <v>327</v>
      </c>
      <c r="G633" s="28">
        <f>66162.2-7643.6-2198.6</f>
        <v>56320</v>
      </c>
      <c r="H633" s="28">
        <v>46863</v>
      </c>
      <c r="I633" s="28">
        <f aca="true" t="shared" si="651" ref="I633:L633">66162.2-7643.6-2198.6</f>
        <v>56320</v>
      </c>
      <c r="J633" s="28">
        <f t="shared" si="651"/>
        <v>56320</v>
      </c>
      <c r="K633" s="28">
        <f t="shared" si="651"/>
        <v>56320</v>
      </c>
      <c r="L633" s="28">
        <f t="shared" si="651"/>
        <v>56320</v>
      </c>
      <c r="M633" s="28">
        <f>'прил.№1 доходы'!I129</f>
        <v>62045.6</v>
      </c>
      <c r="N633" s="28">
        <v>34021</v>
      </c>
      <c r="O633" s="27">
        <f t="shared" si="603"/>
        <v>54.832252407906445</v>
      </c>
    </row>
    <row r="634" spans="1:15" ht="110.25">
      <c r="A634" s="33" t="s">
        <v>345</v>
      </c>
      <c r="B634" s="215">
        <v>906</v>
      </c>
      <c r="C634" s="213" t="s">
        <v>316</v>
      </c>
      <c r="D634" s="213" t="s">
        <v>170</v>
      </c>
      <c r="E634" s="213" t="s">
        <v>346</v>
      </c>
      <c r="F634" s="213"/>
      <c r="G634" s="27">
        <f aca="true" t="shared" si="652" ref="G634:L635">G635</f>
        <v>2879</v>
      </c>
      <c r="H634" s="27">
        <f t="shared" si="652"/>
        <v>2207.8</v>
      </c>
      <c r="I634" s="27">
        <f t="shared" si="652"/>
        <v>2879</v>
      </c>
      <c r="J634" s="27">
        <f t="shared" si="652"/>
        <v>2879</v>
      </c>
      <c r="K634" s="27">
        <f t="shared" si="652"/>
        <v>2879</v>
      </c>
      <c r="L634" s="27">
        <f t="shared" si="652"/>
        <v>2879</v>
      </c>
      <c r="M634" s="27">
        <f aca="true" t="shared" si="653" ref="M634:N635">M635</f>
        <v>2830</v>
      </c>
      <c r="N634" s="27">
        <f t="shared" si="653"/>
        <v>1523.1</v>
      </c>
      <c r="O634" s="27">
        <f t="shared" si="603"/>
        <v>53.819787985865716</v>
      </c>
    </row>
    <row r="635" spans="1:15" ht="47.25">
      <c r="A635" s="26" t="s">
        <v>324</v>
      </c>
      <c r="B635" s="215">
        <v>906</v>
      </c>
      <c r="C635" s="213" t="s">
        <v>316</v>
      </c>
      <c r="D635" s="213" t="s">
        <v>170</v>
      </c>
      <c r="E635" s="213" t="s">
        <v>346</v>
      </c>
      <c r="F635" s="213" t="s">
        <v>325</v>
      </c>
      <c r="G635" s="27">
        <f>G636</f>
        <v>2879</v>
      </c>
      <c r="H635" s="27">
        <f>H636</f>
        <v>2207.8</v>
      </c>
      <c r="I635" s="27">
        <f t="shared" si="652"/>
        <v>2879</v>
      </c>
      <c r="J635" s="27">
        <f t="shared" si="652"/>
        <v>2879</v>
      </c>
      <c r="K635" s="27">
        <f t="shared" si="652"/>
        <v>2879</v>
      </c>
      <c r="L635" s="27">
        <f t="shared" si="652"/>
        <v>2879</v>
      </c>
      <c r="M635" s="27">
        <f t="shared" si="653"/>
        <v>2830</v>
      </c>
      <c r="N635" s="27">
        <f t="shared" si="653"/>
        <v>1523.1</v>
      </c>
      <c r="O635" s="27">
        <f t="shared" si="603"/>
        <v>53.819787985865716</v>
      </c>
    </row>
    <row r="636" spans="1:15" ht="15.75">
      <c r="A636" s="26" t="s">
        <v>326</v>
      </c>
      <c r="B636" s="215">
        <v>906</v>
      </c>
      <c r="C636" s="213" t="s">
        <v>316</v>
      </c>
      <c r="D636" s="213" t="s">
        <v>170</v>
      </c>
      <c r="E636" s="213" t="s">
        <v>346</v>
      </c>
      <c r="F636" s="213" t="s">
        <v>327</v>
      </c>
      <c r="G636" s="28">
        <f>2937.2-58.2</f>
        <v>2879</v>
      </c>
      <c r="H636" s="28">
        <v>2207.8</v>
      </c>
      <c r="I636" s="28">
        <f aca="true" t="shared" si="654" ref="I636:L636">2937.2-58.2</f>
        <v>2879</v>
      </c>
      <c r="J636" s="28">
        <f t="shared" si="654"/>
        <v>2879</v>
      </c>
      <c r="K636" s="28">
        <f t="shared" si="654"/>
        <v>2879</v>
      </c>
      <c r="L636" s="28">
        <f t="shared" si="654"/>
        <v>2879</v>
      </c>
      <c r="M636" s="28">
        <f>2937.2-58.2-49</f>
        <v>2830</v>
      </c>
      <c r="N636" s="28">
        <v>1523.1</v>
      </c>
      <c r="O636" s="27">
        <f t="shared" si="603"/>
        <v>53.819787985865716</v>
      </c>
    </row>
    <row r="637" spans="1:15" ht="157.5" customHeight="1" hidden="1">
      <c r="A637" s="26" t="s">
        <v>476</v>
      </c>
      <c r="B637" s="215">
        <v>906</v>
      </c>
      <c r="C637" s="213" t="s">
        <v>316</v>
      </c>
      <c r="D637" s="213" t="s">
        <v>170</v>
      </c>
      <c r="E637" s="213" t="s">
        <v>477</v>
      </c>
      <c r="F637" s="213"/>
      <c r="G637" s="28">
        <f aca="true" t="shared" si="655" ref="G637:L638">G638</f>
        <v>0</v>
      </c>
      <c r="H637" s="28">
        <f t="shared" si="655"/>
        <v>0</v>
      </c>
      <c r="I637" s="28">
        <f t="shared" si="655"/>
        <v>0</v>
      </c>
      <c r="J637" s="28">
        <f t="shared" si="655"/>
        <v>0</v>
      </c>
      <c r="K637" s="28">
        <f t="shared" si="655"/>
        <v>0</v>
      </c>
      <c r="L637" s="28">
        <f t="shared" si="655"/>
        <v>0</v>
      </c>
      <c r="M637" s="28">
        <f aca="true" t="shared" si="656" ref="M637:N638">M638</f>
        <v>0</v>
      </c>
      <c r="N637" s="28">
        <f t="shared" si="656"/>
        <v>0</v>
      </c>
      <c r="O637" s="22" t="e">
        <f t="shared" si="603"/>
        <v>#DIV/0!</v>
      </c>
    </row>
    <row r="638" spans="1:15" ht="47.25" customHeight="1" hidden="1">
      <c r="A638" s="26" t="s">
        <v>324</v>
      </c>
      <c r="B638" s="215">
        <v>906</v>
      </c>
      <c r="C638" s="213" t="s">
        <v>316</v>
      </c>
      <c r="D638" s="213" t="s">
        <v>170</v>
      </c>
      <c r="E638" s="213" t="s">
        <v>477</v>
      </c>
      <c r="F638" s="213" t="s">
        <v>325</v>
      </c>
      <c r="G638" s="28">
        <f t="shared" si="655"/>
        <v>0</v>
      </c>
      <c r="H638" s="28">
        <f t="shared" si="655"/>
        <v>0</v>
      </c>
      <c r="I638" s="28">
        <f t="shared" si="655"/>
        <v>0</v>
      </c>
      <c r="J638" s="28">
        <f t="shared" si="655"/>
        <v>0</v>
      </c>
      <c r="K638" s="28">
        <f t="shared" si="655"/>
        <v>0</v>
      </c>
      <c r="L638" s="28">
        <f t="shared" si="655"/>
        <v>0</v>
      </c>
      <c r="M638" s="28">
        <f t="shared" si="656"/>
        <v>0</v>
      </c>
      <c r="N638" s="28">
        <f t="shared" si="656"/>
        <v>0</v>
      </c>
      <c r="O638" s="22" t="e">
        <f t="shared" si="603"/>
        <v>#DIV/0!</v>
      </c>
    </row>
    <row r="639" spans="1:15" ht="15.75" customHeight="1" hidden="1">
      <c r="A639" s="26" t="s">
        <v>326</v>
      </c>
      <c r="B639" s="215">
        <v>906</v>
      </c>
      <c r="C639" s="213" t="s">
        <v>316</v>
      </c>
      <c r="D639" s="213" t="s">
        <v>170</v>
      </c>
      <c r="E639" s="213" t="s">
        <v>477</v>
      </c>
      <c r="F639" s="213" t="s">
        <v>327</v>
      </c>
      <c r="G639" s="28">
        <f>276.5-276.5</f>
        <v>0</v>
      </c>
      <c r="H639" s="28">
        <f>276.5-276.5</f>
        <v>0</v>
      </c>
      <c r="I639" s="28">
        <f aca="true" t="shared" si="657" ref="I639:L639">276.5-276.5</f>
        <v>0</v>
      </c>
      <c r="J639" s="28">
        <f t="shared" si="657"/>
        <v>0</v>
      </c>
      <c r="K639" s="28">
        <f t="shared" si="657"/>
        <v>0</v>
      </c>
      <c r="L639" s="28">
        <f t="shared" si="657"/>
        <v>0</v>
      </c>
      <c r="M639" s="28">
        <f aca="true" t="shared" si="658" ref="M639:N639">276.5-276.5</f>
        <v>0</v>
      </c>
      <c r="N639" s="28">
        <f t="shared" si="658"/>
        <v>0</v>
      </c>
      <c r="O639" s="22" t="e">
        <f t="shared" si="603"/>
        <v>#DIV/0!</v>
      </c>
    </row>
    <row r="640" spans="1:15" ht="15.75">
      <c r="A640" s="24" t="s">
        <v>478</v>
      </c>
      <c r="B640" s="212">
        <v>906</v>
      </c>
      <c r="C640" s="214" t="s">
        <v>316</v>
      </c>
      <c r="D640" s="214" t="s">
        <v>265</v>
      </c>
      <c r="E640" s="214"/>
      <c r="F640" s="214"/>
      <c r="G640" s="22">
        <f>G641+G677</f>
        <v>130684.4</v>
      </c>
      <c r="H640" s="22">
        <f aca="true" t="shared" si="659" ref="H640:L640">H641+H677</f>
        <v>101157.87999999999</v>
      </c>
      <c r="I640" s="22">
        <f t="shared" si="659"/>
        <v>129899.26666666666</v>
      </c>
      <c r="J640" s="22">
        <f t="shared" si="659"/>
        <v>135586.4</v>
      </c>
      <c r="K640" s="22">
        <f t="shared" si="659"/>
        <v>132510.3</v>
      </c>
      <c r="L640" s="22">
        <f t="shared" si="659"/>
        <v>131125.7</v>
      </c>
      <c r="M640" s="22">
        <f aca="true" t="shared" si="660" ref="M640:N640">M641+M677</f>
        <v>127073.4</v>
      </c>
      <c r="N640" s="22">
        <f t="shared" si="660"/>
        <v>89327.3</v>
      </c>
      <c r="O640" s="22">
        <f t="shared" si="603"/>
        <v>70.29582902479984</v>
      </c>
    </row>
    <row r="641" spans="1:15" ht="47.25">
      <c r="A641" s="26" t="s">
        <v>479</v>
      </c>
      <c r="B641" s="215">
        <v>906</v>
      </c>
      <c r="C641" s="213" t="s">
        <v>316</v>
      </c>
      <c r="D641" s="213" t="s">
        <v>265</v>
      </c>
      <c r="E641" s="213" t="s">
        <v>459</v>
      </c>
      <c r="F641" s="213"/>
      <c r="G641" s="27">
        <f>G642+G646</f>
        <v>40826.6</v>
      </c>
      <c r="H641" s="27">
        <f>H642+H646</f>
        <v>27971.7</v>
      </c>
      <c r="I641" s="27">
        <f aca="true" t="shared" si="661" ref="I641:L641">I642+I646</f>
        <v>40041.46666666667</v>
      </c>
      <c r="J641" s="27">
        <f t="shared" si="661"/>
        <v>45728.6</v>
      </c>
      <c r="K641" s="27">
        <f t="shared" si="661"/>
        <v>42652.5</v>
      </c>
      <c r="L641" s="27">
        <f t="shared" si="661"/>
        <v>41267.9</v>
      </c>
      <c r="M641" s="27">
        <f aca="true" t="shared" si="662" ref="M641:N641">M642+M646</f>
        <v>37506.2</v>
      </c>
      <c r="N641" s="27">
        <f t="shared" si="662"/>
        <v>25060.5</v>
      </c>
      <c r="O641" s="27">
        <f t="shared" si="603"/>
        <v>66.81695293044883</v>
      </c>
    </row>
    <row r="642" spans="1:15" ht="37.5" customHeight="1">
      <c r="A642" s="26" t="s">
        <v>460</v>
      </c>
      <c r="B642" s="215">
        <v>906</v>
      </c>
      <c r="C642" s="213" t="s">
        <v>316</v>
      </c>
      <c r="D642" s="213" t="s">
        <v>265</v>
      </c>
      <c r="E642" s="213" t="s">
        <v>461</v>
      </c>
      <c r="F642" s="213"/>
      <c r="G642" s="27">
        <f>G643</f>
        <v>34151.2</v>
      </c>
      <c r="H642" s="27">
        <f>H643</f>
        <v>24800</v>
      </c>
      <c r="I642" s="27">
        <f aca="true" t="shared" si="663" ref="I642:L642">I643</f>
        <v>33366.1</v>
      </c>
      <c r="J642" s="27">
        <f t="shared" si="663"/>
        <v>29080.8</v>
      </c>
      <c r="K642" s="27">
        <f t="shared" si="663"/>
        <v>30905.8</v>
      </c>
      <c r="L642" s="27">
        <f t="shared" si="663"/>
        <v>32021.2</v>
      </c>
      <c r="M642" s="27">
        <f aca="true" t="shared" si="664" ref="M642:N644">M643</f>
        <v>30676.3</v>
      </c>
      <c r="N642" s="27">
        <f t="shared" si="664"/>
        <v>20114</v>
      </c>
      <c r="O642" s="27">
        <f t="shared" si="603"/>
        <v>65.56853336288927</v>
      </c>
    </row>
    <row r="643" spans="1:15" ht="47.25">
      <c r="A643" s="26" t="s">
        <v>480</v>
      </c>
      <c r="B643" s="215">
        <v>906</v>
      </c>
      <c r="C643" s="213" t="s">
        <v>316</v>
      </c>
      <c r="D643" s="213" t="s">
        <v>265</v>
      </c>
      <c r="E643" s="213" t="s">
        <v>481</v>
      </c>
      <c r="F643" s="213"/>
      <c r="G643" s="27">
        <f aca="true" t="shared" si="665" ref="G643:L644">G644</f>
        <v>34151.2</v>
      </c>
      <c r="H643" s="27">
        <f t="shared" si="665"/>
        <v>24800</v>
      </c>
      <c r="I643" s="27">
        <f t="shared" si="665"/>
        <v>33366.1</v>
      </c>
      <c r="J643" s="27">
        <f t="shared" si="665"/>
        <v>29080.8</v>
      </c>
      <c r="K643" s="27">
        <f t="shared" si="665"/>
        <v>30905.8</v>
      </c>
      <c r="L643" s="27">
        <f t="shared" si="665"/>
        <v>32021.2</v>
      </c>
      <c r="M643" s="27">
        <f t="shared" si="664"/>
        <v>30676.3</v>
      </c>
      <c r="N643" s="27">
        <f t="shared" si="664"/>
        <v>20114</v>
      </c>
      <c r="O643" s="27">
        <f t="shared" si="603"/>
        <v>65.56853336288927</v>
      </c>
    </row>
    <row r="644" spans="1:15" ht="47.25">
      <c r="A644" s="26" t="s">
        <v>324</v>
      </c>
      <c r="B644" s="215">
        <v>906</v>
      </c>
      <c r="C644" s="213" t="s">
        <v>316</v>
      </c>
      <c r="D644" s="213" t="s">
        <v>265</v>
      </c>
      <c r="E644" s="213" t="s">
        <v>481</v>
      </c>
      <c r="F644" s="213" t="s">
        <v>325</v>
      </c>
      <c r="G644" s="27">
        <f>G645</f>
        <v>34151.2</v>
      </c>
      <c r="H644" s="27">
        <f>H645</f>
        <v>24800</v>
      </c>
      <c r="I644" s="27">
        <f t="shared" si="665"/>
        <v>33366.1</v>
      </c>
      <c r="J644" s="27">
        <f t="shared" si="665"/>
        <v>29080.8</v>
      </c>
      <c r="K644" s="27">
        <f t="shared" si="665"/>
        <v>30905.8</v>
      </c>
      <c r="L644" s="27">
        <f t="shared" si="665"/>
        <v>32021.2</v>
      </c>
      <c r="M644" s="27">
        <f t="shared" si="664"/>
        <v>30676.3</v>
      </c>
      <c r="N644" s="27">
        <f t="shared" si="664"/>
        <v>20114</v>
      </c>
      <c r="O644" s="27">
        <f t="shared" si="603"/>
        <v>65.56853336288927</v>
      </c>
    </row>
    <row r="645" spans="1:15" ht="15.75">
      <c r="A645" s="26" t="s">
        <v>326</v>
      </c>
      <c r="B645" s="215">
        <v>906</v>
      </c>
      <c r="C645" s="213" t="s">
        <v>316</v>
      </c>
      <c r="D645" s="213" t="s">
        <v>265</v>
      </c>
      <c r="E645" s="213" t="s">
        <v>481</v>
      </c>
      <c r="F645" s="213" t="s">
        <v>327</v>
      </c>
      <c r="G645" s="28">
        <f>21817.5+13206.2-481.7+562.6-953.4</f>
        <v>34151.2</v>
      </c>
      <c r="H645" s="28">
        <v>24800</v>
      </c>
      <c r="I645" s="28">
        <v>33366.1</v>
      </c>
      <c r="J645" s="28">
        <v>29080.8</v>
      </c>
      <c r="K645" s="28">
        <v>30905.8</v>
      </c>
      <c r="L645" s="28">
        <v>32021.2</v>
      </c>
      <c r="M645" s="28">
        <f>31613.6-723.3-107-107</f>
        <v>30676.3</v>
      </c>
      <c r="N645" s="28">
        <v>20114</v>
      </c>
      <c r="O645" s="27">
        <f t="shared" si="603"/>
        <v>65.56853336288927</v>
      </c>
    </row>
    <row r="646" spans="1:15" ht="36" customHeight="1">
      <c r="A646" s="26" t="s">
        <v>483</v>
      </c>
      <c r="B646" s="215">
        <v>906</v>
      </c>
      <c r="C646" s="213" t="s">
        <v>316</v>
      </c>
      <c r="D646" s="213" t="s">
        <v>265</v>
      </c>
      <c r="E646" s="213" t="s">
        <v>484</v>
      </c>
      <c r="F646" s="213"/>
      <c r="G646" s="27">
        <f>G652+G668+G665+G671+G662+G647+G653+G656+G659+G674</f>
        <v>6675.4</v>
      </c>
      <c r="H646" s="27">
        <f aca="true" t="shared" si="666" ref="H646:L646">H652+H668+H665+H671+H662+H647+H653+H656+H659+H674</f>
        <v>3171.7</v>
      </c>
      <c r="I646" s="27">
        <f t="shared" si="666"/>
        <v>6675.366666666667</v>
      </c>
      <c r="J646" s="27">
        <f t="shared" si="666"/>
        <v>16647.8</v>
      </c>
      <c r="K646" s="27">
        <f t="shared" si="666"/>
        <v>11746.7</v>
      </c>
      <c r="L646" s="27">
        <f t="shared" si="666"/>
        <v>9246.7</v>
      </c>
      <c r="M646" s="27">
        <f>M652+M668+M665+M671+M662+M647+M653+M656+M659+M674</f>
        <v>6829.9</v>
      </c>
      <c r="N646" s="27">
        <f aca="true" t="shared" si="667" ref="N646">N652+N668+N665+N671+N662+N647+N653+N656+N659+N674</f>
        <v>4946.5</v>
      </c>
      <c r="O646" s="27">
        <f t="shared" si="603"/>
        <v>72.42419361923308</v>
      </c>
    </row>
    <row r="647" spans="1:15" ht="63" customHeight="1" hidden="1">
      <c r="A647" s="26" t="s">
        <v>485</v>
      </c>
      <c r="B647" s="215">
        <v>906</v>
      </c>
      <c r="C647" s="213" t="s">
        <v>316</v>
      </c>
      <c r="D647" s="213" t="s">
        <v>265</v>
      </c>
      <c r="E647" s="213" t="s">
        <v>486</v>
      </c>
      <c r="F647" s="213"/>
      <c r="G647" s="27">
        <f aca="true" t="shared" si="668" ref="G647:L648">G648</f>
        <v>0</v>
      </c>
      <c r="H647" s="27"/>
      <c r="I647" s="27">
        <f t="shared" si="668"/>
        <v>0</v>
      </c>
      <c r="J647" s="27">
        <f t="shared" si="668"/>
        <v>0</v>
      </c>
      <c r="K647" s="27">
        <f t="shared" si="668"/>
        <v>0</v>
      </c>
      <c r="L647" s="27">
        <f t="shared" si="668"/>
        <v>0</v>
      </c>
      <c r="M647" s="27">
        <f aca="true" t="shared" si="669" ref="M647:N648">M648</f>
        <v>0</v>
      </c>
      <c r="N647" s="27">
        <f t="shared" si="669"/>
        <v>0</v>
      </c>
      <c r="O647" s="27" t="e">
        <f t="shared" si="603"/>
        <v>#DIV/0!</v>
      </c>
    </row>
    <row r="648" spans="1:15" ht="47.25" customHeight="1" hidden="1">
      <c r="A648" s="26" t="s">
        <v>324</v>
      </c>
      <c r="B648" s="215">
        <v>906</v>
      </c>
      <c r="C648" s="213" t="s">
        <v>316</v>
      </c>
      <c r="D648" s="213" t="s">
        <v>265</v>
      </c>
      <c r="E648" s="213" t="s">
        <v>486</v>
      </c>
      <c r="F648" s="213" t="s">
        <v>325</v>
      </c>
      <c r="G648" s="27">
        <f t="shared" si="668"/>
        <v>0</v>
      </c>
      <c r="H648" s="27"/>
      <c r="I648" s="27">
        <f t="shared" si="668"/>
        <v>0</v>
      </c>
      <c r="J648" s="27">
        <f t="shared" si="668"/>
        <v>0</v>
      </c>
      <c r="K648" s="27">
        <f t="shared" si="668"/>
        <v>0</v>
      </c>
      <c r="L648" s="27">
        <f t="shared" si="668"/>
        <v>0</v>
      </c>
      <c r="M648" s="27">
        <f t="shared" si="669"/>
        <v>0</v>
      </c>
      <c r="N648" s="27">
        <f t="shared" si="669"/>
        <v>0</v>
      </c>
      <c r="O648" s="27" t="e">
        <f t="shared" si="603"/>
        <v>#DIV/0!</v>
      </c>
    </row>
    <row r="649" spans="1:15" ht="15.75" customHeight="1" hidden="1">
      <c r="A649" s="26" t="s">
        <v>326</v>
      </c>
      <c r="B649" s="215">
        <v>906</v>
      </c>
      <c r="C649" s="213" t="s">
        <v>316</v>
      </c>
      <c r="D649" s="213" t="s">
        <v>265</v>
      </c>
      <c r="E649" s="213" t="s">
        <v>486</v>
      </c>
      <c r="F649" s="213" t="s">
        <v>327</v>
      </c>
      <c r="G649" s="27">
        <v>0</v>
      </c>
      <c r="H649" s="27"/>
      <c r="I649" s="27">
        <v>0</v>
      </c>
      <c r="J649" s="27">
        <v>0</v>
      </c>
      <c r="K649" s="27">
        <v>0</v>
      </c>
      <c r="L649" s="27">
        <v>0</v>
      </c>
      <c r="M649" s="27">
        <v>0</v>
      </c>
      <c r="N649" s="27">
        <v>0</v>
      </c>
      <c r="O649" s="27" t="e">
        <f t="shared" si="603"/>
        <v>#DIV/0!</v>
      </c>
    </row>
    <row r="650" spans="1:15" ht="48.75" customHeight="1" hidden="1">
      <c r="A650" s="26" t="s">
        <v>487</v>
      </c>
      <c r="B650" s="215">
        <v>906</v>
      </c>
      <c r="C650" s="213" t="s">
        <v>316</v>
      </c>
      <c r="D650" s="213" t="s">
        <v>265</v>
      </c>
      <c r="E650" s="213" t="s">
        <v>488</v>
      </c>
      <c r="F650" s="213"/>
      <c r="G650" s="27">
        <f aca="true" t="shared" si="670" ref="G650:L651">G651</f>
        <v>0</v>
      </c>
      <c r="H650" s="27"/>
      <c r="I650" s="27">
        <f t="shared" si="670"/>
        <v>0</v>
      </c>
      <c r="J650" s="27">
        <f t="shared" si="670"/>
        <v>0</v>
      </c>
      <c r="K650" s="27">
        <f t="shared" si="670"/>
        <v>0</v>
      </c>
      <c r="L650" s="27">
        <f t="shared" si="670"/>
        <v>0</v>
      </c>
      <c r="M650" s="27">
        <f aca="true" t="shared" si="671" ref="M650:N651">M651</f>
        <v>0</v>
      </c>
      <c r="N650" s="27">
        <f t="shared" si="671"/>
        <v>0</v>
      </c>
      <c r="O650" s="27" t="e">
        <f t="shared" si="603"/>
        <v>#DIV/0!</v>
      </c>
    </row>
    <row r="651" spans="1:15" ht="47.25" customHeight="1" hidden="1">
      <c r="A651" s="26" t="s">
        <v>324</v>
      </c>
      <c r="B651" s="215">
        <v>906</v>
      </c>
      <c r="C651" s="213" t="s">
        <v>316</v>
      </c>
      <c r="D651" s="213" t="s">
        <v>265</v>
      </c>
      <c r="E651" s="213" t="s">
        <v>488</v>
      </c>
      <c r="F651" s="213" t="s">
        <v>325</v>
      </c>
      <c r="G651" s="27">
        <f t="shared" si="670"/>
        <v>0</v>
      </c>
      <c r="H651" s="27"/>
      <c r="I651" s="27">
        <f t="shared" si="670"/>
        <v>0</v>
      </c>
      <c r="J651" s="27">
        <f t="shared" si="670"/>
        <v>0</v>
      </c>
      <c r="K651" s="27">
        <f t="shared" si="670"/>
        <v>0</v>
      </c>
      <c r="L651" s="27">
        <f t="shared" si="670"/>
        <v>0</v>
      </c>
      <c r="M651" s="27">
        <f t="shared" si="671"/>
        <v>0</v>
      </c>
      <c r="N651" s="27">
        <f t="shared" si="671"/>
        <v>0</v>
      </c>
      <c r="O651" s="27" t="e">
        <f t="shared" si="603"/>
        <v>#DIV/0!</v>
      </c>
    </row>
    <row r="652" spans="1:15" ht="15.75" customHeight="1" hidden="1">
      <c r="A652" s="26" t="s">
        <v>326</v>
      </c>
      <c r="B652" s="215">
        <v>906</v>
      </c>
      <c r="C652" s="213" t="s">
        <v>316</v>
      </c>
      <c r="D652" s="213" t="s">
        <v>265</v>
      </c>
      <c r="E652" s="213" t="s">
        <v>488</v>
      </c>
      <c r="F652" s="213" t="s">
        <v>327</v>
      </c>
      <c r="G652" s="27">
        <v>0</v>
      </c>
      <c r="H652" s="27"/>
      <c r="I652" s="27">
        <v>0</v>
      </c>
      <c r="J652" s="27">
        <v>0</v>
      </c>
      <c r="K652" s="27">
        <v>0</v>
      </c>
      <c r="L652" s="27">
        <v>0</v>
      </c>
      <c r="M652" s="27">
        <v>0</v>
      </c>
      <c r="N652" s="27">
        <v>0</v>
      </c>
      <c r="O652" s="27" t="e">
        <f t="shared" si="603"/>
        <v>#DIV/0!</v>
      </c>
    </row>
    <row r="653" spans="1:15" ht="50.25" customHeight="1">
      <c r="A653" s="26" t="s">
        <v>489</v>
      </c>
      <c r="B653" s="215">
        <v>906</v>
      </c>
      <c r="C653" s="213" t="s">
        <v>316</v>
      </c>
      <c r="D653" s="213" t="s">
        <v>265</v>
      </c>
      <c r="E653" s="213" t="s">
        <v>490</v>
      </c>
      <c r="F653" s="213"/>
      <c r="G653" s="27">
        <f>G654</f>
        <v>2690</v>
      </c>
      <c r="H653" s="27">
        <f>H654</f>
        <v>1655</v>
      </c>
      <c r="I653" s="27">
        <f aca="true" t="shared" si="672" ref="I653:L653">I654</f>
        <v>2206.6666666666665</v>
      </c>
      <c r="J653" s="27">
        <f t="shared" si="672"/>
        <v>2967.9</v>
      </c>
      <c r="K653" s="27">
        <f t="shared" si="672"/>
        <v>2967.9</v>
      </c>
      <c r="L653" s="27">
        <f t="shared" si="672"/>
        <v>2967.9</v>
      </c>
      <c r="M653" s="27">
        <f aca="true" t="shared" si="673" ref="M653:N654">M654</f>
        <v>2967.9</v>
      </c>
      <c r="N653" s="27">
        <f t="shared" si="673"/>
        <v>1548.5</v>
      </c>
      <c r="O653" s="27">
        <f aca="true" t="shared" si="674" ref="O653:O716">N653/M653*100</f>
        <v>52.17493850870986</v>
      </c>
    </row>
    <row r="654" spans="1:15" ht="47.25">
      <c r="A654" s="26" t="s">
        <v>324</v>
      </c>
      <c r="B654" s="215">
        <v>906</v>
      </c>
      <c r="C654" s="213" t="s">
        <v>316</v>
      </c>
      <c r="D654" s="213" t="s">
        <v>265</v>
      </c>
      <c r="E654" s="213" t="s">
        <v>490</v>
      </c>
      <c r="F654" s="213" t="s">
        <v>325</v>
      </c>
      <c r="G654" s="27">
        <f aca="true" t="shared" si="675" ref="G654:L654">G655</f>
        <v>2690</v>
      </c>
      <c r="H654" s="27">
        <f t="shared" si="675"/>
        <v>1655</v>
      </c>
      <c r="I654" s="27">
        <f t="shared" si="675"/>
        <v>2206.6666666666665</v>
      </c>
      <c r="J654" s="27">
        <f t="shared" si="675"/>
        <v>2967.9</v>
      </c>
      <c r="K654" s="27">
        <f t="shared" si="675"/>
        <v>2967.9</v>
      </c>
      <c r="L654" s="27">
        <f t="shared" si="675"/>
        <v>2967.9</v>
      </c>
      <c r="M654" s="27">
        <f t="shared" si="673"/>
        <v>2967.9</v>
      </c>
      <c r="N654" s="27">
        <f t="shared" si="673"/>
        <v>1548.5</v>
      </c>
      <c r="O654" s="27">
        <f t="shared" si="674"/>
        <v>52.17493850870986</v>
      </c>
    </row>
    <row r="655" spans="1:15" ht="15.75">
      <c r="A655" s="26" t="s">
        <v>326</v>
      </c>
      <c r="B655" s="215">
        <v>906</v>
      </c>
      <c r="C655" s="213" t="s">
        <v>316</v>
      </c>
      <c r="D655" s="213" t="s">
        <v>265</v>
      </c>
      <c r="E655" s="213" t="s">
        <v>490</v>
      </c>
      <c r="F655" s="213" t="s">
        <v>327</v>
      </c>
      <c r="G655" s="28">
        <f>3010-320</f>
        <v>2690</v>
      </c>
      <c r="H655" s="28">
        <v>1655</v>
      </c>
      <c r="I655" s="28">
        <f>H655/9*12</f>
        <v>2206.6666666666665</v>
      </c>
      <c r="J655" s="28">
        <f>3287.9-J658</f>
        <v>2967.9</v>
      </c>
      <c r="K655" s="28">
        <f>J655</f>
        <v>2967.9</v>
      </c>
      <c r="L655" s="28">
        <f>K655</f>
        <v>2967.9</v>
      </c>
      <c r="M655" s="28">
        <v>2967.9</v>
      </c>
      <c r="N655" s="28">
        <v>1548.5</v>
      </c>
      <c r="O655" s="27">
        <f t="shared" si="674"/>
        <v>52.17493850870986</v>
      </c>
    </row>
    <row r="656" spans="1:15" ht="63">
      <c r="A656" s="26" t="s">
        <v>491</v>
      </c>
      <c r="B656" s="215">
        <v>906</v>
      </c>
      <c r="C656" s="213" t="s">
        <v>316</v>
      </c>
      <c r="D656" s="213" t="s">
        <v>265</v>
      </c>
      <c r="E656" s="213" t="s">
        <v>492</v>
      </c>
      <c r="F656" s="213"/>
      <c r="G656" s="27">
        <f aca="true" t="shared" si="676" ref="G656:L657">G657</f>
        <v>320</v>
      </c>
      <c r="H656" s="27">
        <f t="shared" si="676"/>
        <v>320</v>
      </c>
      <c r="I656" s="27">
        <f t="shared" si="676"/>
        <v>803.3</v>
      </c>
      <c r="J656" s="27">
        <f t="shared" si="676"/>
        <v>320</v>
      </c>
      <c r="K656" s="27">
        <f t="shared" si="676"/>
        <v>320</v>
      </c>
      <c r="L656" s="27">
        <f t="shared" si="676"/>
        <v>320</v>
      </c>
      <c r="M656" s="27">
        <f aca="true" t="shared" si="677" ref="M656:N657">M657</f>
        <v>320</v>
      </c>
      <c r="N656" s="27">
        <f t="shared" si="677"/>
        <v>279.3</v>
      </c>
      <c r="O656" s="27">
        <f t="shared" si="674"/>
        <v>87.28125</v>
      </c>
    </row>
    <row r="657" spans="1:15" ht="47.25">
      <c r="A657" s="26" t="s">
        <v>324</v>
      </c>
      <c r="B657" s="215">
        <v>906</v>
      </c>
      <c r="C657" s="213" t="s">
        <v>316</v>
      </c>
      <c r="D657" s="213" t="s">
        <v>265</v>
      </c>
      <c r="E657" s="213" t="s">
        <v>492</v>
      </c>
      <c r="F657" s="213" t="s">
        <v>325</v>
      </c>
      <c r="G657" s="27">
        <f>G658</f>
        <v>320</v>
      </c>
      <c r="H657" s="27">
        <f>H658</f>
        <v>320</v>
      </c>
      <c r="I657" s="27">
        <f t="shared" si="676"/>
        <v>803.3</v>
      </c>
      <c r="J657" s="27">
        <f t="shared" si="676"/>
        <v>320</v>
      </c>
      <c r="K657" s="27">
        <f t="shared" si="676"/>
        <v>320</v>
      </c>
      <c r="L657" s="27">
        <f t="shared" si="676"/>
        <v>320</v>
      </c>
      <c r="M657" s="27">
        <f t="shared" si="677"/>
        <v>320</v>
      </c>
      <c r="N657" s="27">
        <f t="shared" si="677"/>
        <v>279.3</v>
      </c>
      <c r="O657" s="27">
        <f t="shared" si="674"/>
        <v>87.28125</v>
      </c>
    </row>
    <row r="658" spans="1:15" ht="15.75">
      <c r="A658" s="26" t="s">
        <v>326</v>
      </c>
      <c r="B658" s="215">
        <v>906</v>
      </c>
      <c r="C658" s="213" t="s">
        <v>316</v>
      </c>
      <c r="D658" s="213" t="s">
        <v>265</v>
      </c>
      <c r="E658" s="213" t="s">
        <v>492</v>
      </c>
      <c r="F658" s="213" t="s">
        <v>327</v>
      </c>
      <c r="G658" s="27">
        <v>320</v>
      </c>
      <c r="H658" s="27">
        <v>320</v>
      </c>
      <c r="I658" s="27">
        <f>320+483.3</f>
        <v>803.3</v>
      </c>
      <c r="J658" s="27">
        <v>320</v>
      </c>
      <c r="K658" s="27">
        <v>320</v>
      </c>
      <c r="L658" s="27">
        <v>320</v>
      </c>
      <c r="M658" s="27">
        <v>320</v>
      </c>
      <c r="N658" s="27">
        <v>279.3</v>
      </c>
      <c r="O658" s="27">
        <f t="shared" si="674"/>
        <v>87.28125</v>
      </c>
    </row>
    <row r="659" spans="1:15" ht="47.25" customHeight="1">
      <c r="A659" s="26" t="s">
        <v>493</v>
      </c>
      <c r="B659" s="215">
        <v>906</v>
      </c>
      <c r="C659" s="213" t="s">
        <v>316</v>
      </c>
      <c r="D659" s="213" t="s">
        <v>265</v>
      </c>
      <c r="E659" s="213" t="s">
        <v>494</v>
      </c>
      <c r="F659" s="213"/>
      <c r="G659" s="27">
        <f aca="true" t="shared" si="678" ref="G659:L660">G660</f>
        <v>0</v>
      </c>
      <c r="H659" s="27">
        <f t="shared" si="678"/>
        <v>0</v>
      </c>
      <c r="I659" s="27">
        <f t="shared" si="678"/>
        <v>0</v>
      </c>
      <c r="J659" s="27">
        <f t="shared" si="678"/>
        <v>0</v>
      </c>
      <c r="K659" s="27">
        <f t="shared" si="678"/>
        <v>0</v>
      </c>
      <c r="L659" s="27">
        <f t="shared" si="678"/>
        <v>0</v>
      </c>
      <c r="M659" s="27">
        <f>M660</f>
        <v>321</v>
      </c>
      <c r="N659" s="27">
        <f aca="true" t="shared" si="679" ref="N659:N660">N660</f>
        <v>107</v>
      </c>
      <c r="O659" s="27">
        <f t="shared" si="674"/>
        <v>33.33333333333333</v>
      </c>
    </row>
    <row r="660" spans="1:15" ht="47.25" customHeight="1">
      <c r="A660" s="26" t="s">
        <v>324</v>
      </c>
      <c r="B660" s="215">
        <v>906</v>
      </c>
      <c r="C660" s="213" t="s">
        <v>316</v>
      </c>
      <c r="D660" s="213" t="s">
        <v>265</v>
      </c>
      <c r="E660" s="213" t="s">
        <v>494</v>
      </c>
      <c r="F660" s="213" t="s">
        <v>325</v>
      </c>
      <c r="G660" s="27">
        <f t="shared" si="678"/>
        <v>0</v>
      </c>
      <c r="H660" s="27">
        <f t="shared" si="678"/>
        <v>0</v>
      </c>
      <c r="I660" s="27">
        <f t="shared" si="678"/>
        <v>0</v>
      </c>
      <c r="J660" s="27">
        <f t="shared" si="678"/>
        <v>0</v>
      </c>
      <c r="K660" s="27">
        <f t="shared" si="678"/>
        <v>0</v>
      </c>
      <c r="L660" s="27">
        <f t="shared" si="678"/>
        <v>0</v>
      </c>
      <c r="M660" s="27">
        <f>M661</f>
        <v>321</v>
      </c>
      <c r="N660" s="27">
        <f t="shared" si="679"/>
        <v>107</v>
      </c>
      <c r="O660" s="27">
        <f t="shared" si="674"/>
        <v>33.33333333333333</v>
      </c>
    </row>
    <row r="661" spans="1:15" ht="15.75" customHeight="1">
      <c r="A661" s="26" t="s">
        <v>326</v>
      </c>
      <c r="B661" s="215">
        <v>906</v>
      </c>
      <c r="C661" s="213" t="s">
        <v>316</v>
      </c>
      <c r="D661" s="213" t="s">
        <v>265</v>
      </c>
      <c r="E661" s="213" t="s">
        <v>494</v>
      </c>
      <c r="F661" s="213" t="s">
        <v>327</v>
      </c>
      <c r="G661" s="27">
        <v>0</v>
      </c>
      <c r="H661" s="27">
        <v>0</v>
      </c>
      <c r="I661" s="27">
        <v>0</v>
      </c>
      <c r="J661" s="27">
        <v>0</v>
      </c>
      <c r="K661" s="27">
        <v>0</v>
      </c>
      <c r="L661" s="27">
        <v>0</v>
      </c>
      <c r="M661" s="27">
        <f>72+35+107+107</f>
        <v>321</v>
      </c>
      <c r="N661" s="27">
        <v>107</v>
      </c>
      <c r="O661" s="27">
        <f t="shared" si="674"/>
        <v>33.33333333333333</v>
      </c>
    </row>
    <row r="662" spans="1:15" ht="47.25">
      <c r="A662" s="26" t="s">
        <v>330</v>
      </c>
      <c r="B662" s="215">
        <v>906</v>
      </c>
      <c r="C662" s="213" t="s">
        <v>316</v>
      </c>
      <c r="D662" s="213" t="s">
        <v>265</v>
      </c>
      <c r="E662" s="213" t="s">
        <v>495</v>
      </c>
      <c r="F662" s="213"/>
      <c r="G662" s="27">
        <f aca="true" t="shared" si="680" ref="G662:L663">G663</f>
        <v>3309</v>
      </c>
      <c r="H662" s="27">
        <f t="shared" si="680"/>
        <v>841</v>
      </c>
      <c r="I662" s="27">
        <f t="shared" si="680"/>
        <v>3309</v>
      </c>
      <c r="J662" s="27">
        <f t="shared" si="680"/>
        <v>8601.1</v>
      </c>
      <c r="K662" s="27">
        <f t="shared" si="680"/>
        <v>4500</v>
      </c>
      <c r="L662" s="27">
        <f t="shared" si="680"/>
        <v>2000</v>
      </c>
      <c r="M662" s="27">
        <f aca="true" t="shared" si="681" ref="M662:N663">M663</f>
        <v>300</v>
      </c>
      <c r="N662" s="27">
        <f t="shared" si="681"/>
        <v>100</v>
      </c>
      <c r="O662" s="27">
        <f t="shared" si="674"/>
        <v>33.33333333333333</v>
      </c>
    </row>
    <row r="663" spans="1:15" ht="47.25">
      <c r="A663" s="26" t="s">
        <v>324</v>
      </c>
      <c r="B663" s="215">
        <v>906</v>
      </c>
      <c r="C663" s="213" t="s">
        <v>316</v>
      </c>
      <c r="D663" s="213" t="s">
        <v>265</v>
      </c>
      <c r="E663" s="213" t="s">
        <v>495</v>
      </c>
      <c r="F663" s="213" t="s">
        <v>325</v>
      </c>
      <c r="G663" s="27">
        <f t="shared" si="680"/>
        <v>3309</v>
      </c>
      <c r="H663" s="27">
        <f t="shared" si="680"/>
        <v>841</v>
      </c>
      <c r="I663" s="27">
        <f t="shared" si="680"/>
        <v>3309</v>
      </c>
      <c r="J663" s="27">
        <f t="shared" si="680"/>
        <v>8601.1</v>
      </c>
      <c r="K663" s="27">
        <f t="shared" si="680"/>
        <v>4500</v>
      </c>
      <c r="L663" s="27">
        <f t="shared" si="680"/>
        <v>2000</v>
      </c>
      <c r="M663" s="27">
        <f t="shared" si="681"/>
        <v>300</v>
      </c>
      <c r="N663" s="27">
        <f t="shared" si="681"/>
        <v>100</v>
      </c>
      <c r="O663" s="27">
        <f t="shared" si="674"/>
        <v>33.33333333333333</v>
      </c>
    </row>
    <row r="664" spans="1:15" ht="15.75">
      <c r="A664" s="26" t="s">
        <v>326</v>
      </c>
      <c r="B664" s="215">
        <v>906</v>
      </c>
      <c r="C664" s="213" t="s">
        <v>316</v>
      </c>
      <c r="D664" s="213" t="s">
        <v>265</v>
      </c>
      <c r="E664" s="213" t="s">
        <v>495</v>
      </c>
      <c r="F664" s="213" t="s">
        <v>327</v>
      </c>
      <c r="G664" s="27">
        <f>341+2968</f>
        <v>3309</v>
      </c>
      <c r="H664" s="27">
        <v>841</v>
      </c>
      <c r="I664" s="27">
        <f aca="true" t="shared" si="682" ref="I664">341+2968</f>
        <v>3309</v>
      </c>
      <c r="J664" s="27">
        <v>8601.1</v>
      </c>
      <c r="K664" s="27">
        <v>4500</v>
      </c>
      <c r="L664" s="27">
        <v>2000</v>
      </c>
      <c r="M664" s="27">
        <v>300</v>
      </c>
      <c r="N664" s="27">
        <v>100</v>
      </c>
      <c r="O664" s="27">
        <f t="shared" si="674"/>
        <v>33.33333333333333</v>
      </c>
    </row>
    <row r="665" spans="1:15" ht="31.5" customHeight="1" hidden="1">
      <c r="A665" s="26" t="s">
        <v>332</v>
      </c>
      <c r="B665" s="215">
        <v>906</v>
      </c>
      <c r="C665" s="213" t="s">
        <v>316</v>
      </c>
      <c r="D665" s="213" t="s">
        <v>265</v>
      </c>
      <c r="E665" s="213" t="s">
        <v>496</v>
      </c>
      <c r="F665" s="213"/>
      <c r="G665" s="27">
        <f aca="true" t="shared" si="683" ref="G665:L666">G666</f>
        <v>0</v>
      </c>
      <c r="H665" s="27">
        <v>0</v>
      </c>
      <c r="I665" s="27">
        <f t="shared" si="683"/>
        <v>0</v>
      </c>
      <c r="J665" s="27">
        <f t="shared" si="683"/>
        <v>1000</v>
      </c>
      <c r="K665" s="27">
        <f t="shared" si="683"/>
        <v>700</v>
      </c>
      <c r="L665" s="27">
        <f t="shared" si="683"/>
        <v>700</v>
      </c>
      <c r="M665" s="27">
        <f aca="true" t="shared" si="684" ref="M665:N666">M666</f>
        <v>0</v>
      </c>
      <c r="N665" s="27">
        <f t="shared" si="684"/>
        <v>0</v>
      </c>
      <c r="O665" s="27" t="e">
        <f t="shared" si="674"/>
        <v>#DIV/0!</v>
      </c>
    </row>
    <row r="666" spans="1:15" ht="47.25" customHeight="1" hidden="1">
      <c r="A666" s="26" t="s">
        <v>324</v>
      </c>
      <c r="B666" s="215">
        <v>906</v>
      </c>
      <c r="C666" s="213" t="s">
        <v>316</v>
      </c>
      <c r="D666" s="213" t="s">
        <v>265</v>
      </c>
      <c r="E666" s="213" t="s">
        <v>496</v>
      </c>
      <c r="F666" s="213" t="s">
        <v>325</v>
      </c>
      <c r="G666" s="27">
        <f t="shared" si="683"/>
        <v>0</v>
      </c>
      <c r="H666" s="27">
        <v>0</v>
      </c>
      <c r="I666" s="27">
        <f t="shared" si="683"/>
        <v>0</v>
      </c>
      <c r="J666" s="27">
        <f t="shared" si="683"/>
        <v>1000</v>
      </c>
      <c r="K666" s="27">
        <f t="shared" si="683"/>
        <v>700</v>
      </c>
      <c r="L666" s="27">
        <f t="shared" si="683"/>
        <v>700</v>
      </c>
      <c r="M666" s="27">
        <f t="shared" si="684"/>
        <v>0</v>
      </c>
      <c r="N666" s="27">
        <f t="shared" si="684"/>
        <v>0</v>
      </c>
      <c r="O666" s="27" t="e">
        <f t="shared" si="674"/>
        <v>#DIV/0!</v>
      </c>
    </row>
    <row r="667" spans="1:15" ht="15.75" customHeight="1" hidden="1">
      <c r="A667" s="26" t="s">
        <v>326</v>
      </c>
      <c r="B667" s="215">
        <v>906</v>
      </c>
      <c r="C667" s="213" t="s">
        <v>316</v>
      </c>
      <c r="D667" s="213" t="s">
        <v>265</v>
      </c>
      <c r="E667" s="213" t="s">
        <v>496</v>
      </c>
      <c r="F667" s="213" t="s">
        <v>327</v>
      </c>
      <c r="G667" s="27">
        <v>0</v>
      </c>
      <c r="H667" s="27">
        <v>0</v>
      </c>
      <c r="I667" s="27">
        <v>0</v>
      </c>
      <c r="J667" s="27">
        <v>1000</v>
      </c>
      <c r="K667" s="27">
        <v>700</v>
      </c>
      <c r="L667" s="27">
        <v>700</v>
      </c>
      <c r="M667" s="27">
        <v>0</v>
      </c>
      <c r="N667" s="27">
        <v>0</v>
      </c>
      <c r="O667" s="27" t="e">
        <f t="shared" si="674"/>
        <v>#DIV/0!</v>
      </c>
    </row>
    <row r="668" spans="1:15" ht="47.25">
      <c r="A668" s="26" t="s">
        <v>334</v>
      </c>
      <c r="B668" s="215">
        <v>906</v>
      </c>
      <c r="C668" s="213" t="s">
        <v>316</v>
      </c>
      <c r="D668" s="213" t="s">
        <v>265</v>
      </c>
      <c r="E668" s="213" t="s">
        <v>497</v>
      </c>
      <c r="F668" s="213"/>
      <c r="G668" s="27">
        <f>G669</f>
        <v>127</v>
      </c>
      <c r="H668" s="27">
        <f>H669</f>
        <v>126.3</v>
      </c>
      <c r="I668" s="27">
        <f aca="true" t="shared" si="685" ref="I668:L668">I669</f>
        <v>127</v>
      </c>
      <c r="J668" s="27">
        <f t="shared" si="685"/>
        <v>214.8</v>
      </c>
      <c r="K668" s="27">
        <f t="shared" si="685"/>
        <v>214.8</v>
      </c>
      <c r="L668" s="27">
        <f t="shared" si="685"/>
        <v>214.8</v>
      </c>
      <c r="M668" s="27">
        <f aca="true" t="shared" si="686" ref="M668:N669">M669</f>
        <v>127</v>
      </c>
      <c r="N668" s="27">
        <f t="shared" si="686"/>
        <v>117.7</v>
      </c>
      <c r="O668" s="27">
        <f t="shared" si="674"/>
        <v>92.67716535433071</v>
      </c>
    </row>
    <row r="669" spans="1:15" ht="47.25">
      <c r="A669" s="26" t="s">
        <v>324</v>
      </c>
      <c r="B669" s="215">
        <v>906</v>
      </c>
      <c r="C669" s="213" t="s">
        <v>316</v>
      </c>
      <c r="D669" s="213" t="s">
        <v>265</v>
      </c>
      <c r="E669" s="213" t="s">
        <v>497</v>
      </c>
      <c r="F669" s="213" t="s">
        <v>325</v>
      </c>
      <c r="G669" s="27">
        <f aca="true" t="shared" si="687" ref="G669:L669">G670</f>
        <v>127</v>
      </c>
      <c r="H669" s="27">
        <f t="shared" si="687"/>
        <v>126.3</v>
      </c>
      <c r="I669" s="27">
        <f t="shared" si="687"/>
        <v>127</v>
      </c>
      <c r="J669" s="27">
        <f t="shared" si="687"/>
        <v>214.8</v>
      </c>
      <c r="K669" s="27">
        <f t="shared" si="687"/>
        <v>214.8</v>
      </c>
      <c r="L669" s="27">
        <f t="shared" si="687"/>
        <v>214.8</v>
      </c>
      <c r="M669" s="27">
        <f t="shared" si="686"/>
        <v>127</v>
      </c>
      <c r="N669" s="27">
        <f t="shared" si="686"/>
        <v>117.7</v>
      </c>
      <c r="O669" s="27">
        <f t="shared" si="674"/>
        <v>92.67716535433071</v>
      </c>
    </row>
    <row r="670" spans="1:15" ht="15.75">
      <c r="A670" s="26" t="s">
        <v>326</v>
      </c>
      <c r="B670" s="215">
        <v>906</v>
      </c>
      <c r="C670" s="213" t="s">
        <v>316</v>
      </c>
      <c r="D670" s="213" t="s">
        <v>265</v>
      </c>
      <c r="E670" s="213" t="s">
        <v>497</v>
      </c>
      <c r="F670" s="213" t="s">
        <v>327</v>
      </c>
      <c r="G670" s="27">
        <v>127</v>
      </c>
      <c r="H670" s="27">
        <v>126.3</v>
      </c>
      <c r="I670" s="27">
        <v>127</v>
      </c>
      <c r="J670" s="27">
        <v>214.8</v>
      </c>
      <c r="K670" s="27">
        <v>214.8</v>
      </c>
      <c r="L670" s="27">
        <v>214.8</v>
      </c>
      <c r="M670" s="27">
        <f>127-72+72</f>
        <v>127</v>
      </c>
      <c r="N670" s="27">
        <v>117.7</v>
      </c>
      <c r="O670" s="27">
        <f t="shared" si="674"/>
        <v>92.67716535433071</v>
      </c>
    </row>
    <row r="671" spans="1:15" ht="31.5" hidden="1">
      <c r="A671" s="26" t="s">
        <v>336</v>
      </c>
      <c r="B671" s="215">
        <v>906</v>
      </c>
      <c r="C671" s="213" t="s">
        <v>316</v>
      </c>
      <c r="D671" s="213" t="s">
        <v>265</v>
      </c>
      <c r="E671" s="213" t="s">
        <v>498</v>
      </c>
      <c r="F671" s="213"/>
      <c r="G671" s="27">
        <f aca="true" t="shared" si="688" ref="G671:L672">G672</f>
        <v>229.4</v>
      </c>
      <c r="H671" s="27">
        <f t="shared" si="688"/>
        <v>229.4</v>
      </c>
      <c r="I671" s="27">
        <f t="shared" si="688"/>
        <v>229.4</v>
      </c>
      <c r="J671" s="27">
        <f t="shared" si="688"/>
        <v>750</v>
      </c>
      <c r="K671" s="27">
        <f t="shared" si="688"/>
        <v>250</v>
      </c>
      <c r="L671" s="27">
        <f t="shared" si="688"/>
        <v>250</v>
      </c>
      <c r="M671" s="27">
        <f aca="true" t="shared" si="689" ref="M671:N672">M672</f>
        <v>0</v>
      </c>
      <c r="N671" s="27">
        <f t="shared" si="689"/>
        <v>0</v>
      </c>
      <c r="O671" s="27" t="e">
        <f t="shared" si="674"/>
        <v>#DIV/0!</v>
      </c>
    </row>
    <row r="672" spans="1:15" ht="47.25" hidden="1">
      <c r="A672" s="26" t="s">
        <v>324</v>
      </c>
      <c r="B672" s="215">
        <v>906</v>
      </c>
      <c r="C672" s="213" t="s">
        <v>316</v>
      </c>
      <c r="D672" s="213" t="s">
        <v>265</v>
      </c>
      <c r="E672" s="213" t="s">
        <v>498</v>
      </c>
      <c r="F672" s="213" t="s">
        <v>325</v>
      </c>
      <c r="G672" s="27">
        <f t="shared" si="688"/>
        <v>229.4</v>
      </c>
      <c r="H672" s="27">
        <f t="shared" si="688"/>
        <v>229.4</v>
      </c>
      <c r="I672" s="27">
        <f t="shared" si="688"/>
        <v>229.4</v>
      </c>
      <c r="J672" s="27">
        <f t="shared" si="688"/>
        <v>750</v>
      </c>
      <c r="K672" s="27">
        <f t="shared" si="688"/>
        <v>250</v>
      </c>
      <c r="L672" s="27">
        <f t="shared" si="688"/>
        <v>250</v>
      </c>
      <c r="M672" s="27">
        <f t="shared" si="689"/>
        <v>0</v>
      </c>
      <c r="N672" s="27">
        <f t="shared" si="689"/>
        <v>0</v>
      </c>
      <c r="O672" s="27" t="e">
        <f t="shared" si="674"/>
        <v>#DIV/0!</v>
      </c>
    </row>
    <row r="673" spans="1:15" ht="15.75" hidden="1">
      <c r="A673" s="26" t="s">
        <v>326</v>
      </c>
      <c r="B673" s="215">
        <v>906</v>
      </c>
      <c r="C673" s="213" t="s">
        <v>316</v>
      </c>
      <c r="D673" s="213" t="s">
        <v>265</v>
      </c>
      <c r="E673" s="213" t="s">
        <v>498</v>
      </c>
      <c r="F673" s="213" t="s">
        <v>327</v>
      </c>
      <c r="G673" s="27">
        <v>229.4</v>
      </c>
      <c r="H673" s="27">
        <v>229.4</v>
      </c>
      <c r="I673" s="27">
        <v>229.4</v>
      </c>
      <c r="J673" s="27">
        <v>750</v>
      </c>
      <c r="K673" s="27">
        <v>250</v>
      </c>
      <c r="L673" s="27">
        <v>250</v>
      </c>
      <c r="M673" s="27">
        <v>0</v>
      </c>
      <c r="N673" s="27">
        <v>0</v>
      </c>
      <c r="O673" s="27" t="e">
        <f t="shared" si="674"/>
        <v>#DIV/0!</v>
      </c>
    </row>
    <row r="674" spans="1:15" ht="47.25">
      <c r="A674" s="70" t="s">
        <v>865</v>
      </c>
      <c r="B674" s="215">
        <v>906</v>
      </c>
      <c r="C674" s="213" t="s">
        <v>316</v>
      </c>
      <c r="D674" s="213" t="s">
        <v>265</v>
      </c>
      <c r="E674" s="213" t="s">
        <v>867</v>
      </c>
      <c r="F674" s="213"/>
      <c r="G674" s="27">
        <f>G675</f>
        <v>0</v>
      </c>
      <c r="H674" s="27">
        <v>0</v>
      </c>
      <c r="I674" s="27">
        <f aca="true" t="shared" si="690" ref="I674:L675">I675</f>
        <v>0</v>
      </c>
      <c r="J674" s="27">
        <f t="shared" si="690"/>
        <v>2794</v>
      </c>
      <c r="K674" s="27">
        <f t="shared" si="690"/>
        <v>2794</v>
      </c>
      <c r="L674" s="27">
        <f t="shared" si="690"/>
        <v>2794</v>
      </c>
      <c r="M674" s="27">
        <f aca="true" t="shared" si="691" ref="M674:N675">M675</f>
        <v>2794</v>
      </c>
      <c r="N674" s="27">
        <f t="shared" si="691"/>
        <v>2794</v>
      </c>
      <c r="O674" s="27">
        <f t="shared" si="674"/>
        <v>100</v>
      </c>
    </row>
    <row r="675" spans="1:15" ht="47.25">
      <c r="A675" s="31" t="s">
        <v>324</v>
      </c>
      <c r="B675" s="215">
        <v>906</v>
      </c>
      <c r="C675" s="213" t="s">
        <v>316</v>
      </c>
      <c r="D675" s="213" t="s">
        <v>265</v>
      </c>
      <c r="E675" s="213" t="s">
        <v>867</v>
      </c>
      <c r="F675" s="213" t="s">
        <v>325</v>
      </c>
      <c r="G675" s="27">
        <f>G676</f>
        <v>0</v>
      </c>
      <c r="H675" s="27">
        <v>0</v>
      </c>
      <c r="I675" s="27">
        <f t="shared" si="690"/>
        <v>0</v>
      </c>
      <c r="J675" s="27">
        <f t="shared" si="690"/>
        <v>2794</v>
      </c>
      <c r="K675" s="27">
        <f t="shared" si="690"/>
        <v>2794</v>
      </c>
      <c r="L675" s="27">
        <f t="shared" si="690"/>
        <v>2794</v>
      </c>
      <c r="M675" s="27">
        <f t="shared" si="691"/>
        <v>2794</v>
      </c>
      <c r="N675" s="27">
        <f t="shared" si="691"/>
        <v>2794</v>
      </c>
      <c r="O675" s="27">
        <f t="shared" si="674"/>
        <v>100</v>
      </c>
    </row>
    <row r="676" spans="1:15" ht="15.75">
      <c r="A676" s="256" t="s">
        <v>326</v>
      </c>
      <c r="B676" s="215">
        <v>906</v>
      </c>
      <c r="C676" s="213" t="s">
        <v>316</v>
      </c>
      <c r="D676" s="213" t="s">
        <v>265</v>
      </c>
      <c r="E676" s="213" t="s">
        <v>867</v>
      </c>
      <c r="F676" s="213" t="s">
        <v>327</v>
      </c>
      <c r="G676" s="27">
        <v>0</v>
      </c>
      <c r="H676" s="27">
        <v>0</v>
      </c>
      <c r="I676" s="27">
        <v>0</v>
      </c>
      <c r="J676" s="27">
        <v>2794</v>
      </c>
      <c r="K676" s="27">
        <v>2794</v>
      </c>
      <c r="L676" s="27">
        <v>2794</v>
      </c>
      <c r="M676" s="27">
        <v>2794</v>
      </c>
      <c r="N676" s="27">
        <v>2794</v>
      </c>
      <c r="O676" s="27">
        <f t="shared" si="674"/>
        <v>100</v>
      </c>
    </row>
    <row r="677" spans="1:15" ht="15.75">
      <c r="A677" s="26" t="s">
        <v>173</v>
      </c>
      <c r="B677" s="215">
        <v>906</v>
      </c>
      <c r="C677" s="213" t="s">
        <v>316</v>
      </c>
      <c r="D677" s="213" t="s">
        <v>265</v>
      </c>
      <c r="E677" s="213" t="s">
        <v>174</v>
      </c>
      <c r="F677" s="213"/>
      <c r="G677" s="27">
        <f aca="true" t="shared" si="692" ref="G677:L677">G678</f>
        <v>89857.8</v>
      </c>
      <c r="H677" s="27">
        <f t="shared" si="692"/>
        <v>73186.18</v>
      </c>
      <c r="I677" s="27">
        <f t="shared" si="692"/>
        <v>89857.8</v>
      </c>
      <c r="J677" s="27">
        <f t="shared" si="692"/>
        <v>89857.8</v>
      </c>
      <c r="K677" s="27">
        <f t="shared" si="692"/>
        <v>89857.8</v>
      </c>
      <c r="L677" s="27">
        <f t="shared" si="692"/>
        <v>89857.8</v>
      </c>
      <c r="M677" s="27">
        <f aca="true" t="shared" si="693" ref="M677:N677">M678</f>
        <v>89567.2</v>
      </c>
      <c r="N677" s="27">
        <f t="shared" si="693"/>
        <v>64266.8</v>
      </c>
      <c r="O677" s="27">
        <f t="shared" si="674"/>
        <v>71.7526058646469</v>
      </c>
    </row>
    <row r="678" spans="1:15" ht="31.5">
      <c r="A678" s="26" t="s">
        <v>237</v>
      </c>
      <c r="B678" s="215">
        <v>906</v>
      </c>
      <c r="C678" s="213" t="s">
        <v>316</v>
      </c>
      <c r="D678" s="213" t="s">
        <v>265</v>
      </c>
      <c r="E678" s="213" t="s">
        <v>238</v>
      </c>
      <c r="F678" s="213"/>
      <c r="G678" s="27">
        <f>G685+G688+G694+G697+G700+G703+G679+G682+G706+G691</f>
        <v>89857.8</v>
      </c>
      <c r="H678" s="27">
        <f>H685+H688+H694+H697+H700+H703+H679+H682+H706+H691</f>
        <v>73186.18</v>
      </c>
      <c r="I678" s="27">
        <f aca="true" t="shared" si="694" ref="I678:L678">I685+I688+I694+I697+I700+I703+I679+I682+I706+I691</f>
        <v>89857.8</v>
      </c>
      <c r="J678" s="27">
        <f t="shared" si="694"/>
        <v>89857.8</v>
      </c>
      <c r="K678" s="27">
        <f t="shared" si="694"/>
        <v>89857.8</v>
      </c>
      <c r="L678" s="27">
        <f t="shared" si="694"/>
        <v>89857.8</v>
      </c>
      <c r="M678" s="27">
        <f aca="true" t="shared" si="695" ref="M678:N678">M685+M688+M694+M697+M700+M703+M679+M682+M706+M691</f>
        <v>89567.2</v>
      </c>
      <c r="N678" s="27">
        <f t="shared" si="695"/>
        <v>64266.8</v>
      </c>
      <c r="O678" s="27">
        <f t="shared" si="674"/>
        <v>71.7526058646469</v>
      </c>
    </row>
    <row r="679" spans="1:15" ht="47.25" customHeight="1" hidden="1">
      <c r="A679" s="26" t="s">
        <v>503</v>
      </c>
      <c r="B679" s="215">
        <v>906</v>
      </c>
      <c r="C679" s="213" t="s">
        <v>316</v>
      </c>
      <c r="D679" s="213" t="s">
        <v>265</v>
      </c>
      <c r="E679" s="213" t="s">
        <v>504</v>
      </c>
      <c r="F679" s="213"/>
      <c r="G679" s="27">
        <f aca="true" t="shared" si="696" ref="G679:L680">G680</f>
        <v>0</v>
      </c>
      <c r="H679" s="27">
        <f t="shared" si="696"/>
        <v>0</v>
      </c>
      <c r="I679" s="27">
        <f t="shared" si="696"/>
        <v>0</v>
      </c>
      <c r="J679" s="27">
        <f t="shared" si="696"/>
        <v>0</v>
      </c>
      <c r="K679" s="27">
        <f t="shared" si="696"/>
        <v>0</v>
      </c>
      <c r="L679" s="27">
        <f t="shared" si="696"/>
        <v>0</v>
      </c>
      <c r="M679" s="27">
        <f aca="true" t="shared" si="697" ref="M679:N680">M680</f>
        <v>0</v>
      </c>
      <c r="N679" s="27">
        <f t="shared" si="697"/>
        <v>0</v>
      </c>
      <c r="O679" s="27" t="e">
        <f t="shared" si="674"/>
        <v>#DIV/0!</v>
      </c>
    </row>
    <row r="680" spans="1:15" ht="47.25" customHeight="1" hidden="1">
      <c r="A680" s="26" t="s">
        <v>324</v>
      </c>
      <c r="B680" s="215">
        <v>906</v>
      </c>
      <c r="C680" s="213" t="s">
        <v>316</v>
      </c>
      <c r="D680" s="213" t="s">
        <v>265</v>
      </c>
      <c r="E680" s="213" t="s">
        <v>504</v>
      </c>
      <c r="F680" s="213" t="s">
        <v>325</v>
      </c>
      <c r="G680" s="27">
        <f t="shared" si="696"/>
        <v>0</v>
      </c>
      <c r="H680" s="27">
        <f t="shared" si="696"/>
        <v>0</v>
      </c>
      <c r="I680" s="27">
        <f t="shared" si="696"/>
        <v>0</v>
      </c>
      <c r="J680" s="27">
        <f t="shared" si="696"/>
        <v>0</v>
      </c>
      <c r="K680" s="27">
        <f t="shared" si="696"/>
        <v>0</v>
      </c>
      <c r="L680" s="27">
        <f t="shared" si="696"/>
        <v>0</v>
      </c>
      <c r="M680" s="27">
        <f t="shared" si="697"/>
        <v>0</v>
      </c>
      <c r="N680" s="27">
        <f t="shared" si="697"/>
        <v>0</v>
      </c>
      <c r="O680" s="27" t="e">
        <f t="shared" si="674"/>
        <v>#DIV/0!</v>
      </c>
    </row>
    <row r="681" spans="1:15" ht="15.75" customHeight="1" hidden="1">
      <c r="A681" s="26" t="s">
        <v>326</v>
      </c>
      <c r="B681" s="215">
        <v>906</v>
      </c>
      <c r="C681" s="213" t="s">
        <v>316</v>
      </c>
      <c r="D681" s="213" t="s">
        <v>265</v>
      </c>
      <c r="E681" s="213" t="s">
        <v>504</v>
      </c>
      <c r="F681" s="213" t="s">
        <v>327</v>
      </c>
      <c r="G681" s="27">
        <v>0</v>
      </c>
      <c r="H681" s="27">
        <v>0</v>
      </c>
      <c r="I681" s="27">
        <v>0</v>
      </c>
      <c r="J681" s="27">
        <v>0</v>
      </c>
      <c r="K681" s="27">
        <v>0</v>
      </c>
      <c r="L681" s="27">
        <v>0</v>
      </c>
      <c r="M681" s="27">
        <v>0</v>
      </c>
      <c r="N681" s="27">
        <v>0</v>
      </c>
      <c r="O681" s="27" t="e">
        <f t="shared" si="674"/>
        <v>#DIV/0!</v>
      </c>
    </row>
    <row r="682" spans="1:15" ht="15.75" customHeight="1" hidden="1">
      <c r="A682" s="26" t="s">
        <v>505</v>
      </c>
      <c r="B682" s="215">
        <v>906</v>
      </c>
      <c r="C682" s="213" t="s">
        <v>316</v>
      </c>
      <c r="D682" s="213" t="s">
        <v>265</v>
      </c>
      <c r="E682" s="213" t="s">
        <v>506</v>
      </c>
      <c r="F682" s="213"/>
      <c r="G682" s="27">
        <f aca="true" t="shared" si="698" ref="G682:L683">G683</f>
        <v>0</v>
      </c>
      <c r="H682" s="27">
        <f t="shared" si="698"/>
        <v>0</v>
      </c>
      <c r="I682" s="27">
        <f t="shared" si="698"/>
        <v>0</v>
      </c>
      <c r="J682" s="27">
        <f t="shared" si="698"/>
        <v>0</v>
      </c>
      <c r="K682" s="27">
        <f t="shared" si="698"/>
        <v>0</v>
      </c>
      <c r="L682" s="27">
        <f t="shared" si="698"/>
        <v>0</v>
      </c>
      <c r="M682" s="27">
        <f aca="true" t="shared" si="699" ref="M682:N683">M683</f>
        <v>0</v>
      </c>
      <c r="N682" s="27">
        <f t="shared" si="699"/>
        <v>0</v>
      </c>
      <c r="O682" s="27" t="e">
        <f t="shared" si="674"/>
        <v>#DIV/0!</v>
      </c>
    </row>
    <row r="683" spans="1:15" ht="47.25" customHeight="1" hidden="1">
      <c r="A683" s="26" t="s">
        <v>324</v>
      </c>
      <c r="B683" s="215">
        <v>906</v>
      </c>
      <c r="C683" s="213" t="s">
        <v>316</v>
      </c>
      <c r="D683" s="213" t="s">
        <v>265</v>
      </c>
      <c r="E683" s="213" t="s">
        <v>506</v>
      </c>
      <c r="F683" s="213" t="s">
        <v>325</v>
      </c>
      <c r="G683" s="27">
        <f t="shared" si="698"/>
        <v>0</v>
      </c>
      <c r="H683" s="27">
        <f t="shared" si="698"/>
        <v>0</v>
      </c>
      <c r="I683" s="27">
        <f t="shared" si="698"/>
        <v>0</v>
      </c>
      <c r="J683" s="27">
        <f t="shared" si="698"/>
        <v>0</v>
      </c>
      <c r="K683" s="27">
        <f t="shared" si="698"/>
        <v>0</v>
      </c>
      <c r="L683" s="27">
        <f t="shared" si="698"/>
        <v>0</v>
      </c>
      <c r="M683" s="27">
        <f t="shared" si="699"/>
        <v>0</v>
      </c>
      <c r="N683" s="27">
        <f t="shared" si="699"/>
        <v>0</v>
      </c>
      <c r="O683" s="27" t="e">
        <f t="shared" si="674"/>
        <v>#DIV/0!</v>
      </c>
    </row>
    <row r="684" spans="1:15" ht="15.75" customHeight="1" hidden="1">
      <c r="A684" s="26" t="s">
        <v>326</v>
      </c>
      <c r="B684" s="215">
        <v>906</v>
      </c>
      <c r="C684" s="213" t="s">
        <v>316</v>
      </c>
      <c r="D684" s="213" t="s">
        <v>265</v>
      </c>
      <c r="E684" s="213" t="s">
        <v>506</v>
      </c>
      <c r="F684" s="213" t="s">
        <v>327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27" t="e">
        <f t="shared" si="674"/>
        <v>#DIV/0!</v>
      </c>
    </row>
    <row r="685" spans="1:15" ht="31.5" customHeight="1" hidden="1">
      <c r="A685" s="26" t="s">
        <v>507</v>
      </c>
      <c r="B685" s="215">
        <v>906</v>
      </c>
      <c r="C685" s="213" t="s">
        <v>316</v>
      </c>
      <c r="D685" s="213" t="s">
        <v>265</v>
      </c>
      <c r="E685" s="213" t="s">
        <v>508</v>
      </c>
      <c r="F685" s="213"/>
      <c r="G685" s="27">
        <f aca="true" t="shared" si="700" ref="G685:L686">G686</f>
        <v>0</v>
      </c>
      <c r="H685" s="27">
        <f t="shared" si="700"/>
        <v>0</v>
      </c>
      <c r="I685" s="27">
        <f t="shared" si="700"/>
        <v>0</v>
      </c>
      <c r="J685" s="27">
        <f t="shared" si="700"/>
        <v>0</v>
      </c>
      <c r="K685" s="27">
        <f t="shared" si="700"/>
        <v>0</v>
      </c>
      <c r="L685" s="27">
        <f t="shared" si="700"/>
        <v>0</v>
      </c>
      <c r="M685" s="27">
        <f aca="true" t="shared" si="701" ref="M685:N686">M686</f>
        <v>0</v>
      </c>
      <c r="N685" s="27">
        <f t="shared" si="701"/>
        <v>0</v>
      </c>
      <c r="O685" s="27" t="e">
        <f t="shared" si="674"/>
        <v>#DIV/0!</v>
      </c>
    </row>
    <row r="686" spans="1:15" ht="47.25" customHeight="1" hidden="1">
      <c r="A686" s="26" t="s">
        <v>324</v>
      </c>
      <c r="B686" s="215">
        <v>906</v>
      </c>
      <c r="C686" s="213" t="s">
        <v>316</v>
      </c>
      <c r="D686" s="213" t="s">
        <v>265</v>
      </c>
      <c r="E686" s="213" t="s">
        <v>508</v>
      </c>
      <c r="F686" s="213" t="s">
        <v>325</v>
      </c>
      <c r="G686" s="27">
        <f t="shared" si="700"/>
        <v>0</v>
      </c>
      <c r="H686" s="27">
        <f t="shared" si="700"/>
        <v>0</v>
      </c>
      <c r="I686" s="27">
        <f t="shared" si="700"/>
        <v>0</v>
      </c>
      <c r="J686" s="27">
        <f t="shared" si="700"/>
        <v>0</v>
      </c>
      <c r="K686" s="27">
        <f t="shared" si="700"/>
        <v>0</v>
      </c>
      <c r="L686" s="27">
        <f t="shared" si="700"/>
        <v>0</v>
      </c>
      <c r="M686" s="27">
        <f t="shared" si="701"/>
        <v>0</v>
      </c>
      <c r="N686" s="27">
        <f t="shared" si="701"/>
        <v>0</v>
      </c>
      <c r="O686" s="27" t="e">
        <f t="shared" si="674"/>
        <v>#DIV/0!</v>
      </c>
    </row>
    <row r="687" spans="1:15" ht="15.75" customHeight="1" hidden="1">
      <c r="A687" s="26" t="s">
        <v>326</v>
      </c>
      <c r="B687" s="215">
        <v>906</v>
      </c>
      <c r="C687" s="213" t="s">
        <v>316</v>
      </c>
      <c r="D687" s="213" t="s">
        <v>265</v>
      </c>
      <c r="E687" s="213" t="s">
        <v>508</v>
      </c>
      <c r="F687" s="213" t="s">
        <v>327</v>
      </c>
      <c r="G687" s="27">
        <f>157.3-157.3</f>
        <v>0</v>
      </c>
      <c r="H687" s="27">
        <f>157.3-157.3</f>
        <v>0</v>
      </c>
      <c r="I687" s="27">
        <f aca="true" t="shared" si="702" ref="I687:L687">157.3-157.3</f>
        <v>0</v>
      </c>
      <c r="J687" s="27">
        <f t="shared" si="702"/>
        <v>0</v>
      </c>
      <c r="K687" s="27">
        <f t="shared" si="702"/>
        <v>0</v>
      </c>
      <c r="L687" s="27">
        <f t="shared" si="702"/>
        <v>0</v>
      </c>
      <c r="M687" s="27">
        <f aca="true" t="shared" si="703" ref="M687:N687">157.3-157.3</f>
        <v>0</v>
      </c>
      <c r="N687" s="27">
        <f t="shared" si="703"/>
        <v>0</v>
      </c>
      <c r="O687" s="27" t="e">
        <f t="shared" si="674"/>
        <v>#DIV/0!</v>
      </c>
    </row>
    <row r="688" spans="1:15" ht="31.5">
      <c r="A688" s="26" t="s">
        <v>509</v>
      </c>
      <c r="B688" s="215">
        <v>906</v>
      </c>
      <c r="C688" s="213" t="s">
        <v>316</v>
      </c>
      <c r="D688" s="213" t="s">
        <v>265</v>
      </c>
      <c r="E688" s="213" t="s">
        <v>510</v>
      </c>
      <c r="F688" s="213"/>
      <c r="G688" s="27">
        <f aca="true" t="shared" si="704" ref="G688:L689">G689</f>
        <v>1293.6</v>
      </c>
      <c r="H688" s="27">
        <f t="shared" si="704"/>
        <v>580</v>
      </c>
      <c r="I688" s="27">
        <f t="shared" si="704"/>
        <v>1293.6</v>
      </c>
      <c r="J688" s="27">
        <f t="shared" si="704"/>
        <v>1293.6</v>
      </c>
      <c r="K688" s="27">
        <f t="shared" si="704"/>
        <v>1293.6</v>
      </c>
      <c r="L688" s="27">
        <f t="shared" si="704"/>
        <v>1293.6</v>
      </c>
      <c r="M688" s="27">
        <f aca="true" t="shared" si="705" ref="M688:N689">M689</f>
        <v>1293.6</v>
      </c>
      <c r="N688" s="27">
        <f t="shared" si="705"/>
        <v>768</v>
      </c>
      <c r="O688" s="27">
        <f t="shared" si="674"/>
        <v>59.36920222634509</v>
      </c>
    </row>
    <row r="689" spans="1:15" ht="47.25">
      <c r="A689" s="26" t="s">
        <v>324</v>
      </c>
      <c r="B689" s="215">
        <v>906</v>
      </c>
      <c r="C689" s="213" t="s">
        <v>316</v>
      </c>
      <c r="D689" s="213" t="s">
        <v>265</v>
      </c>
      <c r="E689" s="213" t="s">
        <v>510</v>
      </c>
      <c r="F689" s="213" t="s">
        <v>325</v>
      </c>
      <c r="G689" s="27">
        <f>G690</f>
        <v>1293.6</v>
      </c>
      <c r="H689" s="27">
        <f>H690</f>
        <v>580</v>
      </c>
      <c r="I689" s="27">
        <f t="shared" si="704"/>
        <v>1293.6</v>
      </c>
      <c r="J689" s="27">
        <f t="shared" si="704"/>
        <v>1293.6</v>
      </c>
      <c r="K689" s="27">
        <f t="shared" si="704"/>
        <v>1293.6</v>
      </c>
      <c r="L689" s="27">
        <f t="shared" si="704"/>
        <v>1293.6</v>
      </c>
      <c r="M689" s="27">
        <f t="shared" si="705"/>
        <v>1293.6</v>
      </c>
      <c r="N689" s="27">
        <f t="shared" si="705"/>
        <v>768</v>
      </c>
      <c r="O689" s="27">
        <f t="shared" si="674"/>
        <v>59.36920222634509</v>
      </c>
    </row>
    <row r="690" spans="1:15" ht="15.75">
      <c r="A690" s="26" t="s">
        <v>326</v>
      </c>
      <c r="B690" s="215">
        <v>906</v>
      </c>
      <c r="C690" s="213" t="s">
        <v>316</v>
      </c>
      <c r="D690" s="213" t="s">
        <v>265</v>
      </c>
      <c r="E690" s="213" t="s">
        <v>510</v>
      </c>
      <c r="F690" s="213" t="s">
        <v>327</v>
      </c>
      <c r="G690" s="28">
        <f>1572.5-278.9</f>
        <v>1293.6</v>
      </c>
      <c r="H690" s="28">
        <v>580</v>
      </c>
      <c r="I690" s="28">
        <f aca="true" t="shared" si="706" ref="I690:L690">1572.5-278.9</f>
        <v>1293.6</v>
      </c>
      <c r="J690" s="28">
        <f t="shared" si="706"/>
        <v>1293.6</v>
      </c>
      <c r="K690" s="28">
        <f t="shared" si="706"/>
        <v>1293.6</v>
      </c>
      <c r="L690" s="28">
        <f t="shared" si="706"/>
        <v>1293.6</v>
      </c>
      <c r="M690" s="28">
        <f aca="true" t="shared" si="707" ref="M690">1572.5-278.9</f>
        <v>1293.6</v>
      </c>
      <c r="N690" s="28">
        <v>768</v>
      </c>
      <c r="O690" s="27">
        <f t="shared" si="674"/>
        <v>59.36920222634509</v>
      </c>
    </row>
    <row r="691" spans="1:15" ht="47.25">
      <c r="A691" s="26" t="s">
        <v>511</v>
      </c>
      <c r="B691" s="215">
        <v>906</v>
      </c>
      <c r="C691" s="213" t="s">
        <v>316</v>
      </c>
      <c r="D691" s="213" t="s">
        <v>265</v>
      </c>
      <c r="E691" s="213" t="s">
        <v>512</v>
      </c>
      <c r="F691" s="213"/>
      <c r="G691" s="28">
        <f>G692</f>
        <v>488.7</v>
      </c>
      <c r="H691" s="28">
        <f>H692</f>
        <v>288.3</v>
      </c>
      <c r="I691" s="28">
        <f aca="true" t="shared" si="708" ref="I691:L691">I692</f>
        <v>488.7</v>
      </c>
      <c r="J691" s="28">
        <f t="shared" si="708"/>
        <v>488.7</v>
      </c>
      <c r="K691" s="28">
        <f t="shared" si="708"/>
        <v>488.7</v>
      </c>
      <c r="L691" s="28">
        <f t="shared" si="708"/>
        <v>488.7</v>
      </c>
      <c r="M691" s="28">
        <f aca="true" t="shared" si="709" ref="M691:N692">M692</f>
        <v>488.7</v>
      </c>
      <c r="N691" s="28">
        <f t="shared" si="709"/>
        <v>342.3</v>
      </c>
      <c r="O691" s="27">
        <f t="shared" si="674"/>
        <v>70.04297114794352</v>
      </c>
    </row>
    <row r="692" spans="1:15" ht="47.25">
      <c r="A692" s="26" t="s">
        <v>324</v>
      </c>
      <c r="B692" s="215">
        <v>906</v>
      </c>
      <c r="C692" s="213" t="s">
        <v>316</v>
      </c>
      <c r="D692" s="213" t="s">
        <v>265</v>
      </c>
      <c r="E692" s="213" t="s">
        <v>512</v>
      </c>
      <c r="F692" s="213" t="s">
        <v>325</v>
      </c>
      <c r="G692" s="28">
        <f aca="true" t="shared" si="710" ref="G692:L692">G693</f>
        <v>488.7</v>
      </c>
      <c r="H692" s="28">
        <f t="shared" si="710"/>
        <v>288.3</v>
      </c>
      <c r="I692" s="28">
        <f t="shared" si="710"/>
        <v>488.7</v>
      </c>
      <c r="J692" s="28">
        <f t="shared" si="710"/>
        <v>488.7</v>
      </c>
      <c r="K692" s="28">
        <f t="shared" si="710"/>
        <v>488.7</v>
      </c>
      <c r="L692" s="28">
        <f t="shared" si="710"/>
        <v>488.7</v>
      </c>
      <c r="M692" s="28">
        <f t="shared" si="709"/>
        <v>488.7</v>
      </c>
      <c r="N692" s="28">
        <f t="shared" si="709"/>
        <v>342.3</v>
      </c>
      <c r="O692" s="27">
        <f t="shared" si="674"/>
        <v>70.04297114794352</v>
      </c>
    </row>
    <row r="693" spans="1:15" ht="15.75">
      <c r="A693" s="26" t="s">
        <v>326</v>
      </c>
      <c r="B693" s="215">
        <v>906</v>
      </c>
      <c r="C693" s="213" t="s">
        <v>316</v>
      </c>
      <c r="D693" s="213" t="s">
        <v>265</v>
      </c>
      <c r="E693" s="213" t="s">
        <v>512</v>
      </c>
      <c r="F693" s="213" t="s">
        <v>327</v>
      </c>
      <c r="G693" s="28">
        <f>733.5-244.8</f>
        <v>488.7</v>
      </c>
      <c r="H693" s="28">
        <v>288.3</v>
      </c>
      <c r="I693" s="28">
        <f aca="true" t="shared" si="711" ref="I693:L693">733.5-244.8</f>
        <v>488.7</v>
      </c>
      <c r="J693" s="28">
        <f t="shared" si="711"/>
        <v>488.7</v>
      </c>
      <c r="K693" s="28">
        <f t="shared" si="711"/>
        <v>488.7</v>
      </c>
      <c r="L693" s="28">
        <f t="shared" si="711"/>
        <v>488.7</v>
      </c>
      <c r="M693" s="28">
        <f aca="true" t="shared" si="712" ref="M693">733.5-244.8</f>
        <v>488.7</v>
      </c>
      <c r="N693" s="28">
        <v>342.3</v>
      </c>
      <c r="O693" s="27">
        <f t="shared" si="674"/>
        <v>70.04297114794352</v>
      </c>
    </row>
    <row r="694" spans="1:15" ht="80.25" customHeight="1">
      <c r="A694" s="33" t="s">
        <v>513</v>
      </c>
      <c r="B694" s="215">
        <v>906</v>
      </c>
      <c r="C694" s="213" t="s">
        <v>316</v>
      </c>
      <c r="D694" s="213" t="s">
        <v>265</v>
      </c>
      <c r="E694" s="213" t="s">
        <v>514</v>
      </c>
      <c r="F694" s="213"/>
      <c r="G694" s="27">
        <f aca="true" t="shared" si="713" ref="G694:L695">G695</f>
        <v>79753.6</v>
      </c>
      <c r="H694" s="27">
        <f t="shared" si="713"/>
        <v>66712.5</v>
      </c>
      <c r="I694" s="27">
        <f t="shared" si="713"/>
        <v>79753.6</v>
      </c>
      <c r="J694" s="27">
        <f t="shared" si="713"/>
        <v>79753.6</v>
      </c>
      <c r="K694" s="27">
        <f t="shared" si="713"/>
        <v>79753.6</v>
      </c>
      <c r="L694" s="27">
        <f t="shared" si="713"/>
        <v>79753.6</v>
      </c>
      <c r="M694" s="27">
        <f aca="true" t="shared" si="714" ref="M694:N695">M695</f>
        <v>79406.8</v>
      </c>
      <c r="N694" s="27">
        <f t="shared" si="714"/>
        <v>58590.8</v>
      </c>
      <c r="O694" s="27">
        <f t="shared" si="674"/>
        <v>73.78562037508122</v>
      </c>
    </row>
    <row r="695" spans="1:15" ht="47.25">
      <c r="A695" s="26" t="s">
        <v>324</v>
      </c>
      <c r="B695" s="215">
        <v>906</v>
      </c>
      <c r="C695" s="213" t="s">
        <v>316</v>
      </c>
      <c r="D695" s="213" t="s">
        <v>265</v>
      </c>
      <c r="E695" s="213" t="s">
        <v>514</v>
      </c>
      <c r="F695" s="213" t="s">
        <v>325</v>
      </c>
      <c r="G695" s="27">
        <f>G696</f>
        <v>79753.6</v>
      </c>
      <c r="H695" s="27">
        <f>H696</f>
        <v>66712.5</v>
      </c>
      <c r="I695" s="27">
        <f t="shared" si="713"/>
        <v>79753.6</v>
      </c>
      <c r="J695" s="27">
        <f t="shared" si="713"/>
        <v>79753.6</v>
      </c>
      <c r="K695" s="27">
        <f t="shared" si="713"/>
        <v>79753.6</v>
      </c>
      <c r="L695" s="27">
        <f t="shared" si="713"/>
        <v>79753.6</v>
      </c>
      <c r="M695" s="27">
        <f t="shared" si="714"/>
        <v>79406.8</v>
      </c>
      <c r="N695" s="27">
        <f t="shared" si="714"/>
        <v>58590.8</v>
      </c>
      <c r="O695" s="27">
        <f t="shared" si="674"/>
        <v>73.78562037508122</v>
      </c>
    </row>
    <row r="696" spans="1:15" ht="15.75">
      <c r="A696" s="26" t="s">
        <v>326</v>
      </c>
      <c r="B696" s="215">
        <v>906</v>
      </c>
      <c r="C696" s="213" t="s">
        <v>316</v>
      </c>
      <c r="D696" s="213" t="s">
        <v>265</v>
      </c>
      <c r="E696" s="213" t="s">
        <v>514</v>
      </c>
      <c r="F696" s="213" t="s">
        <v>327</v>
      </c>
      <c r="G696" s="28">
        <f>93568.6-13815</f>
        <v>79753.6</v>
      </c>
      <c r="H696" s="28">
        <v>66712.5</v>
      </c>
      <c r="I696" s="28">
        <f aca="true" t="shared" si="715" ref="I696:L696">93568.6-13815</f>
        <v>79753.6</v>
      </c>
      <c r="J696" s="28">
        <f t="shared" si="715"/>
        <v>79753.6</v>
      </c>
      <c r="K696" s="28">
        <f t="shared" si="715"/>
        <v>79753.6</v>
      </c>
      <c r="L696" s="28">
        <f t="shared" si="715"/>
        <v>79753.6</v>
      </c>
      <c r="M696" s="28">
        <f>'прил.№1 доходы'!I128</f>
        <v>79406.8</v>
      </c>
      <c r="N696" s="28">
        <v>58590.8</v>
      </c>
      <c r="O696" s="27">
        <f t="shared" si="674"/>
        <v>73.78562037508122</v>
      </c>
    </row>
    <row r="697" spans="1:15" ht="63">
      <c r="A697" s="33" t="s">
        <v>341</v>
      </c>
      <c r="B697" s="215">
        <v>906</v>
      </c>
      <c r="C697" s="213" t="s">
        <v>316</v>
      </c>
      <c r="D697" s="213" t="s">
        <v>265</v>
      </c>
      <c r="E697" s="213" t="s">
        <v>342</v>
      </c>
      <c r="F697" s="213"/>
      <c r="G697" s="27">
        <f>G698</f>
        <v>910.9000000000001</v>
      </c>
      <c r="H697" s="27">
        <f>H698</f>
        <v>631.4</v>
      </c>
      <c r="I697" s="27">
        <f aca="true" t="shared" si="716" ref="I697:L697">I698</f>
        <v>910.9000000000001</v>
      </c>
      <c r="J697" s="27">
        <f t="shared" si="716"/>
        <v>910.9000000000001</v>
      </c>
      <c r="K697" s="27">
        <f t="shared" si="716"/>
        <v>910.9000000000001</v>
      </c>
      <c r="L697" s="27">
        <f t="shared" si="716"/>
        <v>910.9000000000001</v>
      </c>
      <c r="M697" s="27">
        <f aca="true" t="shared" si="717" ref="M697:N698">M698</f>
        <v>910.9000000000001</v>
      </c>
      <c r="N697" s="27">
        <f t="shared" si="717"/>
        <v>428.5</v>
      </c>
      <c r="O697" s="27">
        <f t="shared" si="674"/>
        <v>47.04138763859918</v>
      </c>
    </row>
    <row r="698" spans="1:15" ht="47.25">
      <c r="A698" s="26" t="s">
        <v>324</v>
      </c>
      <c r="B698" s="215">
        <v>906</v>
      </c>
      <c r="C698" s="213" t="s">
        <v>316</v>
      </c>
      <c r="D698" s="213" t="s">
        <v>265</v>
      </c>
      <c r="E698" s="213" t="s">
        <v>342</v>
      </c>
      <c r="F698" s="213" t="s">
        <v>325</v>
      </c>
      <c r="G698" s="27">
        <f aca="true" t="shared" si="718" ref="G698:L698">G699</f>
        <v>910.9000000000001</v>
      </c>
      <c r="H698" s="27">
        <f t="shared" si="718"/>
        <v>631.4</v>
      </c>
      <c r="I698" s="27">
        <f t="shared" si="718"/>
        <v>910.9000000000001</v>
      </c>
      <c r="J698" s="27">
        <f t="shared" si="718"/>
        <v>910.9000000000001</v>
      </c>
      <c r="K698" s="27">
        <f t="shared" si="718"/>
        <v>910.9000000000001</v>
      </c>
      <c r="L698" s="27">
        <f t="shared" si="718"/>
        <v>910.9000000000001</v>
      </c>
      <c r="M698" s="27">
        <f t="shared" si="717"/>
        <v>910.9000000000001</v>
      </c>
      <c r="N698" s="27">
        <f t="shared" si="717"/>
        <v>428.5</v>
      </c>
      <c r="O698" s="27">
        <f t="shared" si="674"/>
        <v>47.04138763859918</v>
      </c>
    </row>
    <row r="699" spans="1:15" ht="15.75">
      <c r="A699" s="26" t="s">
        <v>326</v>
      </c>
      <c r="B699" s="215">
        <v>906</v>
      </c>
      <c r="C699" s="213" t="s">
        <v>316</v>
      </c>
      <c r="D699" s="213" t="s">
        <v>265</v>
      </c>
      <c r="E699" s="213" t="s">
        <v>342</v>
      </c>
      <c r="F699" s="213" t="s">
        <v>327</v>
      </c>
      <c r="G699" s="28">
        <f>1101.7-190.8</f>
        <v>910.9000000000001</v>
      </c>
      <c r="H699" s="28">
        <v>631.4</v>
      </c>
      <c r="I699" s="28">
        <f aca="true" t="shared" si="719" ref="I699:L699">1101.7-190.8</f>
        <v>910.9000000000001</v>
      </c>
      <c r="J699" s="28">
        <f t="shared" si="719"/>
        <v>910.9000000000001</v>
      </c>
      <c r="K699" s="28">
        <f t="shared" si="719"/>
        <v>910.9000000000001</v>
      </c>
      <c r="L699" s="28">
        <f t="shared" si="719"/>
        <v>910.9000000000001</v>
      </c>
      <c r="M699" s="28">
        <f aca="true" t="shared" si="720" ref="M699">1101.7-190.8</f>
        <v>910.9000000000001</v>
      </c>
      <c r="N699" s="28">
        <v>428.5</v>
      </c>
      <c r="O699" s="27">
        <f t="shared" si="674"/>
        <v>47.04138763859918</v>
      </c>
    </row>
    <row r="700" spans="1:15" ht="78.75">
      <c r="A700" s="33" t="s">
        <v>343</v>
      </c>
      <c r="B700" s="215">
        <v>906</v>
      </c>
      <c r="C700" s="213" t="s">
        <v>316</v>
      </c>
      <c r="D700" s="213" t="s">
        <v>265</v>
      </c>
      <c r="E700" s="213" t="s">
        <v>344</v>
      </c>
      <c r="F700" s="213"/>
      <c r="G700" s="27">
        <f>G701</f>
        <v>2155.5</v>
      </c>
      <c r="H700" s="27">
        <f>H701</f>
        <v>1390.8</v>
      </c>
      <c r="I700" s="27">
        <f aca="true" t="shared" si="721" ref="I700:L700">I701</f>
        <v>2155.5</v>
      </c>
      <c r="J700" s="27">
        <f t="shared" si="721"/>
        <v>2155.5</v>
      </c>
      <c r="K700" s="27">
        <f t="shared" si="721"/>
        <v>2155.5</v>
      </c>
      <c r="L700" s="27">
        <f t="shared" si="721"/>
        <v>2155.5</v>
      </c>
      <c r="M700" s="27">
        <f aca="true" t="shared" si="722" ref="M700:N701">M701</f>
        <v>2230.5</v>
      </c>
      <c r="N700" s="27">
        <f t="shared" si="722"/>
        <v>1422.1</v>
      </c>
      <c r="O700" s="27">
        <f t="shared" si="674"/>
        <v>63.757005155794666</v>
      </c>
    </row>
    <row r="701" spans="1:15" ht="47.25">
      <c r="A701" s="26" t="s">
        <v>324</v>
      </c>
      <c r="B701" s="215">
        <v>906</v>
      </c>
      <c r="C701" s="213" t="s">
        <v>316</v>
      </c>
      <c r="D701" s="213" t="s">
        <v>265</v>
      </c>
      <c r="E701" s="213" t="s">
        <v>344</v>
      </c>
      <c r="F701" s="213" t="s">
        <v>325</v>
      </c>
      <c r="G701" s="27">
        <f aca="true" t="shared" si="723" ref="G701:L701">G702</f>
        <v>2155.5</v>
      </c>
      <c r="H701" s="27">
        <f t="shared" si="723"/>
        <v>1390.8</v>
      </c>
      <c r="I701" s="27">
        <f t="shared" si="723"/>
        <v>2155.5</v>
      </c>
      <c r="J701" s="27">
        <f t="shared" si="723"/>
        <v>2155.5</v>
      </c>
      <c r="K701" s="27">
        <f t="shared" si="723"/>
        <v>2155.5</v>
      </c>
      <c r="L701" s="27">
        <f t="shared" si="723"/>
        <v>2155.5</v>
      </c>
      <c r="M701" s="27">
        <f t="shared" si="722"/>
        <v>2230.5</v>
      </c>
      <c r="N701" s="27">
        <f t="shared" si="722"/>
        <v>1422.1</v>
      </c>
      <c r="O701" s="27">
        <f t="shared" si="674"/>
        <v>63.757005155794666</v>
      </c>
    </row>
    <row r="702" spans="1:15" ht="15.75">
      <c r="A702" s="26" t="s">
        <v>326</v>
      </c>
      <c r="B702" s="215">
        <v>906</v>
      </c>
      <c r="C702" s="213" t="s">
        <v>316</v>
      </c>
      <c r="D702" s="213" t="s">
        <v>265</v>
      </c>
      <c r="E702" s="213" t="s">
        <v>344</v>
      </c>
      <c r="F702" s="213" t="s">
        <v>327</v>
      </c>
      <c r="G702" s="28">
        <f>2823.2-667.7</f>
        <v>2155.5</v>
      </c>
      <c r="H702" s="28">
        <v>1390.8</v>
      </c>
      <c r="I702" s="28">
        <f aca="true" t="shared" si="724" ref="I702:L702">2823.2-667.7</f>
        <v>2155.5</v>
      </c>
      <c r="J702" s="28">
        <f t="shared" si="724"/>
        <v>2155.5</v>
      </c>
      <c r="K702" s="28">
        <f t="shared" si="724"/>
        <v>2155.5</v>
      </c>
      <c r="L702" s="28">
        <f t="shared" si="724"/>
        <v>2155.5</v>
      </c>
      <c r="M702" s="28">
        <f>2823.2-667.7+75</f>
        <v>2230.5</v>
      </c>
      <c r="N702" s="28">
        <v>1422.1</v>
      </c>
      <c r="O702" s="27">
        <f t="shared" si="674"/>
        <v>63.757005155794666</v>
      </c>
    </row>
    <row r="703" spans="1:15" ht="47.25">
      <c r="A703" s="33" t="s">
        <v>515</v>
      </c>
      <c r="B703" s="215">
        <v>906</v>
      </c>
      <c r="C703" s="213" t="s">
        <v>316</v>
      </c>
      <c r="D703" s="213" t="s">
        <v>265</v>
      </c>
      <c r="E703" s="213" t="s">
        <v>516</v>
      </c>
      <c r="F703" s="213"/>
      <c r="G703" s="27">
        <f aca="true" t="shared" si="725" ref="G703:L704">G704</f>
        <v>886.5</v>
      </c>
      <c r="H703" s="27">
        <f t="shared" si="725"/>
        <v>623.2</v>
      </c>
      <c r="I703" s="27">
        <f t="shared" si="725"/>
        <v>886.5</v>
      </c>
      <c r="J703" s="27">
        <f t="shared" si="725"/>
        <v>886.5</v>
      </c>
      <c r="K703" s="27">
        <f t="shared" si="725"/>
        <v>886.5</v>
      </c>
      <c r="L703" s="27">
        <f t="shared" si="725"/>
        <v>886.5</v>
      </c>
      <c r="M703" s="27">
        <f aca="true" t="shared" si="726" ref="M703:N704">M704</f>
        <v>942</v>
      </c>
      <c r="N703" s="27">
        <f t="shared" si="726"/>
        <v>647</v>
      </c>
      <c r="O703" s="27">
        <f t="shared" si="674"/>
        <v>68.68365180467092</v>
      </c>
    </row>
    <row r="704" spans="1:15" ht="47.25">
      <c r="A704" s="26" t="s">
        <v>324</v>
      </c>
      <c r="B704" s="215">
        <v>906</v>
      </c>
      <c r="C704" s="213" t="s">
        <v>316</v>
      </c>
      <c r="D704" s="213" t="s">
        <v>265</v>
      </c>
      <c r="E704" s="213" t="s">
        <v>516</v>
      </c>
      <c r="F704" s="213" t="s">
        <v>325</v>
      </c>
      <c r="G704" s="27">
        <f>G705</f>
        <v>886.5</v>
      </c>
      <c r="H704" s="27">
        <f>H705</f>
        <v>623.2</v>
      </c>
      <c r="I704" s="27">
        <f t="shared" si="725"/>
        <v>886.5</v>
      </c>
      <c r="J704" s="27">
        <f t="shared" si="725"/>
        <v>886.5</v>
      </c>
      <c r="K704" s="27">
        <f t="shared" si="725"/>
        <v>886.5</v>
      </c>
      <c r="L704" s="27">
        <f t="shared" si="725"/>
        <v>886.5</v>
      </c>
      <c r="M704" s="27">
        <f t="shared" si="726"/>
        <v>942</v>
      </c>
      <c r="N704" s="27">
        <f t="shared" si="726"/>
        <v>647</v>
      </c>
      <c r="O704" s="27">
        <f t="shared" si="674"/>
        <v>68.68365180467092</v>
      </c>
    </row>
    <row r="705" spans="1:15" ht="15.75">
      <c r="A705" s="26" t="s">
        <v>326</v>
      </c>
      <c r="B705" s="215">
        <v>906</v>
      </c>
      <c r="C705" s="213" t="s">
        <v>316</v>
      </c>
      <c r="D705" s="213" t="s">
        <v>265</v>
      </c>
      <c r="E705" s="213" t="s">
        <v>516</v>
      </c>
      <c r="F705" s="213" t="s">
        <v>327</v>
      </c>
      <c r="G705" s="28">
        <f>998.4-111.9</f>
        <v>886.5</v>
      </c>
      <c r="H705" s="28">
        <v>623.2</v>
      </c>
      <c r="I705" s="28">
        <f aca="true" t="shared" si="727" ref="I705:L705">998.4-111.9</f>
        <v>886.5</v>
      </c>
      <c r="J705" s="28">
        <f t="shared" si="727"/>
        <v>886.5</v>
      </c>
      <c r="K705" s="28">
        <f t="shared" si="727"/>
        <v>886.5</v>
      </c>
      <c r="L705" s="28">
        <f t="shared" si="727"/>
        <v>886.5</v>
      </c>
      <c r="M705" s="28">
        <f>'прил.№1 доходы'!I138</f>
        <v>942</v>
      </c>
      <c r="N705" s="28">
        <v>647</v>
      </c>
      <c r="O705" s="27">
        <f t="shared" si="674"/>
        <v>68.68365180467092</v>
      </c>
    </row>
    <row r="706" spans="1:15" ht="110.25">
      <c r="A706" s="33" t="s">
        <v>517</v>
      </c>
      <c r="B706" s="215">
        <v>906</v>
      </c>
      <c r="C706" s="213" t="s">
        <v>316</v>
      </c>
      <c r="D706" s="213" t="s">
        <v>265</v>
      </c>
      <c r="E706" s="213" t="s">
        <v>346</v>
      </c>
      <c r="F706" s="213"/>
      <c r="G706" s="27">
        <f>G707</f>
        <v>4369</v>
      </c>
      <c r="H706" s="27">
        <f>H707</f>
        <v>2959.98</v>
      </c>
      <c r="I706" s="27">
        <f aca="true" t="shared" si="728" ref="I706:L706">I707</f>
        <v>4369</v>
      </c>
      <c r="J706" s="27">
        <f t="shared" si="728"/>
        <v>4369</v>
      </c>
      <c r="K706" s="27">
        <f t="shared" si="728"/>
        <v>4369</v>
      </c>
      <c r="L706" s="27">
        <f t="shared" si="728"/>
        <v>4369</v>
      </c>
      <c r="M706" s="27">
        <f aca="true" t="shared" si="729" ref="M706:N707">M707</f>
        <v>4294.7</v>
      </c>
      <c r="N706" s="27">
        <f t="shared" si="729"/>
        <v>2068.1</v>
      </c>
      <c r="O706" s="27">
        <f t="shared" si="674"/>
        <v>48.154702307495285</v>
      </c>
    </row>
    <row r="707" spans="1:15" ht="47.25">
      <c r="A707" s="26" t="s">
        <v>324</v>
      </c>
      <c r="B707" s="215">
        <v>906</v>
      </c>
      <c r="C707" s="213" t="s">
        <v>316</v>
      </c>
      <c r="D707" s="213" t="s">
        <v>265</v>
      </c>
      <c r="E707" s="213" t="s">
        <v>346</v>
      </c>
      <c r="F707" s="213" t="s">
        <v>325</v>
      </c>
      <c r="G707" s="27">
        <f aca="true" t="shared" si="730" ref="G707:L707">G708</f>
        <v>4369</v>
      </c>
      <c r="H707" s="27">
        <f t="shared" si="730"/>
        <v>2959.98</v>
      </c>
      <c r="I707" s="27">
        <f t="shared" si="730"/>
        <v>4369</v>
      </c>
      <c r="J707" s="27">
        <f t="shared" si="730"/>
        <v>4369</v>
      </c>
      <c r="K707" s="27">
        <f t="shared" si="730"/>
        <v>4369</v>
      </c>
      <c r="L707" s="27">
        <f t="shared" si="730"/>
        <v>4369</v>
      </c>
      <c r="M707" s="27">
        <f t="shared" si="729"/>
        <v>4294.7</v>
      </c>
      <c r="N707" s="27">
        <f t="shared" si="729"/>
        <v>2068.1</v>
      </c>
      <c r="O707" s="27">
        <f t="shared" si="674"/>
        <v>48.154702307495285</v>
      </c>
    </row>
    <row r="708" spans="1:15" ht="15.75">
      <c r="A708" s="26" t="s">
        <v>326</v>
      </c>
      <c r="B708" s="215">
        <v>906</v>
      </c>
      <c r="C708" s="213" t="s">
        <v>316</v>
      </c>
      <c r="D708" s="213" t="s">
        <v>265</v>
      </c>
      <c r="E708" s="213" t="s">
        <v>346</v>
      </c>
      <c r="F708" s="213" t="s">
        <v>327</v>
      </c>
      <c r="G708" s="28">
        <f>5441.9-1072.9</f>
        <v>4369</v>
      </c>
      <c r="H708" s="28">
        <v>2959.98</v>
      </c>
      <c r="I708" s="28">
        <f aca="true" t="shared" si="731" ref="I708:L708">5441.9-1072.9</f>
        <v>4369</v>
      </c>
      <c r="J708" s="28">
        <f t="shared" si="731"/>
        <v>4369</v>
      </c>
      <c r="K708" s="28">
        <f t="shared" si="731"/>
        <v>4369</v>
      </c>
      <c r="L708" s="28">
        <f t="shared" si="731"/>
        <v>4369</v>
      </c>
      <c r="M708" s="28">
        <f>5441.9-1072.9-74.3</f>
        <v>4294.7</v>
      </c>
      <c r="N708" s="28">
        <v>2068.1</v>
      </c>
      <c r="O708" s="27">
        <f t="shared" si="674"/>
        <v>48.154702307495285</v>
      </c>
    </row>
    <row r="709" spans="1:15" ht="15.75">
      <c r="A709" s="24" t="s">
        <v>317</v>
      </c>
      <c r="B709" s="212">
        <v>906</v>
      </c>
      <c r="C709" s="214" t="s">
        <v>316</v>
      </c>
      <c r="D709" s="214" t="s">
        <v>267</v>
      </c>
      <c r="E709" s="214"/>
      <c r="F709" s="214"/>
      <c r="G709" s="46">
        <f>G710+G722</f>
        <v>23062.100000000002</v>
      </c>
      <c r="H709" s="46">
        <f aca="true" t="shared" si="732" ref="H709:L709">H710+H722</f>
        <v>19022.7</v>
      </c>
      <c r="I709" s="46">
        <f t="shared" si="732"/>
        <v>23741.600000000002</v>
      </c>
      <c r="J709" s="46">
        <f t="shared" si="732"/>
        <v>27922</v>
      </c>
      <c r="K709" s="46">
        <f t="shared" si="732"/>
        <v>28211</v>
      </c>
      <c r="L709" s="46">
        <f t="shared" si="732"/>
        <v>28385.2</v>
      </c>
      <c r="M709" s="46">
        <f aca="true" t="shared" si="733" ref="M709:N709">M710+M722</f>
        <v>23507.799999999996</v>
      </c>
      <c r="N709" s="46">
        <f t="shared" si="733"/>
        <v>16387.4</v>
      </c>
      <c r="O709" s="22">
        <f t="shared" si="674"/>
        <v>69.71047907503043</v>
      </c>
    </row>
    <row r="710" spans="1:15" ht="47.25">
      <c r="A710" s="26" t="s">
        <v>479</v>
      </c>
      <c r="B710" s="215">
        <v>906</v>
      </c>
      <c r="C710" s="213" t="s">
        <v>316</v>
      </c>
      <c r="D710" s="213" t="s">
        <v>267</v>
      </c>
      <c r="E710" s="213" t="s">
        <v>459</v>
      </c>
      <c r="F710" s="213"/>
      <c r="G710" s="28">
        <f>G711+G715</f>
        <v>21479.9</v>
      </c>
      <c r="H710" s="28">
        <f aca="true" t="shared" si="734" ref="H710:M710">H711+H715</f>
        <v>18210</v>
      </c>
      <c r="I710" s="28">
        <f t="shared" si="734"/>
        <v>22159.4</v>
      </c>
      <c r="J710" s="28">
        <f t="shared" si="734"/>
        <v>26339.8</v>
      </c>
      <c r="K710" s="28">
        <f t="shared" si="734"/>
        <v>26628.8</v>
      </c>
      <c r="L710" s="28">
        <f t="shared" si="734"/>
        <v>26803</v>
      </c>
      <c r="M710" s="28">
        <f t="shared" si="734"/>
        <v>21921.199999999997</v>
      </c>
      <c r="N710" s="28">
        <f aca="true" t="shared" si="735" ref="N710">N711+N715</f>
        <v>15654</v>
      </c>
      <c r="O710" s="27">
        <f t="shared" si="674"/>
        <v>71.41032425232197</v>
      </c>
    </row>
    <row r="711" spans="1:15" ht="47.25">
      <c r="A711" s="26" t="s">
        <v>460</v>
      </c>
      <c r="B711" s="215">
        <v>906</v>
      </c>
      <c r="C711" s="213" t="s">
        <v>316</v>
      </c>
      <c r="D711" s="213" t="s">
        <v>267</v>
      </c>
      <c r="E711" s="213" t="s">
        <v>461</v>
      </c>
      <c r="F711" s="213"/>
      <c r="G711" s="28">
        <f>G712</f>
        <v>21124</v>
      </c>
      <c r="H711" s="28">
        <f aca="true" t="shared" si="736" ref="H711:H713">H712</f>
        <v>18210</v>
      </c>
      <c r="I711" s="28">
        <f aca="true" t="shared" si="737" ref="I711:L713">I712</f>
        <v>21803.5</v>
      </c>
      <c r="J711" s="28">
        <f t="shared" si="737"/>
        <v>25586.7</v>
      </c>
      <c r="K711" s="28">
        <f t="shared" si="737"/>
        <v>25875.7</v>
      </c>
      <c r="L711" s="28">
        <f t="shared" si="737"/>
        <v>26049.9</v>
      </c>
      <c r="M711" s="28">
        <f aca="true" t="shared" si="738" ref="M711:N713">M712</f>
        <v>21168.1</v>
      </c>
      <c r="N711" s="28">
        <f t="shared" si="738"/>
        <v>14900.9</v>
      </c>
      <c r="O711" s="27">
        <f t="shared" si="674"/>
        <v>70.3931859732333</v>
      </c>
    </row>
    <row r="712" spans="1:15" ht="47.25">
      <c r="A712" s="26" t="s">
        <v>322</v>
      </c>
      <c r="B712" s="215">
        <v>906</v>
      </c>
      <c r="C712" s="213" t="s">
        <v>316</v>
      </c>
      <c r="D712" s="213" t="s">
        <v>267</v>
      </c>
      <c r="E712" s="213" t="s">
        <v>482</v>
      </c>
      <c r="F712" s="213"/>
      <c r="G712" s="28">
        <f>G713</f>
        <v>21124</v>
      </c>
      <c r="H712" s="28">
        <f t="shared" si="736"/>
        <v>18210</v>
      </c>
      <c r="I712" s="28">
        <f t="shared" si="737"/>
        <v>21803.5</v>
      </c>
      <c r="J712" s="28">
        <f t="shared" si="737"/>
        <v>25586.7</v>
      </c>
      <c r="K712" s="28">
        <f t="shared" si="737"/>
        <v>25875.7</v>
      </c>
      <c r="L712" s="28">
        <f t="shared" si="737"/>
        <v>26049.9</v>
      </c>
      <c r="M712" s="28">
        <f t="shared" si="738"/>
        <v>21168.1</v>
      </c>
      <c r="N712" s="28">
        <f t="shared" si="738"/>
        <v>14900.9</v>
      </c>
      <c r="O712" s="27">
        <f t="shared" si="674"/>
        <v>70.3931859732333</v>
      </c>
    </row>
    <row r="713" spans="1:15" ht="47.25">
      <c r="A713" s="26" t="s">
        <v>324</v>
      </c>
      <c r="B713" s="215">
        <v>906</v>
      </c>
      <c r="C713" s="213" t="s">
        <v>316</v>
      </c>
      <c r="D713" s="213" t="s">
        <v>267</v>
      </c>
      <c r="E713" s="213" t="s">
        <v>482</v>
      </c>
      <c r="F713" s="213" t="s">
        <v>325</v>
      </c>
      <c r="G713" s="28">
        <f>G714</f>
        <v>21124</v>
      </c>
      <c r="H713" s="28">
        <f t="shared" si="736"/>
        <v>18210</v>
      </c>
      <c r="I713" s="28">
        <f t="shared" si="737"/>
        <v>21803.5</v>
      </c>
      <c r="J713" s="28">
        <f t="shared" si="737"/>
        <v>25586.7</v>
      </c>
      <c r="K713" s="28">
        <f t="shared" si="737"/>
        <v>25875.7</v>
      </c>
      <c r="L713" s="28">
        <f t="shared" si="737"/>
        <v>26049.9</v>
      </c>
      <c r="M713" s="28">
        <f t="shared" si="738"/>
        <v>21168.1</v>
      </c>
      <c r="N713" s="28">
        <f t="shared" si="738"/>
        <v>14900.9</v>
      </c>
      <c r="O713" s="27">
        <f t="shared" si="674"/>
        <v>70.3931859732333</v>
      </c>
    </row>
    <row r="714" spans="1:16" ht="15.75">
      <c r="A714" s="26" t="s">
        <v>326</v>
      </c>
      <c r="B714" s="215">
        <v>906</v>
      </c>
      <c r="C714" s="213" t="s">
        <v>316</v>
      </c>
      <c r="D714" s="213" t="s">
        <v>267</v>
      </c>
      <c r="E714" s="213" t="s">
        <v>482</v>
      </c>
      <c r="F714" s="213" t="s">
        <v>327</v>
      </c>
      <c r="G714" s="28">
        <f>21044+80</f>
        <v>21124</v>
      </c>
      <c r="H714" s="28">
        <v>18210</v>
      </c>
      <c r="I714" s="28">
        <v>21803.5</v>
      </c>
      <c r="J714" s="28">
        <v>25586.7</v>
      </c>
      <c r="K714" s="28">
        <v>25875.7</v>
      </c>
      <c r="L714" s="28">
        <v>26049.9</v>
      </c>
      <c r="M714" s="28">
        <f>21618.8-450.7</f>
        <v>21168.1</v>
      </c>
      <c r="N714" s="28">
        <v>14900.9</v>
      </c>
      <c r="O714" s="27">
        <f t="shared" si="674"/>
        <v>70.3931859732333</v>
      </c>
      <c r="P714" s="139"/>
    </row>
    <row r="715" spans="1:15" ht="43.5" customHeight="1">
      <c r="A715" s="33" t="s">
        <v>794</v>
      </c>
      <c r="B715" s="215">
        <v>906</v>
      </c>
      <c r="C715" s="213" t="s">
        <v>316</v>
      </c>
      <c r="D715" s="213" t="s">
        <v>267</v>
      </c>
      <c r="E715" s="213" t="s">
        <v>500</v>
      </c>
      <c r="F715" s="213"/>
      <c r="G715" s="28">
        <f>G716+G721</f>
        <v>355.9</v>
      </c>
      <c r="H715" s="28">
        <f aca="true" t="shared" si="739" ref="H715">H716</f>
        <v>0</v>
      </c>
      <c r="I715" s="28">
        <f aca="true" t="shared" si="740" ref="I715:L715">I716+I721</f>
        <v>355.9</v>
      </c>
      <c r="J715" s="28">
        <f t="shared" si="740"/>
        <v>753.1</v>
      </c>
      <c r="K715" s="28">
        <f t="shared" si="740"/>
        <v>753.1</v>
      </c>
      <c r="L715" s="28">
        <f t="shared" si="740"/>
        <v>753.1</v>
      </c>
      <c r="M715" s="28">
        <f>M716+M721</f>
        <v>753.1</v>
      </c>
      <c r="N715" s="28">
        <f aca="true" t="shared" si="741" ref="N715">N716+N721</f>
        <v>753.1</v>
      </c>
      <c r="O715" s="27">
        <f t="shared" si="674"/>
        <v>100</v>
      </c>
    </row>
    <row r="716" spans="1:15" ht="31.5" hidden="1">
      <c r="A716" s="47" t="s">
        <v>879</v>
      </c>
      <c r="B716" s="215">
        <v>906</v>
      </c>
      <c r="C716" s="213" t="s">
        <v>316</v>
      </c>
      <c r="D716" s="213" t="s">
        <v>267</v>
      </c>
      <c r="E716" s="213" t="s">
        <v>796</v>
      </c>
      <c r="F716" s="213"/>
      <c r="G716" s="28">
        <f>G717</f>
        <v>355.9</v>
      </c>
      <c r="H716" s="28">
        <v>0</v>
      </c>
      <c r="I716" s="28">
        <f aca="true" t="shared" si="742" ref="I716:N716">I717</f>
        <v>355.9</v>
      </c>
      <c r="J716" s="28">
        <f t="shared" si="742"/>
        <v>0</v>
      </c>
      <c r="K716" s="28">
        <f t="shared" si="742"/>
        <v>0</v>
      </c>
      <c r="L716" s="28">
        <f t="shared" si="742"/>
        <v>0</v>
      </c>
      <c r="M716" s="28">
        <f t="shared" si="742"/>
        <v>0</v>
      </c>
      <c r="N716" s="28">
        <f t="shared" si="742"/>
        <v>0</v>
      </c>
      <c r="O716" s="27" t="e">
        <f t="shared" si="674"/>
        <v>#DIV/0!</v>
      </c>
    </row>
    <row r="717" spans="1:15" ht="47.25" hidden="1">
      <c r="A717" s="33" t="s">
        <v>324</v>
      </c>
      <c r="B717" s="215">
        <v>906</v>
      </c>
      <c r="C717" s="213" t="s">
        <v>316</v>
      </c>
      <c r="D717" s="213" t="s">
        <v>267</v>
      </c>
      <c r="E717" s="213" t="s">
        <v>796</v>
      </c>
      <c r="F717" s="213" t="s">
        <v>325</v>
      </c>
      <c r="G717" s="28">
        <f>G718</f>
        <v>355.9</v>
      </c>
      <c r="H717" s="28">
        <v>0</v>
      </c>
      <c r="I717" s="28">
        <f aca="true" t="shared" si="743" ref="I717:L720">I718</f>
        <v>355.9</v>
      </c>
      <c r="J717" s="28">
        <f t="shared" si="743"/>
        <v>0</v>
      </c>
      <c r="K717" s="28">
        <f t="shared" si="743"/>
        <v>0</v>
      </c>
      <c r="L717" s="28">
        <f t="shared" si="743"/>
        <v>0</v>
      </c>
      <c r="M717" s="28">
        <f aca="true" t="shared" si="744" ref="M717:N717">M718</f>
        <v>0</v>
      </c>
      <c r="N717" s="28">
        <f t="shared" si="744"/>
        <v>0</v>
      </c>
      <c r="O717" s="27" t="e">
        <f aca="true" t="shared" si="745" ref="O717:O780">N717/M717*100</f>
        <v>#DIV/0!</v>
      </c>
    </row>
    <row r="718" spans="1:15" ht="15.75" hidden="1">
      <c r="A718" s="33" t="s">
        <v>326</v>
      </c>
      <c r="B718" s="215">
        <v>906</v>
      </c>
      <c r="C718" s="213" t="s">
        <v>316</v>
      </c>
      <c r="D718" s="213" t="s">
        <v>267</v>
      </c>
      <c r="E718" s="213" t="s">
        <v>796</v>
      </c>
      <c r="F718" s="213" t="s">
        <v>327</v>
      </c>
      <c r="G718" s="28">
        <v>355.9</v>
      </c>
      <c r="H718" s="28">
        <v>0</v>
      </c>
      <c r="I718" s="28">
        <v>355.9</v>
      </c>
      <c r="J718" s="28">
        <v>0</v>
      </c>
      <c r="K718" s="28">
        <v>0</v>
      </c>
      <c r="L718" s="28">
        <v>0</v>
      </c>
      <c r="M718" s="28">
        <v>0</v>
      </c>
      <c r="N718" s="28">
        <v>0</v>
      </c>
      <c r="O718" s="27" t="e">
        <f t="shared" si="745"/>
        <v>#DIV/0!</v>
      </c>
    </row>
    <row r="719" spans="1:15" ht="47.25">
      <c r="A719" s="47" t="s">
        <v>865</v>
      </c>
      <c r="B719" s="215">
        <v>906</v>
      </c>
      <c r="C719" s="213" t="s">
        <v>316</v>
      </c>
      <c r="D719" s="213" t="s">
        <v>267</v>
      </c>
      <c r="E719" s="213" t="s">
        <v>866</v>
      </c>
      <c r="F719" s="213"/>
      <c r="G719" s="28">
        <f>G720</f>
        <v>0</v>
      </c>
      <c r="H719" s="28">
        <v>0</v>
      </c>
      <c r="I719" s="28">
        <f t="shared" si="743"/>
        <v>0</v>
      </c>
      <c r="J719" s="28">
        <f t="shared" si="743"/>
        <v>753.1</v>
      </c>
      <c r="K719" s="28">
        <f t="shared" si="743"/>
        <v>753.1</v>
      </c>
      <c r="L719" s="28">
        <f t="shared" si="743"/>
        <v>753.1</v>
      </c>
      <c r="M719" s="28">
        <f>M720</f>
        <v>753.1</v>
      </c>
      <c r="N719" s="28">
        <f aca="true" t="shared" si="746" ref="N719:N720">N720</f>
        <v>753.1</v>
      </c>
      <c r="O719" s="27">
        <f t="shared" si="745"/>
        <v>100</v>
      </c>
    </row>
    <row r="720" spans="1:15" ht="47.25">
      <c r="A720" s="26" t="s">
        <v>324</v>
      </c>
      <c r="B720" s="215">
        <v>906</v>
      </c>
      <c r="C720" s="213" t="s">
        <v>316</v>
      </c>
      <c r="D720" s="213" t="s">
        <v>267</v>
      </c>
      <c r="E720" s="213" t="s">
        <v>866</v>
      </c>
      <c r="F720" s="213" t="s">
        <v>325</v>
      </c>
      <c r="G720" s="28">
        <f>G721</f>
        <v>0</v>
      </c>
      <c r="H720" s="28">
        <v>0</v>
      </c>
      <c r="I720" s="28">
        <f t="shared" si="743"/>
        <v>0</v>
      </c>
      <c r="J720" s="28">
        <f t="shared" si="743"/>
        <v>753.1</v>
      </c>
      <c r="K720" s="28">
        <f t="shared" si="743"/>
        <v>753.1</v>
      </c>
      <c r="L720" s="28">
        <f t="shared" si="743"/>
        <v>753.1</v>
      </c>
      <c r="M720" s="28">
        <f>M721</f>
        <v>753.1</v>
      </c>
      <c r="N720" s="28">
        <f t="shared" si="746"/>
        <v>753.1</v>
      </c>
      <c r="O720" s="27">
        <f t="shared" si="745"/>
        <v>100</v>
      </c>
    </row>
    <row r="721" spans="1:15" ht="15.75">
      <c r="A721" s="33" t="s">
        <v>326</v>
      </c>
      <c r="B721" s="215">
        <v>906</v>
      </c>
      <c r="C721" s="213" t="s">
        <v>316</v>
      </c>
      <c r="D721" s="213" t="s">
        <v>267</v>
      </c>
      <c r="E721" s="213" t="s">
        <v>866</v>
      </c>
      <c r="F721" s="213" t="s">
        <v>327</v>
      </c>
      <c r="G721" s="28">
        <v>0</v>
      </c>
      <c r="H721" s="28">
        <v>0</v>
      </c>
      <c r="I721" s="28">
        <v>0</v>
      </c>
      <c r="J721" s="28">
        <v>753.1</v>
      </c>
      <c r="K721" s="28">
        <v>753.1</v>
      </c>
      <c r="L721" s="28">
        <v>753.1</v>
      </c>
      <c r="M721" s="28">
        <v>753.1</v>
      </c>
      <c r="N721" s="28">
        <v>753.1</v>
      </c>
      <c r="O721" s="27">
        <f t="shared" si="745"/>
        <v>100</v>
      </c>
    </row>
    <row r="722" spans="1:15" ht="15.75">
      <c r="A722" s="26" t="s">
        <v>518</v>
      </c>
      <c r="B722" s="215">
        <v>906</v>
      </c>
      <c r="C722" s="213" t="s">
        <v>316</v>
      </c>
      <c r="D722" s="213" t="s">
        <v>267</v>
      </c>
      <c r="E722" s="213" t="s">
        <v>174</v>
      </c>
      <c r="F722" s="213"/>
      <c r="G722" s="28">
        <f>G723</f>
        <v>1582.2</v>
      </c>
      <c r="H722" s="28">
        <f>H723</f>
        <v>812.7</v>
      </c>
      <c r="I722" s="28">
        <f aca="true" t="shared" si="747" ref="I722:L722">I723</f>
        <v>1582.2</v>
      </c>
      <c r="J722" s="28">
        <f t="shared" si="747"/>
        <v>1582.2</v>
      </c>
      <c r="K722" s="28">
        <f t="shared" si="747"/>
        <v>1582.2</v>
      </c>
      <c r="L722" s="28">
        <f t="shared" si="747"/>
        <v>1582.2</v>
      </c>
      <c r="M722" s="28">
        <f aca="true" t="shared" si="748" ref="M722:N722">M723</f>
        <v>1586.6</v>
      </c>
      <c r="N722" s="28">
        <f t="shared" si="748"/>
        <v>733.4</v>
      </c>
      <c r="O722" s="27">
        <f t="shared" si="745"/>
        <v>46.22463128702886</v>
      </c>
    </row>
    <row r="723" spans="1:15" ht="31.5">
      <c r="A723" s="26" t="s">
        <v>237</v>
      </c>
      <c r="B723" s="215">
        <v>906</v>
      </c>
      <c r="C723" s="213" t="s">
        <v>316</v>
      </c>
      <c r="D723" s="213" t="s">
        <v>267</v>
      </c>
      <c r="E723" s="213" t="s">
        <v>238</v>
      </c>
      <c r="F723" s="213"/>
      <c r="G723" s="28">
        <f>G724+G727+G730</f>
        <v>1582.2</v>
      </c>
      <c r="H723" s="28">
        <f>H724+H727+H730</f>
        <v>812.7</v>
      </c>
      <c r="I723" s="28">
        <f aca="true" t="shared" si="749" ref="I723:L723">I724+I727+I730</f>
        <v>1582.2</v>
      </c>
      <c r="J723" s="28">
        <f t="shared" si="749"/>
        <v>1582.2</v>
      </c>
      <c r="K723" s="28">
        <f t="shared" si="749"/>
        <v>1582.2</v>
      </c>
      <c r="L723" s="28">
        <f t="shared" si="749"/>
        <v>1582.2</v>
      </c>
      <c r="M723" s="28">
        <f aca="true" t="shared" si="750" ref="M723:N723">M724+M727+M730</f>
        <v>1586.6</v>
      </c>
      <c r="N723" s="28">
        <f t="shared" si="750"/>
        <v>733.4</v>
      </c>
      <c r="O723" s="27">
        <f t="shared" si="745"/>
        <v>46.22463128702886</v>
      </c>
    </row>
    <row r="724" spans="1:15" ht="63">
      <c r="A724" s="33" t="s">
        <v>341</v>
      </c>
      <c r="B724" s="215">
        <v>906</v>
      </c>
      <c r="C724" s="213" t="s">
        <v>316</v>
      </c>
      <c r="D724" s="213" t="s">
        <v>267</v>
      </c>
      <c r="E724" s="213" t="s">
        <v>342</v>
      </c>
      <c r="F724" s="213"/>
      <c r="G724" s="28">
        <f>G725</f>
        <v>110</v>
      </c>
      <c r="H724" s="28">
        <f>H725</f>
        <v>67.3</v>
      </c>
      <c r="I724" s="28">
        <f aca="true" t="shared" si="751" ref="I724:L725">I725</f>
        <v>110</v>
      </c>
      <c r="J724" s="28">
        <f t="shared" si="751"/>
        <v>110</v>
      </c>
      <c r="K724" s="28">
        <f t="shared" si="751"/>
        <v>110</v>
      </c>
      <c r="L724" s="28">
        <f t="shared" si="751"/>
        <v>110</v>
      </c>
      <c r="M724" s="28">
        <f aca="true" t="shared" si="752" ref="M724:N725">M725</f>
        <v>110</v>
      </c>
      <c r="N724" s="28">
        <f t="shared" si="752"/>
        <v>58.9</v>
      </c>
      <c r="O724" s="27">
        <f t="shared" si="745"/>
        <v>53.54545454545454</v>
      </c>
    </row>
    <row r="725" spans="1:15" ht="47.25">
      <c r="A725" s="26" t="s">
        <v>324</v>
      </c>
      <c r="B725" s="215">
        <v>906</v>
      </c>
      <c r="C725" s="213" t="s">
        <v>316</v>
      </c>
      <c r="D725" s="213" t="s">
        <v>267</v>
      </c>
      <c r="E725" s="213" t="s">
        <v>342</v>
      </c>
      <c r="F725" s="213" t="s">
        <v>325</v>
      </c>
      <c r="G725" s="28">
        <f>G726</f>
        <v>110</v>
      </c>
      <c r="H725" s="28">
        <f>H726</f>
        <v>67.3</v>
      </c>
      <c r="I725" s="28">
        <f t="shared" si="751"/>
        <v>110</v>
      </c>
      <c r="J725" s="28">
        <f t="shared" si="751"/>
        <v>110</v>
      </c>
      <c r="K725" s="28">
        <f t="shared" si="751"/>
        <v>110</v>
      </c>
      <c r="L725" s="28">
        <f t="shared" si="751"/>
        <v>110</v>
      </c>
      <c r="M725" s="28">
        <f t="shared" si="752"/>
        <v>110</v>
      </c>
      <c r="N725" s="28">
        <f t="shared" si="752"/>
        <v>58.9</v>
      </c>
      <c r="O725" s="27">
        <f t="shared" si="745"/>
        <v>53.54545454545454</v>
      </c>
    </row>
    <row r="726" spans="1:15" ht="15.75">
      <c r="A726" s="26" t="s">
        <v>326</v>
      </c>
      <c r="B726" s="215">
        <v>906</v>
      </c>
      <c r="C726" s="213" t="s">
        <v>316</v>
      </c>
      <c r="D726" s="213" t="s">
        <v>267</v>
      </c>
      <c r="E726" s="213" t="s">
        <v>342</v>
      </c>
      <c r="F726" s="213" t="s">
        <v>327</v>
      </c>
      <c r="G726" s="28">
        <v>110</v>
      </c>
      <c r="H726" s="28">
        <v>67.3</v>
      </c>
      <c r="I726" s="28">
        <v>110</v>
      </c>
      <c r="J726" s="28">
        <v>110</v>
      </c>
      <c r="K726" s="28">
        <v>110</v>
      </c>
      <c r="L726" s="28">
        <v>110</v>
      </c>
      <c r="M726" s="28">
        <v>110</v>
      </c>
      <c r="N726" s="28">
        <v>58.9</v>
      </c>
      <c r="O726" s="27">
        <f t="shared" si="745"/>
        <v>53.54545454545454</v>
      </c>
    </row>
    <row r="727" spans="1:15" ht="78.75">
      <c r="A727" s="33" t="s">
        <v>343</v>
      </c>
      <c r="B727" s="215">
        <v>906</v>
      </c>
      <c r="C727" s="213" t="s">
        <v>316</v>
      </c>
      <c r="D727" s="213" t="s">
        <v>267</v>
      </c>
      <c r="E727" s="213" t="s">
        <v>344</v>
      </c>
      <c r="F727" s="213"/>
      <c r="G727" s="28">
        <f>G728</f>
        <v>572.2</v>
      </c>
      <c r="H727" s="28">
        <f>H728</f>
        <v>334.1</v>
      </c>
      <c r="I727" s="28">
        <f aca="true" t="shared" si="753" ref="I727:L728">I728</f>
        <v>572.2</v>
      </c>
      <c r="J727" s="28">
        <f t="shared" si="753"/>
        <v>572.2</v>
      </c>
      <c r="K727" s="28">
        <f t="shared" si="753"/>
        <v>572.2</v>
      </c>
      <c r="L727" s="28">
        <f t="shared" si="753"/>
        <v>572.2</v>
      </c>
      <c r="M727" s="28">
        <f aca="true" t="shared" si="754" ref="M727:N728">M728</f>
        <v>592.1</v>
      </c>
      <c r="N727" s="28">
        <f t="shared" si="754"/>
        <v>292.8</v>
      </c>
      <c r="O727" s="27">
        <f t="shared" si="745"/>
        <v>49.451106232055395</v>
      </c>
    </row>
    <row r="728" spans="1:15" ht="47.25">
      <c r="A728" s="26" t="s">
        <v>324</v>
      </c>
      <c r="B728" s="215">
        <v>906</v>
      </c>
      <c r="C728" s="213" t="s">
        <v>316</v>
      </c>
      <c r="D728" s="213" t="s">
        <v>267</v>
      </c>
      <c r="E728" s="213" t="s">
        <v>344</v>
      </c>
      <c r="F728" s="213" t="s">
        <v>325</v>
      </c>
      <c r="G728" s="28">
        <f>G729</f>
        <v>572.2</v>
      </c>
      <c r="H728" s="28">
        <f>H729</f>
        <v>334.1</v>
      </c>
      <c r="I728" s="28">
        <f t="shared" si="753"/>
        <v>572.2</v>
      </c>
      <c r="J728" s="28">
        <f t="shared" si="753"/>
        <v>572.2</v>
      </c>
      <c r="K728" s="28">
        <f t="shared" si="753"/>
        <v>572.2</v>
      </c>
      <c r="L728" s="28">
        <f t="shared" si="753"/>
        <v>572.2</v>
      </c>
      <c r="M728" s="28">
        <f t="shared" si="754"/>
        <v>592.1</v>
      </c>
      <c r="N728" s="28">
        <f t="shared" si="754"/>
        <v>292.8</v>
      </c>
      <c r="O728" s="27">
        <f t="shared" si="745"/>
        <v>49.451106232055395</v>
      </c>
    </row>
    <row r="729" spans="1:15" ht="15.75">
      <c r="A729" s="26" t="s">
        <v>326</v>
      </c>
      <c r="B729" s="215">
        <v>906</v>
      </c>
      <c r="C729" s="213" t="s">
        <v>316</v>
      </c>
      <c r="D729" s="213" t="s">
        <v>267</v>
      </c>
      <c r="E729" s="213" t="s">
        <v>344</v>
      </c>
      <c r="F729" s="213" t="s">
        <v>327</v>
      </c>
      <c r="G729" s="28">
        <v>572.2</v>
      </c>
      <c r="H729" s="28">
        <v>334.1</v>
      </c>
      <c r="I729" s="28">
        <v>572.2</v>
      </c>
      <c r="J729" s="28">
        <v>572.2</v>
      </c>
      <c r="K729" s="28">
        <v>572.2</v>
      </c>
      <c r="L729" s="28">
        <v>572.2</v>
      </c>
      <c r="M729" s="28">
        <f>572.2+19.9</f>
        <v>592.1</v>
      </c>
      <c r="N729" s="28">
        <v>292.8</v>
      </c>
      <c r="O729" s="27">
        <f t="shared" si="745"/>
        <v>49.451106232055395</v>
      </c>
    </row>
    <row r="730" spans="1:15" ht="110.25">
      <c r="A730" s="33" t="s">
        <v>345</v>
      </c>
      <c r="B730" s="215">
        <v>906</v>
      </c>
      <c r="C730" s="213" t="s">
        <v>316</v>
      </c>
      <c r="D730" s="213" t="s">
        <v>267</v>
      </c>
      <c r="E730" s="213" t="s">
        <v>346</v>
      </c>
      <c r="F730" s="213"/>
      <c r="G730" s="28">
        <f>G731</f>
        <v>900</v>
      </c>
      <c r="H730" s="28">
        <f>H731</f>
        <v>411.3</v>
      </c>
      <c r="I730" s="28">
        <f aca="true" t="shared" si="755" ref="I730:L731">I731</f>
        <v>900</v>
      </c>
      <c r="J730" s="28">
        <f t="shared" si="755"/>
        <v>900</v>
      </c>
      <c r="K730" s="28">
        <f t="shared" si="755"/>
        <v>900</v>
      </c>
      <c r="L730" s="28">
        <f t="shared" si="755"/>
        <v>900</v>
      </c>
      <c r="M730" s="28">
        <f aca="true" t="shared" si="756" ref="M730:N731">M731</f>
        <v>884.5</v>
      </c>
      <c r="N730" s="28">
        <f t="shared" si="756"/>
        <v>381.7</v>
      </c>
      <c r="O730" s="27">
        <f t="shared" si="745"/>
        <v>43.15432447710571</v>
      </c>
    </row>
    <row r="731" spans="1:15" ht="47.25">
      <c r="A731" s="26" t="s">
        <v>324</v>
      </c>
      <c r="B731" s="215">
        <v>906</v>
      </c>
      <c r="C731" s="213" t="s">
        <v>316</v>
      </c>
      <c r="D731" s="213" t="s">
        <v>267</v>
      </c>
      <c r="E731" s="213" t="s">
        <v>346</v>
      </c>
      <c r="F731" s="213" t="s">
        <v>325</v>
      </c>
      <c r="G731" s="28">
        <f>G732</f>
        <v>900</v>
      </c>
      <c r="H731" s="28">
        <f>H732</f>
        <v>411.3</v>
      </c>
      <c r="I731" s="28">
        <f t="shared" si="755"/>
        <v>900</v>
      </c>
      <c r="J731" s="28">
        <f t="shared" si="755"/>
        <v>900</v>
      </c>
      <c r="K731" s="28">
        <f t="shared" si="755"/>
        <v>900</v>
      </c>
      <c r="L731" s="28">
        <f t="shared" si="755"/>
        <v>900</v>
      </c>
      <c r="M731" s="28">
        <f t="shared" si="756"/>
        <v>884.5</v>
      </c>
      <c r="N731" s="28">
        <f t="shared" si="756"/>
        <v>381.7</v>
      </c>
      <c r="O731" s="27">
        <f t="shared" si="745"/>
        <v>43.15432447710571</v>
      </c>
    </row>
    <row r="732" spans="1:15" ht="15.75">
      <c r="A732" s="26" t="s">
        <v>326</v>
      </c>
      <c r="B732" s="215">
        <v>906</v>
      </c>
      <c r="C732" s="213" t="s">
        <v>316</v>
      </c>
      <c r="D732" s="213" t="s">
        <v>267</v>
      </c>
      <c r="E732" s="213" t="s">
        <v>346</v>
      </c>
      <c r="F732" s="213" t="s">
        <v>327</v>
      </c>
      <c r="G732" s="28">
        <v>900</v>
      </c>
      <c r="H732" s="28">
        <v>411.3</v>
      </c>
      <c r="I732" s="28">
        <v>900</v>
      </c>
      <c r="J732" s="28">
        <v>900</v>
      </c>
      <c r="K732" s="28">
        <v>900</v>
      </c>
      <c r="L732" s="28">
        <v>900</v>
      </c>
      <c r="M732" s="28">
        <f>900-15.5</f>
        <v>884.5</v>
      </c>
      <c r="N732" s="28">
        <v>381.7</v>
      </c>
      <c r="O732" s="27">
        <f t="shared" si="745"/>
        <v>43.15432447710571</v>
      </c>
    </row>
    <row r="733" spans="1:15" ht="21" customHeight="1">
      <c r="A733" s="24" t="s">
        <v>519</v>
      </c>
      <c r="B733" s="212">
        <v>906</v>
      </c>
      <c r="C733" s="214" t="s">
        <v>316</v>
      </c>
      <c r="D733" s="214" t="s">
        <v>316</v>
      </c>
      <c r="E733" s="214"/>
      <c r="F733" s="214"/>
      <c r="G733" s="22">
        <f>G734+G739</f>
        <v>4788.6</v>
      </c>
      <c r="H733" s="22">
        <f>H734+H739</f>
        <v>4788.6</v>
      </c>
      <c r="I733" s="22">
        <f aca="true" t="shared" si="757" ref="I733:L733">I734+I739</f>
        <v>4788.6</v>
      </c>
      <c r="J733" s="22">
        <f t="shared" si="757"/>
        <v>5474.8</v>
      </c>
      <c r="K733" s="22">
        <f t="shared" si="757"/>
        <v>5474.8</v>
      </c>
      <c r="L733" s="22">
        <f t="shared" si="757"/>
        <v>5474.8</v>
      </c>
      <c r="M733" s="22">
        <f aca="true" t="shared" si="758" ref="M733:N733">M734+M739</f>
        <v>4887.8</v>
      </c>
      <c r="N733" s="22">
        <f t="shared" si="758"/>
        <v>4026</v>
      </c>
      <c r="O733" s="22">
        <f t="shared" si="745"/>
        <v>82.3683456769917</v>
      </c>
    </row>
    <row r="734" spans="1:15" ht="47.25">
      <c r="A734" s="26" t="s">
        <v>479</v>
      </c>
      <c r="B734" s="215">
        <v>906</v>
      </c>
      <c r="C734" s="213" t="s">
        <v>316</v>
      </c>
      <c r="D734" s="213" t="s">
        <v>316</v>
      </c>
      <c r="E734" s="213" t="s">
        <v>459</v>
      </c>
      <c r="F734" s="213"/>
      <c r="G734" s="27">
        <f>G735</f>
        <v>3484.8</v>
      </c>
      <c r="H734" s="27">
        <f>H735</f>
        <v>3484.8</v>
      </c>
      <c r="I734" s="27">
        <f aca="true" t="shared" si="759" ref="I734:L734">I735</f>
        <v>3484.8</v>
      </c>
      <c r="J734" s="27">
        <f t="shared" si="759"/>
        <v>4171</v>
      </c>
      <c r="K734" s="27">
        <f t="shared" si="759"/>
        <v>4171</v>
      </c>
      <c r="L734" s="27">
        <f t="shared" si="759"/>
        <v>4171</v>
      </c>
      <c r="M734" s="27">
        <f aca="true" t="shared" si="760" ref="M734:N743">M735</f>
        <v>3584</v>
      </c>
      <c r="N734" s="27">
        <f t="shared" si="760"/>
        <v>3278</v>
      </c>
      <c r="O734" s="27">
        <f t="shared" si="745"/>
        <v>91.46205357142857</v>
      </c>
    </row>
    <row r="735" spans="1:15" ht="31.5">
      <c r="A735" s="26" t="s">
        <v>520</v>
      </c>
      <c r="B735" s="215">
        <v>906</v>
      </c>
      <c r="C735" s="213" t="s">
        <v>316</v>
      </c>
      <c r="D735" s="213" t="s">
        <v>521</v>
      </c>
      <c r="E735" s="213" t="s">
        <v>522</v>
      </c>
      <c r="F735" s="213"/>
      <c r="G735" s="27">
        <f aca="true" t="shared" si="761" ref="G735:L736">G736</f>
        <v>3484.8</v>
      </c>
      <c r="H735" s="27">
        <f t="shared" si="761"/>
        <v>3484.8</v>
      </c>
      <c r="I735" s="27">
        <f t="shared" si="761"/>
        <v>3484.8</v>
      </c>
      <c r="J735" s="27">
        <f t="shared" si="761"/>
        <v>4171</v>
      </c>
      <c r="K735" s="27">
        <f t="shared" si="761"/>
        <v>4171</v>
      </c>
      <c r="L735" s="27">
        <f t="shared" si="761"/>
        <v>4171</v>
      </c>
      <c r="M735" s="27">
        <f t="shared" si="760"/>
        <v>3584</v>
      </c>
      <c r="N735" s="27">
        <f t="shared" si="760"/>
        <v>3278</v>
      </c>
      <c r="O735" s="27">
        <f t="shared" si="745"/>
        <v>91.46205357142857</v>
      </c>
    </row>
    <row r="736" spans="1:15" ht="47.25">
      <c r="A736" s="26" t="s">
        <v>523</v>
      </c>
      <c r="B736" s="215">
        <v>906</v>
      </c>
      <c r="C736" s="213" t="s">
        <v>316</v>
      </c>
      <c r="D736" s="213" t="s">
        <v>316</v>
      </c>
      <c r="E736" s="213" t="s">
        <v>524</v>
      </c>
      <c r="F736" s="213"/>
      <c r="G736" s="27">
        <f>G737</f>
        <v>3484.8</v>
      </c>
      <c r="H736" s="27">
        <f>H737</f>
        <v>3484.8</v>
      </c>
      <c r="I736" s="27">
        <f t="shared" si="761"/>
        <v>3484.8</v>
      </c>
      <c r="J736" s="27">
        <f t="shared" si="761"/>
        <v>4171</v>
      </c>
      <c r="K736" s="27">
        <f t="shared" si="761"/>
        <v>4171</v>
      </c>
      <c r="L736" s="27">
        <f t="shared" si="761"/>
        <v>4171</v>
      </c>
      <c r="M736" s="27">
        <f t="shared" si="760"/>
        <v>3584</v>
      </c>
      <c r="N736" s="27">
        <f t="shared" si="760"/>
        <v>3278</v>
      </c>
      <c r="O736" s="27">
        <f t="shared" si="745"/>
        <v>91.46205357142857</v>
      </c>
    </row>
    <row r="737" spans="1:15" ht="47.25">
      <c r="A737" s="26" t="s">
        <v>324</v>
      </c>
      <c r="B737" s="215">
        <v>906</v>
      </c>
      <c r="C737" s="213" t="s">
        <v>316</v>
      </c>
      <c r="D737" s="213" t="s">
        <v>316</v>
      </c>
      <c r="E737" s="213" t="s">
        <v>524</v>
      </c>
      <c r="F737" s="213" t="s">
        <v>325</v>
      </c>
      <c r="G737" s="27">
        <f aca="true" t="shared" si="762" ref="G737:L743">G738</f>
        <v>3484.8</v>
      </c>
      <c r="H737" s="27">
        <f t="shared" si="762"/>
        <v>3484.8</v>
      </c>
      <c r="I737" s="27">
        <f t="shared" si="762"/>
        <v>3484.8</v>
      </c>
      <c r="J737" s="27">
        <f t="shared" si="762"/>
        <v>4171</v>
      </c>
      <c r="K737" s="27">
        <f t="shared" si="762"/>
        <v>4171</v>
      </c>
      <c r="L737" s="27">
        <f t="shared" si="762"/>
        <v>4171</v>
      </c>
      <c r="M737" s="27">
        <f t="shared" si="760"/>
        <v>3584</v>
      </c>
      <c r="N737" s="27">
        <f t="shared" si="760"/>
        <v>3278</v>
      </c>
      <c r="O737" s="27">
        <f t="shared" si="745"/>
        <v>91.46205357142857</v>
      </c>
    </row>
    <row r="738" spans="1:15" ht="15.75">
      <c r="A738" s="26" t="s">
        <v>326</v>
      </c>
      <c r="B738" s="215">
        <v>906</v>
      </c>
      <c r="C738" s="213" t="s">
        <v>316</v>
      </c>
      <c r="D738" s="213" t="s">
        <v>316</v>
      </c>
      <c r="E738" s="213" t="s">
        <v>524</v>
      </c>
      <c r="F738" s="213" t="s">
        <v>327</v>
      </c>
      <c r="G738" s="28">
        <v>3484.8</v>
      </c>
      <c r="H738" s="28">
        <v>3484.8</v>
      </c>
      <c r="I738" s="28">
        <v>3484.8</v>
      </c>
      <c r="J738" s="28">
        <v>4171</v>
      </c>
      <c r="K738" s="28">
        <v>4171</v>
      </c>
      <c r="L738" s="28">
        <v>4171</v>
      </c>
      <c r="M738" s="28">
        <f>3485+99</f>
        <v>3584</v>
      </c>
      <c r="N738" s="28">
        <v>3278</v>
      </c>
      <c r="O738" s="27">
        <f t="shared" si="745"/>
        <v>91.46205357142857</v>
      </c>
    </row>
    <row r="739" spans="1:15" ht="15.75">
      <c r="A739" s="26" t="s">
        <v>173</v>
      </c>
      <c r="B739" s="215">
        <v>906</v>
      </c>
      <c r="C739" s="213" t="s">
        <v>316</v>
      </c>
      <c r="D739" s="213" t="s">
        <v>316</v>
      </c>
      <c r="E739" s="213" t="s">
        <v>174</v>
      </c>
      <c r="F739" s="213"/>
      <c r="G739" s="27">
        <f aca="true" t="shared" si="763" ref="G739:L739">G740</f>
        <v>1303.8000000000002</v>
      </c>
      <c r="H739" s="27">
        <f t="shared" si="763"/>
        <v>1303.8000000000002</v>
      </c>
      <c r="I739" s="27">
        <f t="shared" si="763"/>
        <v>1303.8000000000002</v>
      </c>
      <c r="J739" s="27">
        <f t="shared" si="763"/>
        <v>1303.8000000000002</v>
      </c>
      <c r="K739" s="27">
        <f t="shared" si="763"/>
        <v>1303.8000000000002</v>
      </c>
      <c r="L739" s="27">
        <f t="shared" si="763"/>
        <v>1303.8000000000002</v>
      </c>
      <c r="M739" s="27">
        <f aca="true" t="shared" si="764" ref="M739:N739">M740</f>
        <v>1303.8</v>
      </c>
      <c r="N739" s="27">
        <f t="shared" si="764"/>
        <v>748</v>
      </c>
      <c r="O739" s="27">
        <f t="shared" si="745"/>
        <v>57.37076238686916</v>
      </c>
    </row>
    <row r="740" spans="1:15" ht="31.5">
      <c r="A740" s="26" t="s">
        <v>237</v>
      </c>
      <c r="B740" s="215">
        <v>906</v>
      </c>
      <c r="C740" s="213" t="s">
        <v>316</v>
      </c>
      <c r="D740" s="213" t="s">
        <v>316</v>
      </c>
      <c r="E740" s="213" t="s">
        <v>238</v>
      </c>
      <c r="F740" s="213"/>
      <c r="G740" s="27">
        <f>G742</f>
        <v>1303.8000000000002</v>
      </c>
      <c r="H740" s="27">
        <f>H742</f>
        <v>1303.8000000000002</v>
      </c>
      <c r="I740" s="27">
        <f aca="true" t="shared" si="765" ref="I740:L740">I742</f>
        <v>1303.8000000000002</v>
      </c>
      <c r="J740" s="27">
        <f t="shared" si="765"/>
        <v>1303.8000000000002</v>
      </c>
      <c r="K740" s="27">
        <f t="shared" si="765"/>
        <v>1303.8000000000002</v>
      </c>
      <c r="L740" s="27">
        <f t="shared" si="765"/>
        <v>1303.8000000000002</v>
      </c>
      <c r="M740" s="27">
        <f aca="true" t="shared" si="766" ref="M740:N740">M742</f>
        <v>1303.8</v>
      </c>
      <c r="N740" s="27">
        <f t="shared" si="766"/>
        <v>748</v>
      </c>
      <c r="O740" s="27">
        <f t="shared" si="745"/>
        <v>57.37076238686916</v>
      </c>
    </row>
    <row r="741" spans="1:15" ht="63" customHeight="1" hidden="1">
      <c r="A741" s="26" t="s">
        <v>525</v>
      </c>
      <c r="B741" s="215">
        <v>906</v>
      </c>
      <c r="C741" s="213" t="s">
        <v>316</v>
      </c>
      <c r="D741" s="213" t="s">
        <v>316</v>
      </c>
      <c r="E741" s="213" t="s">
        <v>526</v>
      </c>
      <c r="F741" s="213"/>
      <c r="G741" s="27">
        <f t="shared" si="762"/>
        <v>1303.8000000000002</v>
      </c>
      <c r="H741" s="27">
        <f t="shared" si="762"/>
        <v>1303.8000000000002</v>
      </c>
      <c r="I741" s="27">
        <f t="shared" si="762"/>
        <v>1303.8000000000002</v>
      </c>
      <c r="J741" s="27">
        <f t="shared" si="762"/>
        <v>1303.8000000000002</v>
      </c>
      <c r="K741" s="27">
        <f t="shared" si="762"/>
        <v>1303.8000000000002</v>
      </c>
      <c r="L741" s="27">
        <f t="shared" si="762"/>
        <v>1303.8000000000002</v>
      </c>
      <c r="M741" s="27">
        <f t="shared" si="760"/>
        <v>1303.8</v>
      </c>
      <c r="N741" s="27">
        <f t="shared" si="760"/>
        <v>748</v>
      </c>
      <c r="O741" s="27">
        <f t="shared" si="745"/>
        <v>57.37076238686916</v>
      </c>
    </row>
    <row r="742" spans="1:15" ht="31.5">
      <c r="A742" s="33" t="s">
        <v>527</v>
      </c>
      <c r="B742" s="215">
        <v>906</v>
      </c>
      <c r="C742" s="213" t="s">
        <v>316</v>
      </c>
      <c r="D742" s="213" t="s">
        <v>316</v>
      </c>
      <c r="E742" s="213" t="s">
        <v>528</v>
      </c>
      <c r="F742" s="213"/>
      <c r="G742" s="27">
        <f t="shared" si="762"/>
        <v>1303.8000000000002</v>
      </c>
      <c r="H742" s="27">
        <f t="shared" si="762"/>
        <v>1303.8000000000002</v>
      </c>
      <c r="I742" s="27">
        <f t="shared" si="762"/>
        <v>1303.8000000000002</v>
      </c>
      <c r="J742" s="27">
        <f t="shared" si="762"/>
        <v>1303.8000000000002</v>
      </c>
      <c r="K742" s="27">
        <f t="shared" si="762"/>
        <v>1303.8000000000002</v>
      </c>
      <c r="L742" s="27">
        <f t="shared" si="762"/>
        <v>1303.8000000000002</v>
      </c>
      <c r="M742" s="27">
        <f t="shared" si="760"/>
        <v>1303.8</v>
      </c>
      <c r="N742" s="27">
        <f t="shared" si="760"/>
        <v>748</v>
      </c>
      <c r="O742" s="27">
        <f t="shared" si="745"/>
        <v>57.37076238686916</v>
      </c>
    </row>
    <row r="743" spans="1:15" ht="47.25">
      <c r="A743" s="26" t="s">
        <v>324</v>
      </c>
      <c r="B743" s="215">
        <v>906</v>
      </c>
      <c r="C743" s="213" t="s">
        <v>316</v>
      </c>
      <c r="D743" s="213" t="s">
        <v>316</v>
      </c>
      <c r="E743" s="213" t="s">
        <v>528</v>
      </c>
      <c r="F743" s="213" t="s">
        <v>325</v>
      </c>
      <c r="G743" s="27">
        <f>G744</f>
        <v>1303.8000000000002</v>
      </c>
      <c r="H743" s="27">
        <f>H744</f>
        <v>1303.8000000000002</v>
      </c>
      <c r="I743" s="27">
        <f t="shared" si="762"/>
        <v>1303.8000000000002</v>
      </c>
      <c r="J743" s="27">
        <f t="shared" si="762"/>
        <v>1303.8000000000002</v>
      </c>
      <c r="K743" s="27">
        <f t="shared" si="762"/>
        <v>1303.8000000000002</v>
      </c>
      <c r="L743" s="27">
        <f t="shared" si="762"/>
        <v>1303.8000000000002</v>
      </c>
      <c r="M743" s="27">
        <f t="shared" si="760"/>
        <v>1303.8</v>
      </c>
      <c r="N743" s="27">
        <f t="shared" si="760"/>
        <v>748</v>
      </c>
      <c r="O743" s="27">
        <f t="shared" si="745"/>
        <v>57.37076238686916</v>
      </c>
    </row>
    <row r="744" spans="1:15" ht="15.75">
      <c r="A744" s="26" t="s">
        <v>326</v>
      </c>
      <c r="B744" s="215">
        <v>906</v>
      </c>
      <c r="C744" s="213" t="s">
        <v>316</v>
      </c>
      <c r="D744" s="213" t="s">
        <v>316</v>
      </c>
      <c r="E744" s="213" t="s">
        <v>528</v>
      </c>
      <c r="F744" s="213" t="s">
        <v>327</v>
      </c>
      <c r="G744" s="28">
        <f>1660.4-356.6</f>
        <v>1303.8000000000002</v>
      </c>
      <c r="H744" s="28">
        <f>1660.4-356.6</f>
        <v>1303.8000000000002</v>
      </c>
      <c r="I744" s="28">
        <f aca="true" t="shared" si="767" ref="I744:L744">1660.4-356.6</f>
        <v>1303.8000000000002</v>
      </c>
      <c r="J744" s="28">
        <f t="shared" si="767"/>
        <v>1303.8000000000002</v>
      </c>
      <c r="K744" s="28">
        <f t="shared" si="767"/>
        <v>1303.8000000000002</v>
      </c>
      <c r="L744" s="28">
        <f t="shared" si="767"/>
        <v>1303.8000000000002</v>
      </c>
      <c r="M744" s="28">
        <f>'прил.№1 доходы'!I112</f>
        <v>1303.8</v>
      </c>
      <c r="N744" s="28">
        <v>748</v>
      </c>
      <c r="O744" s="27">
        <f t="shared" si="745"/>
        <v>57.37076238686916</v>
      </c>
    </row>
    <row r="745" spans="1:15" ht="15.75">
      <c r="A745" s="24" t="s">
        <v>347</v>
      </c>
      <c r="B745" s="212">
        <v>906</v>
      </c>
      <c r="C745" s="214" t="s">
        <v>316</v>
      </c>
      <c r="D745" s="214" t="s">
        <v>271</v>
      </c>
      <c r="E745" s="214"/>
      <c r="F745" s="214"/>
      <c r="G745" s="22">
        <f>G746+G755</f>
        <v>18322.300000000003</v>
      </c>
      <c r="H745" s="22">
        <f aca="true" t="shared" si="768" ref="H745:L745">H746+H755</f>
        <v>13841.999999999998</v>
      </c>
      <c r="I745" s="22">
        <f t="shared" si="768"/>
        <v>18662.7</v>
      </c>
      <c r="J745" s="22">
        <f t="shared" si="768"/>
        <v>19851.600000000002</v>
      </c>
      <c r="K745" s="22">
        <f t="shared" si="768"/>
        <v>19974.9</v>
      </c>
      <c r="L745" s="22">
        <f t="shared" si="768"/>
        <v>20099.5</v>
      </c>
      <c r="M745" s="22">
        <f aca="true" t="shared" si="769" ref="M745:N745">M746+M755</f>
        <v>18675.5</v>
      </c>
      <c r="N745" s="22">
        <f t="shared" si="769"/>
        <v>9994.9</v>
      </c>
      <c r="O745" s="22">
        <f t="shared" si="745"/>
        <v>53.51878129099622</v>
      </c>
    </row>
    <row r="746" spans="1:15" ht="47.25" hidden="1">
      <c r="A746" s="26" t="s">
        <v>386</v>
      </c>
      <c r="B746" s="215">
        <v>906</v>
      </c>
      <c r="C746" s="213" t="s">
        <v>316</v>
      </c>
      <c r="D746" s="213" t="s">
        <v>271</v>
      </c>
      <c r="E746" s="213" t="s">
        <v>387</v>
      </c>
      <c r="F746" s="213"/>
      <c r="G746" s="27">
        <f>G747+G750</f>
        <v>20</v>
      </c>
      <c r="H746" s="27">
        <f>H747+H750</f>
        <v>0</v>
      </c>
      <c r="I746" s="27">
        <f aca="true" t="shared" si="770" ref="I746:L746">I747+I750</f>
        <v>20</v>
      </c>
      <c r="J746" s="27">
        <f t="shared" si="770"/>
        <v>0</v>
      </c>
      <c r="K746" s="27">
        <f t="shared" si="770"/>
        <v>0</v>
      </c>
      <c r="L746" s="27">
        <f t="shared" si="770"/>
        <v>0</v>
      </c>
      <c r="M746" s="27">
        <f aca="true" t="shared" si="771" ref="M746:N746">M747+M750</f>
        <v>0</v>
      </c>
      <c r="N746" s="27">
        <f t="shared" si="771"/>
        <v>0</v>
      </c>
      <c r="O746" s="22" t="e">
        <f t="shared" si="745"/>
        <v>#DIV/0!</v>
      </c>
    </row>
    <row r="747" spans="1:15" ht="31.5" customHeight="1" hidden="1">
      <c r="A747" s="26" t="s">
        <v>388</v>
      </c>
      <c r="B747" s="215">
        <v>906</v>
      </c>
      <c r="C747" s="213" t="s">
        <v>316</v>
      </c>
      <c r="D747" s="213" t="s">
        <v>271</v>
      </c>
      <c r="E747" s="213" t="s">
        <v>389</v>
      </c>
      <c r="F747" s="213"/>
      <c r="G747" s="27">
        <f>G748</f>
        <v>0</v>
      </c>
      <c r="H747" s="27">
        <f>H748</f>
        <v>0</v>
      </c>
      <c r="I747" s="27">
        <f aca="true" t="shared" si="772" ref="I747:L748">I748</f>
        <v>0</v>
      </c>
      <c r="J747" s="27">
        <f t="shared" si="772"/>
        <v>0</v>
      </c>
      <c r="K747" s="27">
        <f t="shared" si="772"/>
        <v>0</v>
      </c>
      <c r="L747" s="27">
        <f t="shared" si="772"/>
        <v>0</v>
      </c>
      <c r="M747" s="27">
        <f aca="true" t="shared" si="773" ref="M747:N748">M748</f>
        <v>0</v>
      </c>
      <c r="N747" s="27">
        <f t="shared" si="773"/>
        <v>0</v>
      </c>
      <c r="O747" s="22" t="e">
        <f t="shared" si="745"/>
        <v>#DIV/0!</v>
      </c>
    </row>
    <row r="748" spans="1:15" ht="31.5" customHeight="1" hidden="1">
      <c r="A748" s="26" t="s">
        <v>183</v>
      </c>
      <c r="B748" s="215">
        <v>906</v>
      </c>
      <c r="C748" s="213" t="s">
        <v>316</v>
      </c>
      <c r="D748" s="213" t="s">
        <v>271</v>
      </c>
      <c r="E748" s="213" t="s">
        <v>389</v>
      </c>
      <c r="F748" s="213" t="s">
        <v>184</v>
      </c>
      <c r="G748" s="27">
        <f>G749</f>
        <v>0</v>
      </c>
      <c r="H748" s="27">
        <f>H749</f>
        <v>0</v>
      </c>
      <c r="I748" s="27">
        <f t="shared" si="772"/>
        <v>0</v>
      </c>
      <c r="J748" s="27">
        <f t="shared" si="772"/>
        <v>0</v>
      </c>
      <c r="K748" s="27">
        <f t="shared" si="772"/>
        <v>0</v>
      </c>
      <c r="L748" s="27">
        <f t="shared" si="772"/>
        <v>0</v>
      </c>
      <c r="M748" s="27">
        <f t="shared" si="773"/>
        <v>0</v>
      </c>
      <c r="N748" s="27">
        <f t="shared" si="773"/>
        <v>0</v>
      </c>
      <c r="O748" s="22" t="e">
        <f t="shared" si="745"/>
        <v>#DIV/0!</v>
      </c>
    </row>
    <row r="749" spans="1:15" ht="47.25" customHeight="1" hidden="1">
      <c r="A749" s="26" t="s">
        <v>185</v>
      </c>
      <c r="B749" s="215">
        <v>906</v>
      </c>
      <c r="C749" s="213" t="s">
        <v>316</v>
      </c>
      <c r="D749" s="213" t="s">
        <v>271</v>
      </c>
      <c r="E749" s="213" t="s">
        <v>389</v>
      </c>
      <c r="F749" s="213" t="s">
        <v>186</v>
      </c>
      <c r="G749" s="27">
        <f>50-50</f>
        <v>0</v>
      </c>
      <c r="H749" s="27">
        <f>50-50</f>
        <v>0</v>
      </c>
      <c r="I749" s="27">
        <f aca="true" t="shared" si="774" ref="I749:L749">50-50</f>
        <v>0</v>
      </c>
      <c r="J749" s="27">
        <f t="shared" si="774"/>
        <v>0</v>
      </c>
      <c r="K749" s="27">
        <f t="shared" si="774"/>
        <v>0</v>
      </c>
      <c r="L749" s="27">
        <f t="shared" si="774"/>
        <v>0</v>
      </c>
      <c r="M749" s="27">
        <f aca="true" t="shared" si="775" ref="M749:N749">50-50</f>
        <v>0</v>
      </c>
      <c r="N749" s="27">
        <f t="shared" si="775"/>
        <v>0</v>
      </c>
      <c r="O749" s="22" t="e">
        <f t="shared" si="745"/>
        <v>#DIV/0!</v>
      </c>
    </row>
    <row r="750" spans="1:15" ht="63" hidden="1">
      <c r="A750" s="26" t="s">
        <v>529</v>
      </c>
      <c r="B750" s="215">
        <v>906</v>
      </c>
      <c r="C750" s="213" t="s">
        <v>316</v>
      </c>
      <c r="D750" s="213" t="s">
        <v>271</v>
      </c>
      <c r="E750" s="213" t="s">
        <v>530</v>
      </c>
      <c r="F750" s="213"/>
      <c r="G750" s="27">
        <f>G751+G753</f>
        <v>20</v>
      </c>
      <c r="H750" s="27">
        <f>H751+H753</f>
        <v>0</v>
      </c>
      <c r="I750" s="27">
        <f aca="true" t="shared" si="776" ref="I750:L750">I751+I753</f>
        <v>20</v>
      </c>
      <c r="J750" s="27">
        <f t="shared" si="776"/>
        <v>0</v>
      </c>
      <c r="K750" s="27">
        <f t="shared" si="776"/>
        <v>0</v>
      </c>
      <c r="L750" s="27">
        <f t="shared" si="776"/>
        <v>0</v>
      </c>
      <c r="M750" s="27">
        <f aca="true" t="shared" si="777" ref="M750:N750">M751+M753</f>
        <v>0</v>
      </c>
      <c r="N750" s="27">
        <f t="shared" si="777"/>
        <v>0</v>
      </c>
      <c r="O750" s="22" t="e">
        <f t="shared" si="745"/>
        <v>#DIV/0!</v>
      </c>
    </row>
    <row r="751" spans="1:15" ht="94.5" hidden="1">
      <c r="A751" s="26" t="s">
        <v>179</v>
      </c>
      <c r="B751" s="215">
        <v>906</v>
      </c>
      <c r="C751" s="213" t="s">
        <v>316</v>
      </c>
      <c r="D751" s="213" t="s">
        <v>271</v>
      </c>
      <c r="E751" s="213" t="s">
        <v>530</v>
      </c>
      <c r="F751" s="213" t="s">
        <v>180</v>
      </c>
      <c r="G751" s="27">
        <f>G752</f>
        <v>5</v>
      </c>
      <c r="H751" s="27">
        <f>H752</f>
        <v>0</v>
      </c>
      <c r="I751" s="27">
        <f aca="true" t="shared" si="778" ref="I751:L751">I752</f>
        <v>5</v>
      </c>
      <c r="J751" s="27">
        <f t="shared" si="778"/>
        <v>0</v>
      </c>
      <c r="K751" s="27">
        <f t="shared" si="778"/>
        <v>0</v>
      </c>
      <c r="L751" s="27">
        <f t="shared" si="778"/>
        <v>0</v>
      </c>
      <c r="M751" s="27">
        <f aca="true" t="shared" si="779" ref="M751:N751">M752</f>
        <v>0</v>
      </c>
      <c r="N751" s="27">
        <f t="shared" si="779"/>
        <v>0</v>
      </c>
      <c r="O751" s="22" t="e">
        <f t="shared" si="745"/>
        <v>#DIV/0!</v>
      </c>
    </row>
    <row r="752" spans="1:15" ht="31.5" hidden="1">
      <c r="A752" s="26" t="s">
        <v>394</v>
      </c>
      <c r="B752" s="215">
        <v>906</v>
      </c>
      <c r="C752" s="213" t="s">
        <v>316</v>
      </c>
      <c r="D752" s="213" t="s">
        <v>271</v>
      </c>
      <c r="E752" s="213" t="s">
        <v>530</v>
      </c>
      <c r="F752" s="213" t="s">
        <v>261</v>
      </c>
      <c r="G752" s="27">
        <v>5</v>
      </c>
      <c r="H752" s="27">
        <v>0</v>
      </c>
      <c r="I752" s="27">
        <v>5</v>
      </c>
      <c r="J752" s="27">
        <v>0</v>
      </c>
      <c r="K752" s="27">
        <v>0</v>
      </c>
      <c r="L752" s="27">
        <v>0</v>
      </c>
      <c r="M752" s="27">
        <v>0</v>
      </c>
      <c r="N752" s="27">
        <v>0</v>
      </c>
      <c r="O752" s="22" t="e">
        <f t="shared" si="745"/>
        <v>#DIV/0!</v>
      </c>
    </row>
    <row r="753" spans="1:15" ht="31.5" hidden="1">
      <c r="A753" s="26" t="s">
        <v>183</v>
      </c>
      <c r="B753" s="215">
        <v>906</v>
      </c>
      <c r="C753" s="213" t="s">
        <v>316</v>
      </c>
      <c r="D753" s="213" t="s">
        <v>271</v>
      </c>
      <c r="E753" s="213" t="s">
        <v>530</v>
      </c>
      <c r="F753" s="213" t="s">
        <v>184</v>
      </c>
      <c r="G753" s="27">
        <f>G754</f>
        <v>15</v>
      </c>
      <c r="H753" s="27">
        <f>H754</f>
        <v>0</v>
      </c>
      <c r="I753" s="27">
        <f aca="true" t="shared" si="780" ref="I753:L753">I754</f>
        <v>15</v>
      </c>
      <c r="J753" s="27">
        <f t="shared" si="780"/>
        <v>0</v>
      </c>
      <c r="K753" s="27">
        <f t="shared" si="780"/>
        <v>0</v>
      </c>
      <c r="L753" s="27">
        <f t="shared" si="780"/>
        <v>0</v>
      </c>
      <c r="M753" s="27">
        <f aca="true" t="shared" si="781" ref="M753:N753">M754</f>
        <v>0</v>
      </c>
      <c r="N753" s="27">
        <f t="shared" si="781"/>
        <v>0</v>
      </c>
      <c r="O753" s="22" t="e">
        <f t="shared" si="745"/>
        <v>#DIV/0!</v>
      </c>
    </row>
    <row r="754" spans="1:15" ht="47.25" hidden="1">
      <c r="A754" s="26" t="s">
        <v>185</v>
      </c>
      <c r="B754" s="215">
        <v>906</v>
      </c>
      <c r="C754" s="213" t="s">
        <v>316</v>
      </c>
      <c r="D754" s="213" t="s">
        <v>271</v>
      </c>
      <c r="E754" s="213" t="s">
        <v>530</v>
      </c>
      <c r="F754" s="213" t="s">
        <v>186</v>
      </c>
      <c r="G754" s="27">
        <v>15</v>
      </c>
      <c r="H754" s="27">
        <v>0</v>
      </c>
      <c r="I754" s="27">
        <v>15</v>
      </c>
      <c r="J754" s="27">
        <v>0</v>
      </c>
      <c r="K754" s="27">
        <v>0</v>
      </c>
      <c r="L754" s="27">
        <v>0</v>
      </c>
      <c r="M754" s="27">
        <v>0</v>
      </c>
      <c r="N754" s="27">
        <v>0</v>
      </c>
      <c r="O754" s="22" t="e">
        <f t="shared" si="745"/>
        <v>#DIV/0!</v>
      </c>
    </row>
    <row r="755" spans="1:15" ht="15.75">
      <c r="A755" s="26" t="s">
        <v>173</v>
      </c>
      <c r="B755" s="215">
        <v>906</v>
      </c>
      <c r="C755" s="213" t="s">
        <v>316</v>
      </c>
      <c r="D755" s="213" t="s">
        <v>271</v>
      </c>
      <c r="E755" s="213" t="s">
        <v>174</v>
      </c>
      <c r="F755" s="213"/>
      <c r="G755" s="27">
        <f>G756+G762</f>
        <v>18302.300000000003</v>
      </c>
      <c r="H755" s="27">
        <f>H756+H762</f>
        <v>13841.999999999998</v>
      </c>
      <c r="I755" s="27">
        <f aca="true" t="shared" si="782" ref="I755:L755">I756+I762</f>
        <v>18642.7</v>
      </c>
      <c r="J755" s="27">
        <f t="shared" si="782"/>
        <v>19851.600000000002</v>
      </c>
      <c r="K755" s="27">
        <f t="shared" si="782"/>
        <v>19974.9</v>
      </c>
      <c r="L755" s="27">
        <f t="shared" si="782"/>
        <v>20099.5</v>
      </c>
      <c r="M755" s="27">
        <f aca="true" t="shared" si="783" ref="M755:N755">M756+M762</f>
        <v>18675.5</v>
      </c>
      <c r="N755" s="27">
        <f t="shared" si="783"/>
        <v>9994.9</v>
      </c>
      <c r="O755" s="22">
        <f t="shared" si="745"/>
        <v>53.51878129099622</v>
      </c>
    </row>
    <row r="756" spans="1:15" ht="31.5">
      <c r="A756" s="26" t="s">
        <v>175</v>
      </c>
      <c r="B756" s="215">
        <v>906</v>
      </c>
      <c r="C756" s="213" t="s">
        <v>316</v>
      </c>
      <c r="D756" s="213" t="s">
        <v>271</v>
      </c>
      <c r="E756" s="213" t="s">
        <v>176</v>
      </c>
      <c r="F756" s="213"/>
      <c r="G756" s="27">
        <f aca="true" t="shared" si="784" ref="G756:L756">G757</f>
        <v>5138.7</v>
      </c>
      <c r="H756" s="27">
        <f t="shared" si="784"/>
        <v>4105</v>
      </c>
      <c r="I756" s="27">
        <f t="shared" si="784"/>
        <v>5221.400000000001</v>
      </c>
      <c r="J756" s="27">
        <f t="shared" si="784"/>
        <v>5488.3</v>
      </c>
      <c r="K756" s="27">
        <f t="shared" si="784"/>
        <v>5488.3</v>
      </c>
      <c r="L756" s="27">
        <f t="shared" si="784"/>
        <v>5488.3</v>
      </c>
      <c r="M756" s="27">
        <f aca="true" t="shared" si="785" ref="M756:N756">M757</f>
        <v>5276.7</v>
      </c>
      <c r="N756" s="27">
        <f t="shared" si="785"/>
        <v>2803.2</v>
      </c>
      <c r="O756" s="27">
        <f t="shared" si="745"/>
        <v>53.124111660697025</v>
      </c>
    </row>
    <row r="757" spans="1:15" ht="47.25">
      <c r="A757" s="26" t="s">
        <v>177</v>
      </c>
      <c r="B757" s="215">
        <v>906</v>
      </c>
      <c r="C757" s="213" t="s">
        <v>316</v>
      </c>
      <c r="D757" s="213" t="s">
        <v>271</v>
      </c>
      <c r="E757" s="213" t="s">
        <v>178</v>
      </c>
      <c r="F757" s="213"/>
      <c r="G757" s="27">
        <f>G758+G760</f>
        <v>5138.7</v>
      </c>
      <c r="H757" s="27">
        <f>H758+H760</f>
        <v>4105</v>
      </c>
      <c r="I757" s="27">
        <f aca="true" t="shared" si="786" ref="I757:L757">I758+I760</f>
        <v>5221.400000000001</v>
      </c>
      <c r="J757" s="27">
        <f t="shared" si="786"/>
        <v>5488.3</v>
      </c>
      <c r="K757" s="27">
        <f t="shared" si="786"/>
        <v>5488.3</v>
      </c>
      <c r="L757" s="27">
        <f t="shared" si="786"/>
        <v>5488.3</v>
      </c>
      <c r="M757" s="27">
        <f aca="true" t="shared" si="787" ref="M757:N757">M758+M760</f>
        <v>5276.7</v>
      </c>
      <c r="N757" s="27">
        <f t="shared" si="787"/>
        <v>2803.2</v>
      </c>
      <c r="O757" s="27">
        <f t="shared" si="745"/>
        <v>53.124111660697025</v>
      </c>
    </row>
    <row r="758" spans="1:15" ht="94.5">
      <c r="A758" s="26" t="s">
        <v>179</v>
      </c>
      <c r="B758" s="215">
        <v>906</v>
      </c>
      <c r="C758" s="213" t="s">
        <v>316</v>
      </c>
      <c r="D758" s="213" t="s">
        <v>271</v>
      </c>
      <c r="E758" s="213" t="s">
        <v>178</v>
      </c>
      <c r="F758" s="213" t="s">
        <v>180</v>
      </c>
      <c r="G758" s="27">
        <f aca="true" t="shared" si="788" ref="G758:L758">G759</f>
        <v>4981.5</v>
      </c>
      <c r="H758" s="27">
        <f t="shared" si="788"/>
        <v>4009.1</v>
      </c>
      <c r="I758" s="27">
        <f t="shared" si="788"/>
        <v>5072.6</v>
      </c>
      <c r="J758" s="27">
        <f t="shared" si="788"/>
        <v>4925.5</v>
      </c>
      <c r="K758" s="27">
        <f t="shared" si="788"/>
        <v>4925.5</v>
      </c>
      <c r="L758" s="27">
        <f t="shared" si="788"/>
        <v>4925.5</v>
      </c>
      <c r="M758" s="27">
        <f aca="true" t="shared" si="789" ref="M758:N758">M759</f>
        <v>5119.5</v>
      </c>
      <c r="N758" s="27">
        <f t="shared" si="789"/>
        <v>2718.5</v>
      </c>
      <c r="O758" s="27">
        <f t="shared" si="745"/>
        <v>53.10088875866784</v>
      </c>
    </row>
    <row r="759" spans="1:15" ht="31.5">
      <c r="A759" s="26" t="s">
        <v>181</v>
      </c>
      <c r="B759" s="215">
        <v>906</v>
      </c>
      <c r="C759" s="213" t="s">
        <v>316</v>
      </c>
      <c r="D759" s="213" t="s">
        <v>271</v>
      </c>
      <c r="E759" s="213" t="s">
        <v>178</v>
      </c>
      <c r="F759" s="213" t="s">
        <v>182</v>
      </c>
      <c r="G759" s="28">
        <f>4975.7+5.8</f>
        <v>4981.5</v>
      </c>
      <c r="H759" s="28">
        <v>4009.1</v>
      </c>
      <c r="I759" s="28">
        <v>5072.6</v>
      </c>
      <c r="J759" s="28">
        <v>4925.5</v>
      </c>
      <c r="K759" s="28">
        <v>4925.5</v>
      </c>
      <c r="L759" s="28">
        <v>4925.5</v>
      </c>
      <c r="M759" s="28">
        <v>5119.5</v>
      </c>
      <c r="N759" s="28">
        <v>2718.5</v>
      </c>
      <c r="O759" s="27">
        <f t="shared" si="745"/>
        <v>53.10088875866784</v>
      </c>
    </row>
    <row r="760" spans="1:15" ht="31.5">
      <c r="A760" s="26" t="s">
        <v>183</v>
      </c>
      <c r="B760" s="215">
        <v>906</v>
      </c>
      <c r="C760" s="213" t="s">
        <v>316</v>
      </c>
      <c r="D760" s="213" t="s">
        <v>271</v>
      </c>
      <c r="E760" s="213" t="s">
        <v>178</v>
      </c>
      <c r="F760" s="213" t="s">
        <v>184</v>
      </c>
      <c r="G760" s="27">
        <f aca="true" t="shared" si="790" ref="G760:L760">G761</f>
        <v>157.2</v>
      </c>
      <c r="H760" s="27">
        <f t="shared" si="790"/>
        <v>95.9</v>
      </c>
      <c r="I760" s="27">
        <f t="shared" si="790"/>
        <v>148.8</v>
      </c>
      <c r="J760" s="27">
        <f t="shared" si="790"/>
        <v>562.8</v>
      </c>
      <c r="K760" s="27">
        <f t="shared" si="790"/>
        <v>562.8</v>
      </c>
      <c r="L760" s="27">
        <f t="shared" si="790"/>
        <v>562.8</v>
      </c>
      <c r="M760" s="27">
        <f aca="true" t="shared" si="791" ref="M760:N760">M761</f>
        <v>157.2</v>
      </c>
      <c r="N760" s="27">
        <f t="shared" si="791"/>
        <v>84.7</v>
      </c>
      <c r="O760" s="27">
        <f t="shared" si="745"/>
        <v>53.88040712468194</v>
      </c>
    </row>
    <row r="761" spans="1:15" ht="47.25">
      <c r="A761" s="26" t="s">
        <v>185</v>
      </c>
      <c r="B761" s="215">
        <v>906</v>
      </c>
      <c r="C761" s="213" t="s">
        <v>316</v>
      </c>
      <c r="D761" s="213" t="s">
        <v>271</v>
      </c>
      <c r="E761" s="213" t="s">
        <v>178</v>
      </c>
      <c r="F761" s="213" t="s">
        <v>186</v>
      </c>
      <c r="G761" s="27">
        <f>163-5.8</f>
        <v>157.2</v>
      </c>
      <c r="H761" s="27">
        <v>95.9</v>
      </c>
      <c r="I761" s="27">
        <v>148.8</v>
      </c>
      <c r="J761" s="27">
        <v>562.8</v>
      </c>
      <c r="K761" s="27">
        <v>562.8</v>
      </c>
      <c r="L761" s="27">
        <v>562.8</v>
      </c>
      <c r="M761" s="27">
        <f aca="true" t="shared" si="792" ref="M761">163-5.8</f>
        <v>157.2</v>
      </c>
      <c r="N761" s="27">
        <v>84.7</v>
      </c>
      <c r="O761" s="27">
        <f t="shared" si="745"/>
        <v>53.88040712468194</v>
      </c>
    </row>
    <row r="762" spans="1:15" ht="15.75">
      <c r="A762" s="26" t="s">
        <v>193</v>
      </c>
      <c r="B762" s="215">
        <v>906</v>
      </c>
      <c r="C762" s="213" t="s">
        <v>316</v>
      </c>
      <c r="D762" s="213" t="s">
        <v>271</v>
      </c>
      <c r="E762" s="213" t="s">
        <v>194</v>
      </c>
      <c r="F762" s="213"/>
      <c r="G762" s="27">
        <f>G766+G763</f>
        <v>13163.600000000002</v>
      </c>
      <c r="H762" s="27">
        <f>H766+H763</f>
        <v>9736.999999999998</v>
      </c>
      <c r="I762" s="27">
        <f aca="true" t="shared" si="793" ref="I762:L762">I766+I763</f>
        <v>13421.300000000001</v>
      </c>
      <c r="J762" s="27">
        <f t="shared" si="793"/>
        <v>14363.300000000001</v>
      </c>
      <c r="K762" s="27">
        <f t="shared" si="793"/>
        <v>14486.6</v>
      </c>
      <c r="L762" s="27">
        <f t="shared" si="793"/>
        <v>14611.2</v>
      </c>
      <c r="M762" s="27">
        <f aca="true" t="shared" si="794" ref="M762:N762">M766+M763</f>
        <v>13398.800000000001</v>
      </c>
      <c r="N762" s="27">
        <f t="shared" si="794"/>
        <v>7191.7</v>
      </c>
      <c r="O762" s="27">
        <f t="shared" si="745"/>
        <v>53.674209630713186</v>
      </c>
    </row>
    <row r="763" spans="1:15" ht="15.75">
      <c r="A763" s="26" t="s">
        <v>531</v>
      </c>
      <c r="B763" s="215">
        <v>906</v>
      </c>
      <c r="C763" s="213" t="s">
        <v>316</v>
      </c>
      <c r="D763" s="213" t="s">
        <v>271</v>
      </c>
      <c r="E763" s="213" t="s">
        <v>532</v>
      </c>
      <c r="F763" s="213"/>
      <c r="G763" s="27">
        <f>G764</f>
        <v>375</v>
      </c>
      <c r="H763" s="27">
        <f>H764</f>
        <v>212.5</v>
      </c>
      <c r="I763" s="27">
        <f aca="true" t="shared" si="795" ref="I763:L764">I764</f>
        <v>375</v>
      </c>
      <c r="J763" s="27">
        <f t="shared" si="795"/>
        <v>0</v>
      </c>
      <c r="K763" s="27">
        <f t="shared" si="795"/>
        <v>0</v>
      </c>
      <c r="L763" s="27">
        <f t="shared" si="795"/>
        <v>0</v>
      </c>
      <c r="M763" s="27">
        <f aca="true" t="shared" si="796" ref="M763:N764">M764</f>
        <v>600</v>
      </c>
      <c r="N763" s="27">
        <f t="shared" si="796"/>
        <v>195.7</v>
      </c>
      <c r="O763" s="27">
        <f t="shared" si="745"/>
        <v>32.61666666666667</v>
      </c>
    </row>
    <row r="764" spans="1:15" ht="31.5">
      <c r="A764" s="26" t="s">
        <v>183</v>
      </c>
      <c r="B764" s="215">
        <v>906</v>
      </c>
      <c r="C764" s="213" t="s">
        <v>316</v>
      </c>
      <c r="D764" s="213" t="s">
        <v>271</v>
      </c>
      <c r="E764" s="213" t="s">
        <v>532</v>
      </c>
      <c r="F764" s="213" t="s">
        <v>184</v>
      </c>
      <c r="G764" s="27">
        <f>G765</f>
        <v>375</v>
      </c>
      <c r="H764" s="27">
        <f>H765</f>
        <v>212.5</v>
      </c>
      <c r="I764" s="27">
        <f t="shared" si="795"/>
        <v>375</v>
      </c>
      <c r="J764" s="27">
        <f t="shared" si="795"/>
        <v>0</v>
      </c>
      <c r="K764" s="27">
        <f t="shared" si="795"/>
        <v>0</v>
      </c>
      <c r="L764" s="27">
        <f t="shared" si="795"/>
        <v>0</v>
      </c>
      <c r="M764" s="27">
        <f t="shared" si="796"/>
        <v>600</v>
      </c>
      <c r="N764" s="27">
        <f t="shared" si="796"/>
        <v>195.7</v>
      </c>
      <c r="O764" s="27">
        <f t="shared" si="745"/>
        <v>32.61666666666667</v>
      </c>
    </row>
    <row r="765" spans="1:15" ht="47.25">
      <c r="A765" s="26" t="s">
        <v>185</v>
      </c>
      <c r="B765" s="215">
        <v>906</v>
      </c>
      <c r="C765" s="213" t="s">
        <v>316</v>
      </c>
      <c r="D765" s="213" t="s">
        <v>271</v>
      </c>
      <c r="E765" s="213" t="s">
        <v>532</v>
      </c>
      <c r="F765" s="213" t="s">
        <v>186</v>
      </c>
      <c r="G765" s="27">
        <f>206.3+143.7+25</f>
        <v>375</v>
      </c>
      <c r="H765" s="27">
        <v>212.5</v>
      </c>
      <c r="I765" s="27">
        <f aca="true" t="shared" si="797" ref="I765">206.3+143.7+25</f>
        <v>375</v>
      </c>
      <c r="J765" s="27">
        <v>0</v>
      </c>
      <c r="K765" s="27">
        <v>0</v>
      </c>
      <c r="L765" s="27">
        <v>0</v>
      </c>
      <c r="M765" s="27">
        <f>350-35+35+250</f>
        <v>600</v>
      </c>
      <c r="N765" s="27">
        <v>195.7</v>
      </c>
      <c r="O765" s="27">
        <f t="shared" si="745"/>
        <v>32.61666666666667</v>
      </c>
    </row>
    <row r="766" spans="1:15" ht="31.5">
      <c r="A766" s="26" t="s">
        <v>392</v>
      </c>
      <c r="B766" s="215">
        <v>906</v>
      </c>
      <c r="C766" s="213" t="s">
        <v>316</v>
      </c>
      <c r="D766" s="213" t="s">
        <v>271</v>
      </c>
      <c r="E766" s="213" t="s">
        <v>393</v>
      </c>
      <c r="F766" s="213"/>
      <c r="G766" s="27">
        <f>G767+G769+G771</f>
        <v>12788.600000000002</v>
      </c>
      <c r="H766" s="27">
        <f>H767+H769+H771</f>
        <v>9524.499999999998</v>
      </c>
      <c r="I766" s="27">
        <f aca="true" t="shared" si="798" ref="I766:L766">I767+I769+I771</f>
        <v>13046.300000000001</v>
      </c>
      <c r="J766" s="27">
        <f t="shared" si="798"/>
        <v>14363.300000000001</v>
      </c>
      <c r="K766" s="27">
        <f t="shared" si="798"/>
        <v>14486.6</v>
      </c>
      <c r="L766" s="27">
        <f t="shared" si="798"/>
        <v>14611.2</v>
      </c>
      <c r="M766" s="27">
        <f aca="true" t="shared" si="799" ref="M766:N766">M767+M769+M771</f>
        <v>12798.800000000001</v>
      </c>
      <c r="N766" s="27">
        <f t="shared" si="799"/>
        <v>6996</v>
      </c>
      <c r="O766" s="27">
        <f t="shared" si="745"/>
        <v>54.661374503859726</v>
      </c>
    </row>
    <row r="767" spans="1:15" ht="94.5">
      <c r="A767" s="26" t="s">
        <v>179</v>
      </c>
      <c r="B767" s="215">
        <v>906</v>
      </c>
      <c r="C767" s="213" t="s">
        <v>316</v>
      </c>
      <c r="D767" s="213" t="s">
        <v>271</v>
      </c>
      <c r="E767" s="213" t="s">
        <v>393</v>
      </c>
      <c r="F767" s="213" t="s">
        <v>180</v>
      </c>
      <c r="G767" s="27">
        <f>G768</f>
        <v>11519.300000000001</v>
      </c>
      <c r="H767" s="27">
        <f>H768</f>
        <v>8420.8</v>
      </c>
      <c r="I767" s="27">
        <f aca="true" t="shared" si="800" ref="I767:L767">I768</f>
        <v>11777</v>
      </c>
      <c r="J767" s="27">
        <f t="shared" si="800"/>
        <v>12334.2</v>
      </c>
      <c r="K767" s="27">
        <f t="shared" si="800"/>
        <v>12457.5</v>
      </c>
      <c r="L767" s="27">
        <f t="shared" si="800"/>
        <v>12582.1</v>
      </c>
      <c r="M767" s="27">
        <f aca="true" t="shared" si="801" ref="M767:N767">M768</f>
        <v>11519.300000000001</v>
      </c>
      <c r="N767" s="27">
        <f t="shared" si="801"/>
        <v>6283.1</v>
      </c>
      <c r="O767" s="27">
        <f t="shared" si="745"/>
        <v>54.544112923528346</v>
      </c>
    </row>
    <row r="768" spans="1:15" ht="31.5">
      <c r="A768" s="26" t="s">
        <v>394</v>
      </c>
      <c r="B768" s="215">
        <v>906</v>
      </c>
      <c r="C768" s="213" t="s">
        <v>316</v>
      </c>
      <c r="D768" s="213" t="s">
        <v>271</v>
      </c>
      <c r="E768" s="213" t="s">
        <v>393</v>
      </c>
      <c r="F768" s="213" t="s">
        <v>261</v>
      </c>
      <c r="G768" s="28">
        <f>11988.7-469.4</f>
        <v>11519.300000000001</v>
      </c>
      <c r="H768" s="28">
        <v>8420.8</v>
      </c>
      <c r="I768" s="28">
        <v>11777</v>
      </c>
      <c r="J768" s="28">
        <v>12334.2</v>
      </c>
      <c r="K768" s="28">
        <v>12457.5</v>
      </c>
      <c r="L768" s="28">
        <v>12582.1</v>
      </c>
      <c r="M768" s="28">
        <f aca="true" t="shared" si="802" ref="M768">11988.7-469.4</f>
        <v>11519.300000000001</v>
      </c>
      <c r="N768" s="28">
        <v>6283.1</v>
      </c>
      <c r="O768" s="27">
        <f t="shared" si="745"/>
        <v>54.544112923528346</v>
      </c>
    </row>
    <row r="769" spans="1:15" ht="31.5">
      <c r="A769" s="26" t="s">
        <v>183</v>
      </c>
      <c r="B769" s="215">
        <v>906</v>
      </c>
      <c r="C769" s="213" t="s">
        <v>316</v>
      </c>
      <c r="D769" s="213" t="s">
        <v>271</v>
      </c>
      <c r="E769" s="213" t="s">
        <v>393</v>
      </c>
      <c r="F769" s="213" t="s">
        <v>184</v>
      </c>
      <c r="G769" s="27">
        <f>G770</f>
        <v>1264.1</v>
      </c>
      <c r="H769" s="27">
        <f>H770</f>
        <v>1098.8</v>
      </c>
      <c r="I769" s="27">
        <f aca="true" t="shared" si="803" ref="I769:L769">I770</f>
        <v>1264.1</v>
      </c>
      <c r="J769" s="27">
        <f t="shared" si="803"/>
        <v>2023.8999999999999</v>
      </c>
      <c r="K769" s="27">
        <f t="shared" si="803"/>
        <v>2023.8999999999999</v>
      </c>
      <c r="L769" s="27">
        <f t="shared" si="803"/>
        <v>2023.8999999999999</v>
      </c>
      <c r="M769" s="27">
        <f aca="true" t="shared" si="804" ref="M769">M770</f>
        <v>1264.1</v>
      </c>
      <c r="N769" s="27">
        <f>N770</f>
        <v>710.7</v>
      </c>
      <c r="O769" s="27">
        <f t="shared" si="745"/>
        <v>56.22181789415394</v>
      </c>
    </row>
    <row r="770" spans="1:15" ht="47.25">
      <c r="A770" s="26" t="s">
        <v>185</v>
      </c>
      <c r="B770" s="215">
        <v>906</v>
      </c>
      <c r="C770" s="213" t="s">
        <v>316</v>
      </c>
      <c r="D770" s="213" t="s">
        <v>271</v>
      </c>
      <c r="E770" s="213" t="s">
        <v>393</v>
      </c>
      <c r="F770" s="213" t="s">
        <v>186</v>
      </c>
      <c r="G770" s="27">
        <f>1416.8-152.7</f>
        <v>1264.1</v>
      </c>
      <c r="H770" s="27">
        <v>1098.8</v>
      </c>
      <c r="I770" s="27">
        <v>1264.1</v>
      </c>
      <c r="J770" s="27">
        <f>2029.1-J772</f>
        <v>2023.8999999999999</v>
      </c>
      <c r="K770" s="27">
        <f>J770</f>
        <v>2023.8999999999999</v>
      </c>
      <c r="L770" s="27">
        <f>K770</f>
        <v>2023.8999999999999</v>
      </c>
      <c r="M770" s="27">
        <f aca="true" t="shared" si="805" ref="M770">1416.8-152.7</f>
        <v>1264.1</v>
      </c>
      <c r="N770" s="27">
        <v>710.7</v>
      </c>
      <c r="O770" s="27">
        <f t="shared" si="745"/>
        <v>56.22181789415394</v>
      </c>
    </row>
    <row r="771" spans="1:15" ht="15.75">
      <c r="A771" s="26" t="s">
        <v>187</v>
      </c>
      <c r="B771" s="215">
        <v>906</v>
      </c>
      <c r="C771" s="213" t="s">
        <v>316</v>
      </c>
      <c r="D771" s="213" t="s">
        <v>271</v>
      </c>
      <c r="E771" s="213" t="s">
        <v>393</v>
      </c>
      <c r="F771" s="213" t="s">
        <v>197</v>
      </c>
      <c r="G771" s="27">
        <f>G772</f>
        <v>5.2</v>
      </c>
      <c r="H771" s="27">
        <f>H772</f>
        <v>4.9</v>
      </c>
      <c r="I771" s="27">
        <f aca="true" t="shared" si="806" ref="I771:L771">I772</f>
        <v>5.2</v>
      </c>
      <c r="J771" s="27">
        <f t="shared" si="806"/>
        <v>5.2</v>
      </c>
      <c r="K771" s="27">
        <f t="shared" si="806"/>
        <v>5.2</v>
      </c>
      <c r="L771" s="27">
        <f t="shared" si="806"/>
        <v>5.2</v>
      </c>
      <c r="M771" s="27">
        <f aca="true" t="shared" si="807" ref="M771:N771">M772</f>
        <v>15.399999999999999</v>
      </c>
      <c r="N771" s="27">
        <f t="shared" si="807"/>
        <v>2.2</v>
      </c>
      <c r="O771" s="27">
        <f t="shared" si="745"/>
        <v>14.285714285714288</v>
      </c>
    </row>
    <row r="772" spans="1:15" ht="15.75">
      <c r="A772" s="26" t="s">
        <v>621</v>
      </c>
      <c r="B772" s="215">
        <v>906</v>
      </c>
      <c r="C772" s="213" t="s">
        <v>316</v>
      </c>
      <c r="D772" s="213" t="s">
        <v>271</v>
      </c>
      <c r="E772" s="213" t="s">
        <v>393</v>
      </c>
      <c r="F772" s="213" t="s">
        <v>190</v>
      </c>
      <c r="G772" s="27">
        <f>7-1.8</f>
        <v>5.2</v>
      </c>
      <c r="H772" s="27">
        <v>4.9</v>
      </c>
      <c r="I772" s="27">
        <f aca="true" t="shared" si="808" ref="I772:L772">7-1.8</f>
        <v>5.2</v>
      </c>
      <c r="J772" s="27">
        <f t="shared" si="808"/>
        <v>5.2</v>
      </c>
      <c r="K772" s="27">
        <f t="shared" si="808"/>
        <v>5.2</v>
      </c>
      <c r="L772" s="27">
        <f t="shared" si="808"/>
        <v>5.2</v>
      </c>
      <c r="M772" s="27">
        <f>7-1.8+10.2</f>
        <v>15.399999999999999</v>
      </c>
      <c r="N772" s="27">
        <v>2.2</v>
      </c>
      <c r="O772" s="27">
        <f t="shared" si="745"/>
        <v>14.285714285714288</v>
      </c>
    </row>
    <row r="773" spans="1:15" ht="36.75" customHeight="1">
      <c r="A773" s="20" t="s">
        <v>533</v>
      </c>
      <c r="B773" s="212">
        <v>907</v>
      </c>
      <c r="C773" s="213"/>
      <c r="D773" s="213"/>
      <c r="E773" s="213"/>
      <c r="F773" s="213"/>
      <c r="G773" s="22">
        <f aca="true" t="shared" si="809" ref="G773:L773">G780+G813</f>
        <v>46187.799999999996</v>
      </c>
      <c r="H773" s="22">
        <f aca="true" t="shared" si="810" ref="H773">H780+H813</f>
        <v>33497.7</v>
      </c>
      <c r="I773" s="22">
        <f t="shared" si="809"/>
        <v>52301.9</v>
      </c>
      <c r="J773" s="22">
        <f t="shared" si="809"/>
        <v>81221.2</v>
      </c>
      <c r="K773" s="22">
        <f t="shared" si="809"/>
        <v>83149.7</v>
      </c>
      <c r="L773" s="22">
        <f t="shared" si="809"/>
        <v>84365.59999999999</v>
      </c>
      <c r="M773" s="22">
        <f>M780+M813+M774</f>
        <v>66560.90000000001</v>
      </c>
      <c r="N773" s="22">
        <f aca="true" t="shared" si="811" ref="N773">N780+N813+N774</f>
        <v>32038.799999999996</v>
      </c>
      <c r="O773" s="22">
        <f t="shared" si="745"/>
        <v>48.13456548814693</v>
      </c>
    </row>
    <row r="774" spans="1:15" ht="24" customHeight="1">
      <c r="A774" s="24" t="s">
        <v>169</v>
      </c>
      <c r="B774" s="212">
        <v>907</v>
      </c>
      <c r="C774" s="214" t="s">
        <v>170</v>
      </c>
      <c r="D774" s="214"/>
      <c r="E774" s="213"/>
      <c r="F774" s="213"/>
      <c r="G774" s="22"/>
      <c r="H774" s="22"/>
      <c r="I774" s="22"/>
      <c r="J774" s="22"/>
      <c r="K774" s="22"/>
      <c r="L774" s="22"/>
      <c r="M774" s="22">
        <f>M775</f>
        <v>868.6</v>
      </c>
      <c r="N774" s="22">
        <f aca="true" t="shared" si="812" ref="N774:N776">N775</f>
        <v>682.6</v>
      </c>
      <c r="O774" s="22">
        <f t="shared" si="745"/>
        <v>78.58623071609486</v>
      </c>
    </row>
    <row r="775" spans="1:15" ht="21.75" customHeight="1">
      <c r="A775" s="36" t="s">
        <v>191</v>
      </c>
      <c r="B775" s="212">
        <v>907</v>
      </c>
      <c r="C775" s="214" t="s">
        <v>170</v>
      </c>
      <c r="D775" s="214" t="s">
        <v>192</v>
      </c>
      <c r="E775" s="213"/>
      <c r="F775" s="213"/>
      <c r="G775" s="22"/>
      <c r="H775" s="22"/>
      <c r="I775" s="22"/>
      <c r="J775" s="22"/>
      <c r="K775" s="22"/>
      <c r="L775" s="22"/>
      <c r="M775" s="22">
        <f>M776</f>
        <v>868.6</v>
      </c>
      <c r="N775" s="22">
        <f t="shared" si="812"/>
        <v>682.6</v>
      </c>
      <c r="O775" s="22">
        <f t="shared" si="745"/>
        <v>78.58623071609486</v>
      </c>
    </row>
    <row r="776" spans="1:15" ht="62.25" customHeight="1">
      <c r="A776" s="31" t="s">
        <v>805</v>
      </c>
      <c r="B776" s="215">
        <v>907</v>
      </c>
      <c r="C776" s="213" t="s">
        <v>170</v>
      </c>
      <c r="D776" s="213" t="s">
        <v>192</v>
      </c>
      <c r="E776" s="213" t="s">
        <v>803</v>
      </c>
      <c r="F776" s="220"/>
      <c r="G776" s="27">
        <f>G778</f>
        <v>29</v>
      </c>
      <c r="H776" s="27">
        <f aca="true" t="shared" si="813" ref="H776:L776">H778</f>
        <v>19.1</v>
      </c>
      <c r="I776" s="27">
        <f t="shared" si="813"/>
        <v>29</v>
      </c>
      <c r="J776" s="27">
        <f t="shared" si="813"/>
        <v>0</v>
      </c>
      <c r="K776" s="27">
        <f t="shared" si="813"/>
        <v>0</v>
      </c>
      <c r="L776" s="27">
        <f t="shared" si="813"/>
        <v>0</v>
      </c>
      <c r="M776" s="27">
        <f>M777</f>
        <v>868.6</v>
      </c>
      <c r="N776" s="27">
        <f t="shared" si="812"/>
        <v>682.6</v>
      </c>
      <c r="O776" s="27">
        <f t="shared" si="745"/>
        <v>78.58623071609486</v>
      </c>
    </row>
    <row r="777" spans="1:15" ht="53.25" customHeight="1">
      <c r="A777" s="122" t="s">
        <v>948</v>
      </c>
      <c r="B777" s="215">
        <v>907</v>
      </c>
      <c r="C777" s="213" t="s">
        <v>170</v>
      </c>
      <c r="D777" s="213" t="s">
        <v>192</v>
      </c>
      <c r="E777" s="213" t="s">
        <v>949</v>
      </c>
      <c r="F777" s="220"/>
      <c r="G777" s="27">
        <f>G778</f>
        <v>29</v>
      </c>
      <c r="H777" s="27">
        <f aca="true" t="shared" si="814" ref="H777:N778">H778</f>
        <v>19.1</v>
      </c>
      <c r="I777" s="27">
        <f t="shared" si="814"/>
        <v>29</v>
      </c>
      <c r="J777" s="27">
        <f t="shared" si="814"/>
        <v>0</v>
      </c>
      <c r="K777" s="27">
        <f t="shared" si="814"/>
        <v>0</v>
      </c>
      <c r="L777" s="27">
        <f t="shared" si="814"/>
        <v>0</v>
      </c>
      <c r="M777" s="27">
        <f t="shared" si="814"/>
        <v>868.6</v>
      </c>
      <c r="N777" s="27">
        <f t="shared" si="814"/>
        <v>682.6</v>
      </c>
      <c r="O777" s="27">
        <f t="shared" si="745"/>
        <v>78.58623071609486</v>
      </c>
    </row>
    <row r="778" spans="1:15" ht="54.75" customHeight="1">
      <c r="A778" s="31" t="s">
        <v>324</v>
      </c>
      <c r="B778" s="215">
        <v>907</v>
      </c>
      <c r="C778" s="213" t="s">
        <v>170</v>
      </c>
      <c r="D778" s="213" t="s">
        <v>192</v>
      </c>
      <c r="E778" s="213" t="s">
        <v>949</v>
      </c>
      <c r="F778" s="220" t="s">
        <v>325</v>
      </c>
      <c r="G778" s="27">
        <f>G779</f>
        <v>29</v>
      </c>
      <c r="H778" s="27">
        <f t="shared" si="814"/>
        <v>19.1</v>
      </c>
      <c r="I778" s="27">
        <f t="shared" si="814"/>
        <v>29</v>
      </c>
      <c r="J778" s="27">
        <f t="shared" si="814"/>
        <v>0</v>
      </c>
      <c r="K778" s="27">
        <f t="shared" si="814"/>
        <v>0</v>
      </c>
      <c r="L778" s="27">
        <f t="shared" si="814"/>
        <v>0</v>
      </c>
      <c r="M778" s="27">
        <f t="shared" si="814"/>
        <v>868.6</v>
      </c>
      <c r="N778" s="27">
        <f t="shared" si="814"/>
        <v>682.6</v>
      </c>
      <c r="O778" s="27">
        <f t="shared" si="745"/>
        <v>78.58623071609486</v>
      </c>
    </row>
    <row r="779" spans="1:15" ht="18.75" customHeight="1">
      <c r="A779" s="256" t="s">
        <v>326</v>
      </c>
      <c r="B779" s="215">
        <v>907</v>
      </c>
      <c r="C779" s="213" t="s">
        <v>170</v>
      </c>
      <c r="D779" s="213" t="s">
        <v>192</v>
      </c>
      <c r="E779" s="213" t="s">
        <v>949</v>
      </c>
      <c r="F779" s="220" t="s">
        <v>327</v>
      </c>
      <c r="G779" s="27">
        <v>29</v>
      </c>
      <c r="H779" s="27">
        <v>19.1</v>
      </c>
      <c r="I779" s="27">
        <v>29</v>
      </c>
      <c r="J779" s="27">
        <v>0</v>
      </c>
      <c r="K779" s="27">
        <v>0</v>
      </c>
      <c r="L779" s="27">
        <v>0</v>
      </c>
      <c r="M779" s="27">
        <v>868.6</v>
      </c>
      <c r="N779" s="27">
        <v>682.6</v>
      </c>
      <c r="O779" s="27">
        <f t="shared" si="745"/>
        <v>78.58623071609486</v>
      </c>
    </row>
    <row r="780" spans="1:15" ht="15.75">
      <c r="A780" s="24" t="s">
        <v>315</v>
      </c>
      <c r="B780" s="212">
        <v>907</v>
      </c>
      <c r="C780" s="214" t="s">
        <v>521</v>
      </c>
      <c r="D780" s="214"/>
      <c r="E780" s="214"/>
      <c r="F780" s="214"/>
      <c r="G780" s="22">
        <f>G781</f>
        <v>11485.1</v>
      </c>
      <c r="H780" s="22">
        <f aca="true" t="shared" si="815" ref="H780:L780">H781</f>
        <v>8595.7</v>
      </c>
      <c r="I780" s="22">
        <f t="shared" si="815"/>
        <v>11485.1</v>
      </c>
      <c r="J780" s="22">
        <f t="shared" si="815"/>
        <v>17191.6</v>
      </c>
      <c r="K780" s="22">
        <f t="shared" si="815"/>
        <v>17334.399999999998</v>
      </c>
      <c r="L780" s="22">
        <f t="shared" si="815"/>
        <v>17469.699999999997</v>
      </c>
      <c r="M780" s="22">
        <f aca="true" t="shared" si="816" ref="M780:N780">M781</f>
        <v>12532.5</v>
      </c>
      <c r="N780" s="22">
        <f t="shared" si="816"/>
        <v>6614.599999999999</v>
      </c>
      <c r="O780" s="22">
        <f t="shared" si="745"/>
        <v>52.779573109914224</v>
      </c>
    </row>
    <row r="781" spans="1:15" ht="15.75">
      <c r="A781" s="24" t="s">
        <v>317</v>
      </c>
      <c r="B781" s="212">
        <v>907</v>
      </c>
      <c r="C781" s="214" t="s">
        <v>316</v>
      </c>
      <c r="D781" s="214" t="s">
        <v>267</v>
      </c>
      <c r="E781" s="214"/>
      <c r="F781" s="214"/>
      <c r="G781" s="22">
        <f aca="true" t="shared" si="817" ref="G781:L781">G782+G802</f>
        <v>11485.1</v>
      </c>
      <c r="H781" s="22">
        <f aca="true" t="shared" si="818" ref="H781">H782+H802</f>
        <v>8595.7</v>
      </c>
      <c r="I781" s="22">
        <f t="shared" si="817"/>
        <v>11485.1</v>
      </c>
      <c r="J781" s="22">
        <f t="shared" si="817"/>
        <v>17191.6</v>
      </c>
      <c r="K781" s="22">
        <f t="shared" si="817"/>
        <v>17334.399999999998</v>
      </c>
      <c r="L781" s="22">
        <f t="shared" si="817"/>
        <v>17469.699999999997</v>
      </c>
      <c r="M781" s="22">
        <f aca="true" t="shared" si="819" ref="M781:N781">M782+M802</f>
        <v>12532.5</v>
      </c>
      <c r="N781" s="22">
        <f t="shared" si="819"/>
        <v>6614.599999999999</v>
      </c>
      <c r="O781" s="22">
        <f aca="true" t="shared" si="820" ref="O781:O844">N781/M781*100</f>
        <v>52.779573109914224</v>
      </c>
    </row>
    <row r="782" spans="1:15" ht="47.25">
      <c r="A782" s="26" t="s">
        <v>534</v>
      </c>
      <c r="B782" s="215">
        <v>907</v>
      </c>
      <c r="C782" s="213" t="s">
        <v>316</v>
      </c>
      <c r="D782" s="213" t="s">
        <v>267</v>
      </c>
      <c r="E782" s="213" t="s">
        <v>535</v>
      </c>
      <c r="F782" s="213"/>
      <c r="G782" s="27">
        <f>G783</f>
        <v>10758</v>
      </c>
      <c r="H782" s="27">
        <f>H783</f>
        <v>8319.5</v>
      </c>
      <c r="I782" s="27">
        <f aca="true" t="shared" si="821" ref="I782:L782">I783</f>
        <v>10758</v>
      </c>
      <c r="J782" s="27">
        <f t="shared" si="821"/>
        <v>16464.5</v>
      </c>
      <c r="K782" s="27">
        <f t="shared" si="821"/>
        <v>16607.3</v>
      </c>
      <c r="L782" s="27">
        <f t="shared" si="821"/>
        <v>16742.6</v>
      </c>
      <c r="M782" s="27">
        <f aca="true" t="shared" si="822" ref="M782:N782">M783</f>
        <v>11806.7</v>
      </c>
      <c r="N782" s="27">
        <f t="shared" si="822"/>
        <v>6329.2</v>
      </c>
      <c r="O782" s="27">
        <f t="shared" si="820"/>
        <v>53.60685034768393</v>
      </c>
    </row>
    <row r="783" spans="1:15" ht="47.25">
      <c r="A783" s="26" t="s">
        <v>536</v>
      </c>
      <c r="B783" s="215">
        <v>907</v>
      </c>
      <c r="C783" s="213" t="s">
        <v>316</v>
      </c>
      <c r="D783" s="213" t="s">
        <v>267</v>
      </c>
      <c r="E783" s="213" t="s">
        <v>537</v>
      </c>
      <c r="F783" s="213"/>
      <c r="G783" s="27">
        <f aca="true" t="shared" si="823" ref="G783:L783">G784+G787+G790+G796+G793+G799</f>
        <v>10758</v>
      </c>
      <c r="H783" s="27">
        <f aca="true" t="shared" si="824" ref="H783">H784+H787+H790+H796+H793</f>
        <v>8319.5</v>
      </c>
      <c r="I783" s="27">
        <f t="shared" si="823"/>
        <v>10758</v>
      </c>
      <c r="J783" s="27">
        <f>J784+J787+J790+J796+J793+J799</f>
        <v>16464.5</v>
      </c>
      <c r="K783" s="27">
        <f t="shared" si="823"/>
        <v>16607.3</v>
      </c>
      <c r="L783" s="27">
        <f t="shared" si="823"/>
        <v>16742.6</v>
      </c>
      <c r="M783" s="27">
        <f aca="true" t="shared" si="825" ref="M783:N783">M784+M787+M790+M796+M793+M799</f>
        <v>11806.7</v>
      </c>
      <c r="N783" s="27">
        <f t="shared" si="825"/>
        <v>6329.2</v>
      </c>
      <c r="O783" s="27">
        <f t="shared" si="820"/>
        <v>53.60685034768393</v>
      </c>
    </row>
    <row r="784" spans="1:15" ht="47.25">
      <c r="A784" s="26" t="s">
        <v>322</v>
      </c>
      <c r="B784" s="215">
        <v>907</v>
      </c>
      <c r="C784" s="213" t="s">
        <v>316</v>
      </c>
      <c r="D784" s="213" t="s">
        <v>267</v>
      </c>
      <c r="E784" s="213" t="s">
        <v>538</v>
      </c>
      <c r="F784" s="213"/>
      <c r="G784" s="27">
        <f>G785</f>
        <v>10722</v>
      </c>
      <c r="H784" s="27">
        <f>H785</f>
        <v>8300</v>
      </c>
      <c r="I784" s="27">
        <f aca="true" t="shared" si="826" ref="I784:L784">I785</f>
        <v>10722</v>
      </c>
      <c r="J784" s="27">
        <f t="shared" si="826"/>
        <v>15788.3</v>
      </c>
      <c r="K784" s="27">
        <f t="shared" si="826"/>
        <v>15931.1</v>
      </c>
      <c r="L784" s="27">
        <f t="shared" si="826"/>
        <v>16066.4</v>
      </c>
      <c r="M784" s="27">
        <f aca="true" t="shared" si="827" ref="M784:N785">M785</f>
        <v>11348.5</v>
      </c>
      <c r="N784" s="27">
        <f t="shared" si="827"/>
        <v>5948.6</v>
      </c>
      <c r="O784" s="27">
        <f t="shared" si="820"/>
        <v>52.41750011014672</v>
      </c>
    </row>
    <row r="785" spans="1:15" ht="47.25">
      <c r="A785" s="26" t="s">
        <v>324</v>
      </c>
      <c r="B785" s="215">
        <v>907</v>
      </c>
      <c r="C785" s="213" t="s">
        <v>316</v>
      </c>
      <c r="D785" s="213" t="s">
        <v>267</v>
      </c>
      <c r="E785" s="213" t="s">
        <v>538</v>
      </c>
      <c r="F785" s="213" t="s">
        <v>325</v>
      </c>
      <c r="G785" s="27">
        <f aca="true" t="shared" si="828" ref="G785:L785">G786</f>
        <v>10722</v>
      </c>
      <c r="H785" s="27">
        <f t="shared" si="828"/>
        <v>8300</v>
      </c>
      <c r="I785" s="27">
        <f t="shared" si="828"/>
        <v>10722</v>
      </c>
      <c r="J785" s="27">
        <f t="shared" si="828"/>
        <v>15788.3</v>
      </c>
      <c r="K785" s="27">
        <f t="shared" si="828"/>
        <v>15931.1</v>
      </c>
      <c r="L785" s="27">
        <f t="shared" si="828"/>
        <v>16066.4</v>
      </c>
      <c r="M785" s="27">
        <f t="shared" si="827"/>
        <v>11348.5</v>
      </c>
      <c r="N785" s="27">
        <f t="shared" si="827"/>
        <v>5948.6</v>
      </c>
      <c r="O785" s="27">
        <f t="shared" si="820"/>
        <v>52.41750011014672</v>
      </c>
    </row>
    <row r="786" spans="1:15" ht="15.75">
      <c r="A786" s="26" t="s">
        <v>326</v>
      </c>
      <c r="B786" s="215">
        <v>907</v>
      </c>
      <c r="C786" s="213" t="s">
        <v>316</v>
      </c>
      <c r="D786" s="213" t="s">
        <v>267</v>
      </c>
      <c r="E786" s="213" t="s">
        <v>538</v>
      </c>
      <c r="F786" s="213" t="s">
        <v>327</v>
      </c>
      <c r="G786" s="28">
        <f>10500+753.9-531.9</f>
        <v>10722</v>
      </c>
      <c r="H786" s="28">
        <v>8300</v>
      </c>
      <c r="I786" s="28">
        <v>10722</v>
      </c>
      <c r="J786" s="28">
        <v>15788.3</v>
      </c>
      <c r="K786" s="28">
        <v>15931.1</v>
      </c>
      <c r="L786" s="28">
        <v>16066.4</v>
      </c>
      <c r="M786" s="28">
        <f>10445.7+902.8</f>
        <v>11348.5</v>
      </c>
      <c r="N786" s="28">
        <v>5948.6</v>
      </c>
      <c r="O786" s="27">
        <f t="shared" si="820"/>
        <v>52.41750011014672</v>
      </c>
    </row>
    <row r="787" spans="1:15" ht="47.25" customHeight="1" hidden="1">
      <c r="A787" s="26" t="s">
        <v>330</v>
      </c>
      <c r="B787" s="215">
        <v>907</v>
      </c>
      <c r="C787" s="213" t="s">
        <v>316</v>
      </c>
      <c r="D787" s="213" t="s">
        <v>265</v>
      </c>
      <c r="E787" s="213" t="s">
        <v>539</v>
      </c>
      <c r="F787" s="213"/>
      <c r="G787" s="27">
        <f aca="true" t="shared" si="829" ref="G787:L788">G788</f>
        <v>0</v>
      </c>
      <c r="H787" s="27"/>
      <c r="I787" s="27">
        <f t="shared" si="829"/>
        <v>0</v>
      </c>
      <c r="J787" s="27">
        <f t="shared" si="829"/>
        <v>0</v>
      </c>
      <c r="K787" s="27">
        <f t="shared" si="829"/>
        <v>0</v>
      </c>
      <c r="L787" s="27">
        <f t="shared" si="829"/>
        <v>0</v>
      </c>
      <c r="M787" s="27">
        <f aca="true" t="shared" si="830" ref="M787:N788">M788</f>
        <v>0</v>
      </c>
      <c r="N787" s="27">
        <f t="shared" si="830"/>
        <v>0</v>
      </c>
      <c r="O787" s="27" t="e">
        <f t="shared" si="820"/>
        <v>#DIV/0!</v>
      </c>
    </row>
    <row r="788" spans="1:15" ht="47.25" customHeight="1" hidden="1">
      <c r="A788" s="26" t="s">
        <v>324</v>
      </c>
      <c r="B788" s="215">
        <v>907</v>
      </c>
      <c r="C788" s="213" t="s">
        <v>316</v>
      </c>
      <c r="D788" s="213" t="s">
        <v>265</v>
      </c>
      <c r="E788" s="213" t="s">
        <v>539</v>
      </c>
      <c r="F788" s="213" t="s">
        <v>325</v>
      </c>
      <c r="G788" s="27">
        <f t="shared" si="829"/>
        <v>0</v>
      </c>
      <c r="H788" s="27"/>
      <c r="I788" s="27">
        <f t="shared" si="829"/>
        <v>0</v>
      </c>
      <c r="J788" s="27">
        <f t="shared" si="829"/>
        <v>0</v>
      </c>
      <c r="K788" s="27">
        <f t="shared" si="829"/>
        <v>0</v>
      </c>
      <c r="L788" s="27">
        <f t="shared" si="829"/>
        <v>0</v>
      </c>
      <c r="M788" s="27">
        <f t="shared" si="830"/>
        <v>0</v>
      </c>
      <c r="N788" s="27">
        <f t="shared" si="830"/>
        <v>0</v>
      </c>
      <c r="O788" s="27" t="e">
        <f t="shared" si="820"/>
        <v>#DIV/0!</v>
      </c>
    </row>
    <row r="789" spans="1:15" ht="15.75" customHeight="1" hidden="1">
      <c r="A789" s="26" t="s">
        <v>326</v>
      </c>
      <c r="B789" s="215">
        <v>907</v>
      </c>
      <c r="C789" s="213" t="s">
        <v>316</v>
      </c>
      <c r="D789" s="213" t="s">
        <v>265</v>
      </c>
      <c r="E789" s="213" t="s">
        <v>539</v>
      </c>
      <c r="F789" s="213" t="s">
        <v>327</v>
      </c>
      <c r="G789" s="27">
        <v>0</v>
      </c>
      <c r="H789" s="27"/>
      <c r="I789" s="27">
        <v>0</v>
      </c>
      <c r="J789" s="27">
        <v>0</v>
      </c>
      <c r="K789" s="27">
        <v>0</v>
      </c>
      <c r="L789" s="27">
        <v>0</v>
      </c>
      <c r="M789" s="27">
        <v>0</v>
      </c>
      <c r="N789" s="27">
        <v>0</v>
      </c>
      <c r="O789" s="27" t="e">
        <f t="shared" si="820"/>
        <v>#DIV/0!</v>
      </c>
    </row>
    <row r="790" spans="1:15" ht="31.5" customHeight="1" hidden="1">
      <c r="A790" s="26" t="s">
        <v>332</v>
      </c>
      <c r="B790" s="215">
        <v>907</v>
      </c>
      <c r="C790" s="213" t="s">
        <v>316</v>
      </c>
      <c r="D790" s="213" t="s">
        <v>265</v>
      </c>
      <c r="E790" s="213" t="s">
        <v>540</v>
      </c>
      <c r="F790" s="213"/>
      <c r="G790" s="27">
        <f aca="true" t="shared" si="831" ref="G790:L791">G791</f>
        <v>0</v>
      </c>
      <c r="H790" s="27"/>
      <c r="I790" s="27">
        <f t="shared" si="831"/>
        <v>0</v>
      </c>
      <c r="J790" s="27">
        <f t="shared" si="831"/>
        <v>0</v>
      </c>
      <c r="K790" s="27">
        <f t="shared" si="831"/>
        <v>0</v>
      </c>
      <c r="L790" s="27">
        <f t="shared" si="831"/>
        <v>0</v>
      </c>
      <c r="M790" s="27">
        <f aca="true" t="shared" si="832" ref="M790:N791">M791</f>
        <v>0</v>
      </c>
      <c r="N790" s="27">
        <f t="shared" si="832"/>
        <v>0</v>
      </c>
      <c r="O790" s="27" t="e">
        <f t="shared" si="820"/>
        <v>#DIV/0!</v>
      </c>
    </row>
    <row r="791" spans="1:15" ht="47.25" customHeight="1" hidden="1">
      <c r="A791" s="26" t="s">
        <v>324</v>
      </c>
      <c r="B791" s="215">
        <v>907</v>
      </c>
      <c r="C791" s="213" t="s">
        <v>316</v>
      </c>
      <c r="D791" s="213" t="s">
        <v>265</v>
      </c>
      <c r="E791" s="213" t="s">
        <v>540</v>
      </c>
      <c r="F791" s="213" t="s">
        <v>325</v>
      </c>
      <c r="G791" s="27">
        <f t="shared" si="831"/>
        <v>0</v>
      </c>
      <c r="H791" s="27"/>
      <c r="I791" s="27">
        <f t="shared" si="831"/>
        <v>0</v>
      </c>
      <c r="J791" s="27">
        <f t="shared" si="831"/>
        <v>0</v>
      </c>
      <c r="K791" s="27">
        <f t="shared" si="831"/>
        <v>0</v>
      </c>
      <c r="L791" s="27">
        <f t="shared" si="831"/>
        <v>0</v>
      </c>
      <c r="M791" s="27">
        <f t="shared" si="832"/>
        <v>0</v>
      </c>
      <c r="N791" s="27">
        <f t="shared" si="832"/>
        <v>0</v>
      </c>
      <c r="O791" s="27" t="e">
        <f t="shared" si="820"/>
        <v>#DIV/0!</v>
      </c>
    </row>
    <row r="792" spans="1:15" ht="15.75" customHeight="1" hidden="1">
      <c r="A792" s="26" t="s">
        <v>326</v>
      </c>
      <c r="B792" s="215">
        <v>907</v>
      </c>
      <c r="C792" s="213" t="s">
        <v>316</v>
      </c>
      <c r="D792" s="213" t="s">
        <v>265</v>
      </c>
      <c r="E792" s="213" t="s">
        <v>540</v>
      </c>
      <c r="F792" s="213" t="s">
        <v>327</v>
      </c>
      <c r="G792" s="27">
        <v>0</v>
      </c>
      <c r="H792" s="27"/>
      <c r="I792" s="27">
        <v>0</v>
      </c>
      <c r="J792" s="27">
        <v>0</v>
      </c>
      <c r="K792" s="27">
        <v>0</v>
      </c>
      <c r="L792" s="27">
        <v>0</v>
      </c>
      <c r="M792" s="27">
        <v>0</v>
      </c>
      <c r="N792" s="27">
        <v>0</v>
      </c>
      <c r="O792" s="27" t="e">
        <f t="shared" si="820"/>
        <v>#DIV/0!</v>
      </c>
    </row>
    <row r="793" spans="1:15" ht="47.25">
      <c r="A793" s="26" t="s">
        <v>334</v>
      </c>
      <c r="B793" s="215">
        <v>907</v>
      </c>
      <c r="C793" s="213" t="s">
        <v>316</v>
      </c>
      <c r="D793" s="213" t="s">
        <v>267</v>
      </c>
      <c r="E793" s="213" t="s">
        <v>541</v>
      </c>
      <c r="F793" s="213"/>
      <c r="G793" s="27">
        <f aca="true" t="shared" si="833" ref="G793:L794">G794</f>
        <v>36</v>
      </c>
      <c r="H793" s="27">
        <f t="shared" si="833"/>
        <v>19.5</v>
      </c>
      <c r="I793" s="27">
        <f t="shared" si="833"/>
        <v>36</v>
      </c>
      <c r="J793" s="27">
        <f t="shared" si="833"/>
        <v>36</v>
      </c>
      <c r="K793" s="27">
        <f t="shared" si="833"/>
        <v>36</v>
      </c>
      <c r="L793" s="27">
        <f t="shared" si="833"/>
        <v>36</v>
      </c>
      <c r="M793" s="27">
        <f aca="true" t="shared" si="834" ref="M793:N794">M794</f>
        <v>36</v>
      </c>
      <c r="N793" s="27">
        <f t="shared" si="834"/>
        <v>15.4</v>
      </c>
      <c r="O793" s="27">
        <f t="shared" si="820"/>
        <v>42.77777777777778</v>
      </c>
    </row>
    <row r="794" spans="1:15" ht="47.25">
      <c r="A794" s="26" t="s">
        <v>324</v>
      </c>
      <c r="B794" s="215">
        <v>907</v>
      </c>
      <c r="C794" s="213" t="s">
        <v>316</v>
      </c>
      <c r="D794" s="213" t="s">
        <v>267</v>
      </c>
      <c r="E794" s="213" t="s">
        <v>541</v>
      </c>
      <c r="F794" s="213" t="s">
        <v>325</v>
      </c>
      <c r="G794" s="27">
        <f>G795</f>
        <v>36</v>
      </c>
      <c r="H794" s="27">
        <f>H795</f>
        <v>19.5</v>
      </c>
      <c r="I794" s="27">
        <f t="shared" si="833"/>
        <v>36</v>
      </c>
      <c r="J794" s="27">
        <f t="shared" si="833"/>
        <v>36</v>
      </c>
      <c r="K794" s="27">
        <f t="shared" si="833"/>
        <v>36</v>
      </c>
      <c r="L794" s="27">
        <f t="shared" si="833"/>
        <v>36</v>
      </c>
      <c r="M794" s="27">
        <f t="shared" si="834"/>
        <v>36</v>
      </c>
      <c r="N794" s="27">
        <f t="shared" si="834"/>
        <v>15.4</v>
      </c>
      <c r="O794" s="27">
        <f t="shared" si="820"/>
        <v>42.77777777777778</v>
      </c>
    </row>
    <row r="795" spans="1:15" ht="15.75">
      <c r="A795" s="26" t="s">
        <v>326</v>
      </c>
      <c r="B795" s="215">
        <v>907</v>
      </c>
      <c r="C795" s="213" t="s">
        <v>316</v>
      </c>
      <c r="D795" s="213" t="s">
        <v>267</v>
      </c>
      <c r="E795" s="213" t="s">
        <v>541</v>
      </c>
      <c r="F795" s="213" t="s">
        <v>327</v>
      </c>
      <c r="G795" s="27">
        <v>36</v>
      </c>
      <c r="H795" s="27">
        <v>19.5</v>
      </c>
      <c r="I795" s="27">
        <v>36</v>
      </c>
      <c r="J795" s="27">
        <v>36</v>
      </c>
      <c r="K795" s="27">
        <v>36</v>
      </c>
      <c r="L795" s="27">
        <v>36</v>
      </c>
      <c r="M795" s="27">
        <v>36</v>
      </c>
      <c r="N795" s="27">
        <v>15.4</v>
      </c>
      <c r="O795" s="27">
        <f t="shared" si="820"/>
        <v>42.77777777777778</v>
      </c>
    </row>
    <row r="796" spans="1:15" ht="31.5" customHeight="1" hidden="1">
      <c r="A796" s="26" t="s">
        <v>336</v>
      </c>
      <c r="B796" s="215">
        <v>907</v>
      </c>
      <c r="C796" s="213" t="s">
        <v>316</v>
      </c>
      <c r="D796" s="213" t="s">
        <v>267</v>
      </c>
      <c r="E796" s="213" t="s">
        <v>542</v>
      </c>
      <c r="F796" s="213"/>
      <c r="G796" s="27">
        <f aca="true" t="shared" si="835" ref="G796:L797">G797</f>
        <v>0</v>
      </c>
      <c r="H796" s="27">
        <v>0</v>
      </c>
      <c r="I796" s="27">
        <f t="shared" si="835"/>
        <v>0</v>
      </c>
      <c r="J796" s="27">
        <f t="shared" si="835"/>
        <v>275</v>
      </c>
      <c r="K796" s="27">
        <f t="shared" si="835"/>
        <v>275</v>
      </c>
      <c r="L796" s="27">
        <f t="shared" si="835"/>
        <v>275</v>
      </c>
      <c r="M796" s="27">
        <f aca="true" t="shared" si="836" ref="M796:N797">M797</f>
        <v>0</v>
      </c>
      <c r="N796" s="27"/>
      <c r="O796" s="27" t="e">
        <f t="shared" si="820"/>
        <v>#DIV/0!</v>
      </c>
    </row>
    <row r="797" spans="1:15" ht="47.25" customHeight="1" hidden="1">
      <c r="A797" s="26" t="s">
        <v>324</v>
      </c>
      <c r="B797" s="215">
        <v>907</v>
      </c>
      <c r="C797" s="213" t="s">
        <v>316</v>
      </c>
      <c r="D797" s="213" t="s">
        <v>267</v>
      </c>
      <c r="E797" s="213" t="s">
        <v>542</v>
      </c>
      <c r="F797" s="213" t="s">
        <v>325</v>
      </c>
      <c r="G797" s="27">
        <f t="shared" si="835"/>
        <v>0</v>
      </c>
      <c r="H797" s="27">
        <v>0</v>
      </c>
      <c r="I797" s="27">
        <f t="shared" si="835"/>
        <v>0</v>
      </c>
      <c r="J797" s="27">
        <f t="shared" si="835"/>
        <v>275</v>
      </c>
      <c r="K797" s="27">
        <f t="shared" si="835"/>
        <v>275</v>
      </c>
      <c r="L797" s="27">
        <f t="shared" si="835"/>
        <v>275</v>
      </c>
      <c r="M797" s="27">
        <f t="shared" si="836"/>
        <v>0</v>
      </c>
      <c r="N797" s="27">
        <f t="shared" si="836"/>
        <v>0</v>
      </c>
      <c r="O797" s="27" t="e">
        <f t="shared" si="820"/>
        <v>#DIV/0!</v>
      </c>
    </row>
    <row r="798" spans="1:15" ht="15.75" customHeight="1" hidden="1">
      <c r="A798" s="26" t="s">
        <v>326</v>
      </c>
      <c r="B798" s="215">
        <v>907</v>
      </c>
      <c r="C798" s="213" t="s">
        <v>316</v>
      </c>
      <c r="D798" s="213" t="s">
        <v>267</v>
      </c>
      <c r="E798" s="213" t="s">
        <v>542</v>
      </c>
      <c r="F798" s="213" t="s">
        <v>327</v>
      </c>
      <c r="G798" s="27">
        <v>0</v>
      </c>
      <c r="H798" s="27">
        <v>0</v>
      </c>
      <c r="I798" s="27">
        <v>0</v>
      </c>
      <c r="J798" s="27">
        <v>275</v>
      </c>
      <c r="K798" s="27">
        <v>275</v>
      </c>
      <c r="L798" s="27">
        <v>275</v>
      </c>
      <c r="M798" s="27">
        <v>0</v>
      </c>
      <c r="N798" s="27"/>
      <c r="O798" s="27" t="e">
        <f t="shared" si="820"/>
        <v>#DIV/0!</v>
      </c>
    </row>
    <row r="799" spans="1:15" ht="52.5" customHeight="1">
      <c r="A799" s="47" t="s">
        <v>865</v>
      </c>
      <c r="B799" s="215">
        <v>907</v>
      </c>
      <c r="C799" s="213" t="s">
        <v>316</v>
      </c>
      <c r="D799" s="213" t="s">
        <v>267</v>
      </c>
      <c r="E799" s="213" t="s">
        <v>872</v>
      </c>
      <c r="F799" s="213"/>
      <c r="G799" s="27">
        <f>G800</f>
        <v>0</v>
      </c>
      <c r="H799" s="27">
        <v>0</v>
      </c>
      <c r="I799" s="27">
        <f aca="true" t="shared" si="837" ref="I799:L800">I800</f>
        <v>0</v>
      </c>
      <c r="J799" s="27">
        <f t="shared" si="837"/>
        <v>365.2</v>
      </c>
      <c r="K799" s="27">
        <f t="shared" si="837"/>
        <v>365.2</v>
      </c>
      <c r="L799" s="27">
        <f t="shared" si="837"/>
        <v>365.2</v>
      </c>
      <c r="M799" s="27">
        <f aca="true" t="shared" si="838" ref="M799:N800">M800</f>
        <v>422.2</v>
      </c>
      <c r="N799" s="27">
        <f t="shared" si="838"/>
        <v>365.2</v>
      </c>
      <c r="O799" s="27">
        <f t="shared" si="820"/>
        <v>86.49928943628612</v>
      </c>
    </row>
    <row r="800" spans="1:15" ht="54.75" customHeight="1">
      <c r="A800" s="33" t="s">
        <v>324</v>
      </c>
      <c r="B800" s="215">
        <v>907</v>
      </c>
      <c r="C800" s="213" t="s">
        <v>316</v>
      </c>
      <c r="D800" s="213" t="s">
        <v>267</v>
      </c>
      <c r="E800" s="213" t="s">
        <v>872</v>
      </c>
      <c r="F800" s="213" t="s">
        <v>325</v>
      </c>
      <c r="G800" s="27">
        <f>G801</f>
        <v>0</v>
      </c>
      <c r="H800" s="27">
        <v>0</v>
      </c>
      <c r="I800" s="27">
        <f t="shared" si="837"/>
        <v>0</v>
      </c>
      <c r="J800" s="27">
        <f t="shared" si="837"/>
        <v>365.2</v>
      </c>
      <c r="K800" s="27">
        <f t="shared" si="837"/>
        <v>365.2</v>
      </c>
      <c r="L800" s="27">
        <f t="shared" si="837"/>
        <v>365.2</v>
      </c>
      <c r="M800" s="27">
        <f t="shared" si="838"/>
        <v>422.2</v>
      </c>
      <c r="N800" s="27">
        <f t="shared" si="838"/>
        <v>365.2</v>
      </c>
      <c r="O800" s="27">
        <f t="shared" si="820"/>
        <v>86.49928943628612</v>
      </c>
    </row>
    <row r="801" spans="1:15" ht="15.75" customHeight="1">
      <c r="A801" s="33" t="s">
        <v>326</v>
      </c>
      <c r="B801" s="215">
        <v>907</v>
      </c>
      <c r="C801" s="213" t="s">
        <v>316</v>
      </c>
      <c r="D801" s="213" t="s">
        <v>267</v>
      </c>
      <c r="E801" s="213" t="s">
        <v>872</v>
      </c>
      <c r="F801" s="213" t="s">
        <v>327</v>
      </c>
      <c r="G801" s="27">
        <v>0</v>
      </c>
      <c r="H801" s="27">
        <v>0</v>
      </c>
      <c r="I801" s="27">
        <v>0</v>
      </c>
      <c r="J801" s="27">
        <v>365.2</v>
      </c>
      <c r="K801" s="27">
        <v>365.2</v>
      </c>
      <c r="L801" s="27">
        <v>365.2</v>
      </c>
      <c r="M801" s="27">
        <f>365.2+57</f>
        <v>422.2</v>
      </c>
      <c r="N801" s="27">
        <v>365.2</v>
      </c>
      <c r="O801" s="27">
        <f t="shared" si="820"/>
        <v>86.49928943628612</v>
      </c>
    </row>
    <row r="802" spans="1:15" ht="15.75">
      <c r="A802" s="26" t="s">
        <v>173</v>
      </c>
      <c r="B802" s="215">
        <v>907</v>
      </c>
      <c r="C802" s="213" t="s">
        <v>316</v>
      </c>
      <c r="D802" s="213" t="s">
        <v>267</v>
      </c>
      <c r="E802" s="213" t="s">
        <v>174</v>
      </c>
      <c r="F802" s="213"/>
      <c r="G802" s="27">
        <f>G803</f>
        <v>727.1</v>
      </c>
      <c r="H802" s="27">
        <f>H803</f>
        <v>276.2</v>
      </c>
      <c r="I802" s="27">
        <f aca="true" t="shared" si="839" ref="I802:L802">I803</f>
        <v>727.1</v>
      </c>
      <c r="J802" s="27">
        <f t="shared" si="839"/>
        <v>727.1</v>
      </c>
      <c r="K802" s="27">
        <f t="shared" si="839"/>
        <v>727.1</v>
      </c>
      <c r="L802" s="27">
        <f t="shared" si="839"/>
        <v>727.1</v>
      </c>
      <c r="M802" s="27">
        <f aca="true" t="shared" si="840" ref="M802:N802">M803</f>
        <v>725.8000000000001</v>
      </c>
      <c r="N802" s="27">
        <f t="shared" si="840"/>
        <v>285.4</v>
      </c>
      <c r="O802" s="27">
        <f t="shared" si="820"/>
        <v>39.32212730779828</v>
      </c>
    </row>
    <row r="803" spans="1:15" ht="31.5">
      <c r="A803" s="26" t="s">
        <v>237</v>
      </c>
      <c r="B803" s="215">
        <v>907</v>
      </c>
      <c r="C803" s="213" t="s">
        <v>316</v>
      </c>
      <c r="D803" s="213" t="s">
        <v>267</v>
      </c>
      <c r="E803" s="213" t="s">
        <v>238</v>
      </c>
      <c r="F803" s="213"/>
      <c r="G803" s="27">
        <f>G804+G807+G810</f>
        <v>727.1</v>
      </c>
      <c r="H803" s="27">
        <f>H804+H807+H810</f>
        <v>276.2</v>
      </c>
      <c r="I803" s="27">
        <f aca="true" t="shared" si="841" ref="I803:L803">I804+I807+I810</f>
        <v>727.1</v>
      </c>
      <c r="J803" s="27">
        <f t="shared" si="841"/>
        <v>727.1</v>
      </c>
      <c r="K803" s="27">
        <f t="shared" si="841"/>
        <v>727.1</v>
      </c>
      <c r="L803" s="27">
        <f t="shared" si="841"/>
        <v>727.1</v>
      </c>
      <c r="M803" s="27">
        <f aca="true" t="shared" si="842" ref="M803:N803">M804+M807+M810</f>
        <v>725.8000000000001</v>
      </c>
      <c r="N803" s="27">
        <f t="shared" si="842"/>
        <v>285.4</v>
      </c>
      <c r="O803" s="27">
        <f t="shared" si="820"/>
        <v>39.32212730779828</v>
      </c>
    </row>
    <row r="804" spans="1:15" ht="63">
      <c r="A804" s="33" t="s">
        <v>341</v>
      </c>
      <c r="B804" s="215">
        <v>907</v>
      </c>
      <c r="C804" s="213" t="s">
        <v>316</v>
      </c>
      <c r="D804" s="213" t="s">
        <v>267</v>
      </c>
      <c r="E804" s="213" t="s">
        <v>342</v>
      </c>
      <c r="F804" s="213"/>
      <c r="G804" s="27">
        <f>G805</f>
        <v>50</v>
      </c>
      <c r="H804" s="27">
        <f>H805</f>
        <v>0</v>
      </c>
      <c r="I804" s="27">
        <f aca="true" t="shared" si="843" ref="I804:L804">I805</f>
        <v>50</v>
      </c>
      <c r="J804" s="27">
        <f t="shared" si="843"/>
        <v>50</v>
      </c>
      <c r="K804" s="27">
        <f t="shared" si="843"/>
        <v>50</v>
      </c>
      <c r="L804" s="27">
        <f t="shared" si="843"/>
        <v>50</v>
      </c>
      <c r="M804" s="27">
        <f aca="true" t="shared" si="844" ref="M804:N805">M805</f>
        <v>50</v>
      </c>
      <c r="N804" s="27">
        <f t="shared" si="844"/>
        <v>0</v>
      </c>
      <c r="O804" s="27">
        <f t="shared" si="820"/>
        <v>0</v>
      </c>
    </row>
    <row r="805" spans="1:15" ht="47.25">
      <c r="A805" s="26" t="s">
        <v>324</v>
      </c>
      <c r="B805" s="215">
        <v>907</v>
      </c>
      <c r="C805" s="213" t="s">
        <v>316</v>
      </c>
      <c r="D805" s="213" t="s">
        <v>267</v>
      </c>
      <c r="E805" s="213" t="s">
        <v>342</v>
      </c>
      <c r="F805" s="213" t="s">
        <v>325</v>
      </c>
      <c r="G805" s="27">
        <f aca="true" t="shared" si="845" ref="G805:L805">G806</f>
        <v>50</v>
      </c>
      <c r="H805" s="27">
        <f t="shared" si="845"/>
        <v>0</v>
      </c>
      <c r="I805" s="27">
        <f t="shared" si="845"/>
        <v>50</v>
      </c>
      <c r="J805" s="27">
        <f t="shared" si="845"/>
        <v>50</v>
      </c>
      <c r="K805" s="27">
        <f t="shared" si="845"/>
        <v>50</v>
      </c>
      <c r="L805" s="27">
        <f t="shared" si="845"/>
        <v>50</v>
      </c>
      <c r="M805" s="27">
        <f t="shared" si="844"/>
        <v>50</v>
      </c>
      <c r="N805" s="27">
        <f t="shared" si="844"/>
        <v>0</v>
      </c>
      <c r="O805" s="27">
        <f t="shared" si="820"/>
        <v>0</v>
      </c>
    </row>
    <row r="806" spans="1:15" ht="15.75">
      <c r="A806" s="26" t="s">
        <v>326</v>
      </c>
      <c r="B806" s="215">
        <v>907</v>
      </c>
      <c r="C806" s="213" t="s">
        <v>316</v>
      </c>
      <c r="D806" s="213" t="s">
        <v>267</v>
      </c>
      <c r="E806" s="213" t="s">
        <v>342</v>
      </c>
      <c r="F806" s="213" t="s">
        <v>327</v>
      </c>
      <c r="G806" s="27">
        <v>50</v>
      </c>
      <c r="H806" s="27">
        <v>0</v>
      </c>
      <c r="I806" s="27">
        <v>50</v>
      </c>
      <c r="J806" s="27">
        <v>50</v>
      </c>
      <c r="K806" s="27">
        <v>50</v>
      </c>
      <c r="L806" s="27">
        <v>50</v>
      </c>
      <c r="M806" s="27">
        <v>50</v>
      </c>
      <c r="N806" s="27">
        <v>0</v>
      </c>
      <c r="O806" s="27">
        <f t="shared" si="820"/>
        <v>0</v>
      </c>
    </row>
    <row r="807" spans="1:15" ht="78.75">
      <c r="A807" s="33" t="s">
        <v>343</v>
      </c>
      <c r="B807" s="215">
        <v>907</v>
      </c>
      <c r="C807" s="213" t="s">
        <v>316</v>
      </c>
      <c r="D807" s="213" t="s">
        <v>267</v>
      </c>
      <c r="E807" s="213" t="s">
        <v>344</v>
      </c>
      <c r="F807" s="213"/>
      <c r="G807" s="27">
        <f aca="true" t="shared" si="846" ref="G807:L811">G808</f>
        <v>197.3</v>
      </c>
      <c r="H807" s="27">
        <f t="shared" si="846"/>
        <v>118</v>
      </c>
      <c r="I807" s="27">
        <f t="shared" si="846"/>
        <v>197.3</v>
      </c>
      <c r="J807" s="27">
        <f t="shared" si="846"/>
        <v>197.3</v>
      </c>
      <c r="K807" s="27">
        <f t="shared" si="846"/>
        <v>197.3</v>
      </c>
      <c r="L807" s="27">
        <f t="shared" si="846"/>
        <v>197.3</v>
      </c>
      <c r="M807" s="27">
        <f aca="true" t="shared" si="847" ref="M807:N811">M808</f>
        <v>204.20000000000002</v>
      </c>
      <c r="N807" s="27">
        <f t="shared" si="847"/>
        <v>110</v>
      </c>
      <c r="O807" s="27">
        <f t="shared" si="820"/>
        <v>53.86875612144956</v>
      </c>
    </row>
    <row r="808" spans="1:15" ht="47.25">
      <c r="A808" s="26" t="s">
        <v>324</v>
      </c>
      <c r="B808" s="215">
        <v>907</v>
      </c>
      <c r="C808" s="213" t="s">
        <v>316</v>
      </c>
      <c r="D808" s="213" t="s">
        <v>267</v>
      </c>
      <c r="E808" s="213" t="s">
        <v>344</v>
      </c>
      <c r="F808" s="213" t="s">
        <v>325</v>
      </c>
      <c r="G808" s="27">
        <f>G809</f>
        <v>197.3</v>
      </c>
      <c r="H808" s="27">
        <f>H809</f>
        <v>118</v>
      </c>
      <c r="I808" s="27">
        <f t="shared" si="846"/>
        <v>197.3</v>
      </c>
      <c r="J808" s="27">
        <f t="shared" si="846"/>
        <v>197.3</v>
      </c>
      <c r="K808" s="27">
        <f t="shared" si="846"/>
        <v>197.3</v>
      </c>
      <c r="L808" s="27">
        <f t="shared" si="846"/>
        <v>197.3</v>
      </c>
      <c r="M808" s="27">
        <f t="shared" si="847"/>
        <v>204.20000000000002</v>
      </c>
      <c r="N808" s="27">
        <f t="shared" si="847"/>
        <v>110</v>
      </c>
      <c r="O808" s="27">
        <f t="shared" si="820"/>
        <v>53.86875612144956</v>
      </c>
    </row>
    <row r="809" spans="1:15" ht="15.75">
      <c r="A809" s="26" t="s">
        <v>326</v>
      </c>
      <c r="B809" s="215">
        <v>907</v>
      </c>
      <c r="C809" s="213" t="s">
        <v>316</v>
      </c>
      <c r="D809" s="213" t="s">
        <v>267</v>
      </c>
      <c r="E809" s="213" t="s">
        <v>344</v>
      </c>
      <c r="F809" s="213" t="s">
        <v>327</v>
      </c>
      <c r="G809" s="27">
        <f>200-2.7</f>
        <v>197.3</v>
      </c>
      <c r="H809" s="27">
        <v>118</v>
      </c>
      <c r="I809" s="27">
        <f aca="true" t="shared" si="848" ref="I809:L809">200-2.7</f>
        <v>197.3</v>
      </c>
      <c r="J809" s="27">
        <f t="shared" si="848"/>
        <v>197.3</v>
      </c>
      <c r="K809" s="27">
        <f t="shared" si="848"/>
        <v>197.3</v>
      </c>
      <c r="L809" s="27">
        <f t="shared" si="848"/>
        <v>197.3</v>
      </c>
      <c r="M809" s="27">
        <f>200-2.7+6.9</f>
        <v>204.20000000000002</v>
      </c>
      <c r="N809" s="27">
        <v>110</v>
      </c>
      <c r="O809" s="27">
        <f t="shared" si="820"/>
        <v>53.86875612144956</v>
      </c>
    </row>
    <row r="810" spans="1:15" ht="110.25">
      <c r="A810" s="33" t="s">
        <v>517</v>
      </c>
      <c r="B810" s="215">
        <v>907</v>
      </c>
      <c r="C810" s="213" t="s">
        <v>316</v>
      </c>
      <c r="D810" s="213" t="s">
        <v>267</v>
      </c>
      <c r="E810" s="213" t="s">
        <v>346</v>
      </c>
      <c r="F810" s="213"/>
      <c r="G810" s="27">
        <f>G811</f>
        <v>479.8</v>
      </c>
      <c r="H810" s="27">
        <f>H811</f>
        <v>158.2</v>
      </c>
      <c r="I810" s="27">
        <f aca="true" t="shared" si="849" ref="I810:L810">I811</f>
        <v>479.8</v>
      </c>
      <c r="J810" s="27">
        <f t="shared" si="849"/>
        <v>479.8</v>
      </c>
      <c r="K810" s="27">
        <f t="shared" si="849"/>
        <v>479.8</v>
      </c>
      <c r="L810" s="27">
        <f t="shared" si="849"/>
        <v>479.8</v>
      </c>
      <c r="M810" s="27">
        <f aca="true" t="shared" si="850" ref="M810:N810">M811</f>
        <v>471.6</v>
      </c>
      <c r="N810" s="27">
        <f t="shared" si="850"/>
        <v>175.4</v>
      </c>
      <c r="O810" s="27">
        <f t="shared" si="820"/>
        <v>37.19253604749788</v>
      </c>
    </row>
    <row r="811" spans="1:15" ht="47.25">
      <c r="A811" s="26" t="s">
        <v>324</v>
      </c>
      <c r="B811" s="215">
        <v>907</v>
      </c>
      <c r="C811" s="213" t="s">
        <v>316</v>
      </c>
      <c r="D811" s="213" t="s">
        <v>267</v>
      </c>
      <c r="E811" s="213" t="s">
        <v>346</v>
      </c>
      <c r="F811" s="213" t="s">
        <v>325</v>
      </c>
      <c r="G811" s="27">
        <f t="shared" si="846"/>
        <v>479.8</v>
      </c>
      <c r="H811" s="27">
        <f t="shared" si="846"/>
        <v>158.2</v>
      </c>
      <c r="I811" s="27">
        <f t="shared" si="846"/>
        <v>479.8</v>
      </c>
      <c r="J811" s="27">
        <f t="shared" si="846"/>
        <v>479.8</v>
      </c>
      <c r="K811" s="27">
        <f t="shared" si="846"/>
        <v>479.8</v>
      </c>
      <c r="L811" s="27">
        <f t="shared" si="846"/>
        <v>479.8</v>
      </c>
      <c r="M811" s="27">
        <f t="shared" si="847"/>
        <v>471.6</v>
      </c>
      <c r="N811" s="27">
        <f t="shared" si="847"/>
        <v>175.4</v>
      </c>
      <c r="O811" s="27">
        <f t="shared" si="820"/>
        <v>37.19253604749788</v>
      </c>
    </row>
    <row r="812" spans="1:15" ht="15.75">
      <c r="A812" s="26" t="s">
        <v>326</v>
      </c>
      <c r="B812" s="215">
        <v>907</v>
      </c>
      <c r="C812" s="213" t="s">
        <v>316</v>
      </c>
      <c r="D812" s="213" t="s">
        <v>267</v>
      </c>
      <c r="E812" s="213" t="s">
        <v>346</v>
      </c>
      <c r="F812" s="213" t="s">
        <v>327</v>
      </c>
      <c r="G812" s="27">
        <f>500-20.2</f>
        <v>479.8</v>
      </c>
      <c r="H812" s="27">
        <v>158.2</v>
      </c>
      <c r="I812" s="27">
        <f aca="true" t="shared" si="851" ref="I812:L812">500-20.2</f>
        <v>479.8</v>
      </c>
      <c r="J812" s="27">
        <f t="shared" si="851"/>
        <v>479.8</v>
      </c>
      <c r="K812" s="27">
        <f t="shared" si="851"/>
        <v>479.8</v>
      </c>
      <c r="L812" s="27">
        <f t="shared" si="851"/>
        <v>479.8</v>
      </c>
      <c r="M812" s="27">
        <f>500-20.2-8.2</f>
        <v>471.6</v>
      </c>
      <c r="N812" s="27">
        <v>175.4</v>
      </c>
      <c r="O812" s="27">
        <f t="shared" si="820"/>
        <v>37.19253604749788</v>
      </c>
    </row>
    <row r="813" spans="1:15" ht="15.75">
      <c r="A813" s="24" t="s">
        <v>543</v>
      </c>
      <c r="B813" s="212">
        <v>907</v>
      </c>
      <c r="C813" s="214" t="s">
        <v>544</v>
      </c>
      <c r="D813" s="213"/>
      <c r="E813" s="213"/>
      <c r="F813" s="213"/>
      <c r="G813" s="22">
        <f aca="true" t="shared" si="852" ref="G813:M813">G814+G841</f>
        <v>34702.7</v>
      </c>
      <c r="H813" s="22">
        <f t="shared" si="852"/>
        <v>24902</v>
      </c>
      <c r="I813" s="22">
        <f t="shared" si="852"/>
        <v>40816.8</v>
      </c>
      <c r="J813" s="22">
        <f t="shared" si="852"/>
        <v>64029.6</v>
      </c>
      <c r="K813" s="22">
        <f t="shared" si="852"/>
        <v>65815.3</v>
      </c>
      <c r="L813" s="22">
        <f t="shared" si="852"/>
        <v>66895.9</v>
      </c>
      <c r="M813" s="22">
        <f t="shared" si="852"/>
        <v>53159.8</v>
      </c>
      <c r="N813" s="22">
        <f aca="true" t="shared" si="853" ref="N813">N814+N841</f>
        <v>24741.6</v>
      </c>
      <c r="O813" s="22">
        <f t="shared" si="820"/>
        <v>46.541935823686316</v>
      </c>
    </row>
    <row r="814" spans="1:15" ht="15.75">
      <c r="A814" s="24" t="s">
        <v>545</v>
      </c>
      <c r="B814" s="212">
        <v>907</v>
      </c>
      <c r="C814" s="214" t="s">
        <v>544</v>
      </c>
      <c r="D814" s="214" t="s">
        <v>170</v>
      </c>
      <c r="E814" s="213"/>
      <c r="F814" s="213"/>
      <c r="G814" s="22">
        <f aca="true" t="shared" si="854" ref="G814:L814">G815+G837</f>
        <v>23173.9</v>
      </c>
      <c r="H814" s="22">
        <f t="shared" si="854"/>
        <v>15997.5</v>
      </c>
      <c r="I814" s="22">
        <f t="shared" si="854"/>
        <v>28397</v>
      </c>
      <c r="J814" s="22">
        <f t="shared" si="854"/>
        <v>52737</v>
      </c>
      <c r="K814" s="22">
        <f t="shared" si="854"/>
        <v>54355.7</v>
      </c>
      <c r="L814" s="22">
        <f t="shared" si="854"/>
        <v>55263.1</v>
      </c>
      <c r="M814" s="22">
        <f>M815+M837+M832</f>
        <v>42347.5</v>
      </c>
      <c r="N814" s="22">
        <f aca="true" t="shared" si="855" ref="N814">N815+N837+N832</f>
        <v>19348</v>
      </c>
      <c r="O814" s="22">
        <f t="shared" si="820"/>
        <v>45.688647499852415</v>
      </c>
    </row>
    <row r="815" spans="1:15" ht="47.25">
      <c r="A815" s="26" t="s">
        <v>534</v>
      </c>
      <c r="B815" s="215">
        <v>907</v>
      </c>
      <c r="C815" s="213" t="s">
        <v>544</v>
      </c>
      <c r="D815" s="213" t="s">
        <v>170</v>
      </c>
      <c r="E815" s="213" t="s">
        <v>535</v>
      </c>
      <c r="F815" s="213"/>
      <c r="G815" s="27">
        <f>G816</f>
        <v>22673.9</v>
      </c>
      <c r="H815" s="27">
        <f>H816</f>
        <v>15997.5</v>
      </c>
      <c r="I815" s="27">
        <f aca="true" t="shared" si="856" ref="I815:N815">I816</f>
        <v>27897</v>
      </c>
      <c r="J815" s="27">
        <f t="shared" si="856"/>
        <v>52737</v>
      </c>
      <c r="K815" s="27">
        <f t="shared" si="856"/>
        <v>54355.7</v>
      </c>
      <c r="L815" s="27">
        <f t="shared" si="856"/>
        <v>55263.1</v>
      </c>
      <c r="M815" s="27">
        <f t="shared" si="856"/>
        <v>41802.5</v>
      </c>
      <c r="N815" s="27">
        <f t="shared" si="856"/>
        <v>18803</v>
      </c>
      <c r="O815" s="27">
        <f t="shared" si="820"/>
        <v>44.9805633634352</v>
      </c>
    </row>
    <row r="816" spans="1:15" ht="47.25">
      <c r="A816" s="26" t="s">
        <v>546</v>
      </c>
      <c r="B816" s="215">
        <v>907</v>
      </c>
      <c r="C816" s="213" t="s">
        <v>544</v>
      </c>
      <c r="D816" s="213" t="s">
        <v>170</v>
      </c>
      <c r="E816" s="213" t="s">
        <v>547</v>
      </c>
      <c r="F816" s="213"/>
      <c r="G816" s="27">
        <f>G817+G820+G823+G826+G829</f>
        <v>22673.9</v>
      </c>
      <c r="H816" s="27">
        <f>H817+H820+H823+H826</f>
        <v>15997.5</v>
      </c>
      <c r="I816" s="27">
        <f aca="true" t="shared" si="857" ref="I816:L816">I817+I820+I823+I826+I829</f>
        <v>27897</v>
      </c>
      <c r="J816" s="27">
        <f t="shared" si="857"/>
        <v>52737</v>
      </c>
      <c r="K816" s="27">
        <f t="shared" si="857"/>
        <v>54355.7</v>
      </c>
      <c r="L816" s="27">
        <f t="shared" si="857"/>
        <v>55263.1</v>
      </c>
      <c r="M816" s="27">
        <f>M817+M820+M823+M826+M829</f>
        <v>41802.5</v>
      </c>
      <c r="N816" s="27">
        <f aca="true" t="shared" si="858" ref="N816">N817+N820+N823+N826+N829</f>
        <v>18803</v>
      </c>
      <c r="O816" s="27">
        <f t="shared" si="820"/>
        <v>44.9805633634352</v>
      </c>
    </row>
    <row r="817" spans="1:15" ht="47.25">
      <c r="A817" s="26" t="s">
        <v>548</v>
      </c>
      <c r="B817" s="215">
        <v>907</v>
      </c>
      <c r="C817" s="213" t="s">
        <v>544</v>
      </c>
      <c r="D817" s="213" t="s">
        <v>170</v>
      </c>
      <c r="E817" s="213" t="s">
        <v>549</v>
      </c>
      <c r="F817" s="213"/>
      <c r="G817" s="27">
        <f>G818</f>
        <v>22376.4</v>
      </c>
      <c r="H817" s="27">
        <f>H818</f>
        <v>15700</v>
      </c>
      <c r="I817" s="27">
        <f aca="true" t="shared" si="859" ref="I817:L817">I818</f>
        <v>27599.5</v>
      </c>
      <c r="J817" s="27">
        <f t="shared" si="859"/>
        <v>50955.8</v>
      </c>
      <c r="K817" s="27">
        <f t="shared" si="859"/>
        <v>52684.5</v>
      </c>
      <c r="L817" s="27">
        <f t="shared" si="859"/>
        <v>54166.9</v>
      </c>
      <c r="M817" s="27">
        <f aca="true" t="shared" si="860" ref="M817:N818">M818</f>
        <v>40981.3</v>
      </c>
      <c r="N817" s="27">
        <f t="shared" si="860"/>
        <v>18081.8</v>
      </c>
      <c r="O817" s="27">
        <f t="shared" si="820"/>
        <v>44.12207519039171</v>
      </c>
    </row>
    <row r="818" spans="1:15" ht="47.25">
      <c r="A818" s="26" t="s">
        <v>324</v>
      </c>
      <c r="B818" s="215">
        <v>907</v>
      </c>
      <c r="C818" s="213" t="s">
        <v>544</v>
      </c>
      <c r="D818" s="213" t="s">
        <v>170</v>
      </c>
      <c r="E818" s="213" t="s">
        <v>549</v>
      </c>
      <c r="F818" s="213" t="s">
        <v>325</v>
      </c>
      <c r="G818" s="27">
        <f aca="true" t="shared" si="861" ref="G818:L818">G819</f>
        <v>22376.4</v>
      </c>
      <c r="H818" s="27">
        <f t="shared" si="861"/>
        <v>15700</v>
      </c>
      <c r="I818" s="27">
        <f t="shared" si="861"/>
        <v>27599.5</v>
      </c>
      <c r="J818" s="27">
        <f t="shared" si="861"/>
        <v>50955.8</v>
      </c>
      <c r="K818" s="27">
        <f t="shared" si="861"/>
        <v>52684.5</v>
      </c>
      <c r="L818" s="27">
        <f t="shared" si="861"/>
        <v>54166.9</v>
      </c>
      <c r="M818" s="27">
        <f t="shared" si="860"/>
        <v>40981.3</v>
      </c>
      <c r="N818" s="27">
        <f t="shared" si="860"/>
        <v>18081.8</v>
      </c>
      <c r="O818" s="27">
        <f t="shared" si="820"/>
        <v>44.12207519039171</v>
      </c>
    </row>
    <row r="819" spans="1:15" ht="15.75">
      <c r="A819" s="26" t="s">
        <v>326</v>
      </c>
      <c r="B819" s="215">
        <v>907</v>
      </c>
      <c r="C819" s="213" t="s">
        <v>544</v>
      </c>
      <c r="D819" s="213" t="s">
        <v>170</v>
      </c>
      <c r="E819" s="213" t="s">
        <v>549</v>
      </c>
      <c r="F819" s="213" t="s">
        <v>327</v>
      </c>
      <c r="G819" s="28">
        <f>10890+1490.1+9887.3-199+308</f>
        <v>22376.4</v>
      </c>
      <c r="H819" s="28">
        <v>15700</v>
      </c>
      <c r="I819" s="28">
        <v>27599.5</v>
      </c>
      <c r="J819" s="28">
        <v>50955.8</v>
      </c>
      <c r="K819" s="28">
        <v>52684.5</v>
      </c>
      <c r="L819" s="28">
        <v>54166.9</v>
      </c>
      <c r="M819" s="28">
        <f>12075+28906.3</f>
        <v>40981.3</v>
      </c>
      <c r="N819" s="28">
        <v>18081.8</v>
      </c>
      <c r="O819" s="27">
        <f t="shared" si="820"/>
        <v>44.12207519039171</v>
      </c>
    </row>
    <row r="820" spans="1:15" ht="47.25" hidden="1">
      <c r="A820" s="26" t="s">
        <v>330</v>
      </c>
      <c r="B820" s="215">
        <v>907</v>
      </c>
      <c r="C820" s="213" t="s">
        <v>544</v>
      </c>
      <c r="D820" s="213" t="s">
        <v>170</v>
      </c>
      <c r="E820" s="213" t="s">
        <v>550</v>
      </c>
      <c r="F820" s="213"/>
      <c r="G820" s="27">
        <f aca="true" t="shared" si="862" ref="G820:L821">G821</f>
        <v>297.5</v>
      </c>
      <c r="H820" s="27">
        <f t="shared" si="862"/>
        <v>297.5</v>
      </c>
      <c r="I820" s="27">
        <f t="shared" si="862"/>
        <v>297.5</v>
      </c>
      <c r="J820" s="27">
        <f t="shared" si="862"/>
        <v>0</v>
      </c>
      <c r="K820" s="27">
        <f t="shared" si="862"/>
        <v>0</v>
      </c>
      <c r="L820" s="27">
        <f t="shared" si="862"/>
        <v>0</v>
      </c>
      <c r="M820" s="27">
        <f aca="true" t="shared" si="863" ref="M820:N821">M821</f>
        <v>0</v>
      </c>
      <c r="N820" s="27">
        <f t="shared" si="863"/>
        <v>0</v>
      </c>
      <c r="O820" s="27" t="e">
        <f t="shared" si="820"/>
        <v>#DIV/0!</v>
      </c>
    </row>
    <row r="821" spans="1:15" ht="47.25" hidden="1">
      <c r="A821" s="26" t="s">
        <v>324</v>
      </c>
      <c r="B821" s="215">
        <v>907</v>
      </c>
      <c r="C821" s="213" t="s">
        <v>544</v>
      </c>
      <c r="D821" s="213" t="s">
        <v>170</v>
      </c>
      <c r="E821" s="213" t="s">
        <v>550</v>
      </c>
      <c r="F821" s="213" t="s">
        <v>325</v>
      </c>
      <c r="G821" s="27">
        <f t="shared" si="862"/>
        <v>297.5</v>
      </c>
      <c r="H821" s="27">
        <f t="shared" si="862"/>
        <v>297.5</v>
      </c>
      <c r="I821" s="27">
        <f t="shared" si="862"/>
        <v>297.5</v>
      </c>
      <c r="J821" s="27">
        <f t="shared" si="862"/>
        <v>0</v>
      </c>
      <c r="K821" s="27">
        <f t="shared" si="862"/>
        <v>0</v>
      </c>
      <c r="L821" s="27">
        <f t="shared" si="862"/>
        <v>0</v>
      </c>
      <c r="M821" s="27">
        <f t="shared" si="863"/>
        <v>0</v>
      </c>
      <c r="N821" s="27">
        <f t="shared" si="863"/>
        <v>0</v>
      </c>
      <c r="O821" s="27" t="e">
        <f t="shared" si="820"/>
        <v>#DIV/0!</v>
      </c>
    </row>
    <row r="822" spans="1:15" ht="15.75" hidden="1">
      <c r="A822" s="26" t="s">
        <v>326</v>
      </c>
      <c r="B822" s="215">
        <v>907</v>
      </c>
      <c r="C822" s="213" t="s">
        <v>544</v>
      </c>
      <c r="D822" s="213" t="s">
        <v>170</v>
      </c>
      <c r="E822" s="213" t="s">
        <v>550</v>
      </c>
      <c r="F822" s="213" t="s">
        <v>327</v>
      </c>
      <c r="G822" s="27">
        <f>797.5-500</f>
        <v>297.5</v>
      </c>
      <c r="H822" s="27">
        <f>797.5-500</f>
        <v>297.5</v>
      </c>
      <c r="I822" s="27">
        <f aca="true" t="shared" si="864" ref="I822">797.5-500</f>
        <v>297.5</v>
      </c>
      <c r="J822" s="27">
        <v>0</v>
      </c>
      <c r="K822" s="27">
        <v>0</v>
      </c>
      <c r="L822" s="27">
        <v>0</v>
      </c>
      <c r="M822" s="27">
        <v>0</v>
      </c>
      <c r="N822" s="27">
        <v>0</v>
      </c>
      <c r="O822" s="27" t="e">
        <f t="shared" si="820"/>
        <v>#DIV/0!</v>
      </c>
    </row>
    <row r="823" spans="1:15" ht="31.5" customHeight="1" hidden="1">
      <c r="A823" s="26" t="s">
        <v>332</v>
      </c>
      <c r="B823" s="215">
        <v>907</v>
      </c>
      <c r="C823" s="213" t="s">
        <v>544</v>
      </c>
      <c r="D823" s="213" t="s">
        <v>170</v>
      </c>
      <c r="E823" s="213" t="s">
        <v>551</v>
      </c>
      <c r="F823" s="213"/>
      <c r="G823" s="27">
        <f aca="true" t="shared" si="865" ref="G823:L824">G824</f>
        <v>0</v>
      </c>
      <c r="H823" s="27">
        <v>0</v>
      </c>
      <c r="I823" s="27">
        <f t="shared" si="865"/>
        <v>0</v>
      </c>
      <c r="J823" s="27">
        <f t="shared" si="865"/>
        <v>685</v>
      </c>
      <c r="K823" s="27">
        <f t="shared" si="865"/>
        <v>300</v>
      </c>
      <c r="L823" s="27">
        <f t="shared" si="865"/>
        <v>0</v>
      </c>
      <c r="M823" s="27">
        <f aca="true" t="shared" si="866" ref="M823:N824">M824</f>
        <v>0</v>
      </c>
      <c r="N823" s="27">
        <f t="shared" si="866"/>
        <v>0</v>
      </c>
      <c r="O823" s="27" t="e">
        <f t="shared" si="820"/>
        <v>#DIV/0!</v>
      </c>
    </row>
    <row r="824" spans="1:15" ht="47.25" customHeight="1" hidden="1">
      <c r="A824" s="26" t="s">
        <v>324</v>
      </c>
      <c r="B824" s="215">
        <v>907</v>
      </c>
      <c r="C824" s="213" t="s">
        <v>544</v>
      </c>
      <c r="D824" s="213" t="s">
        <v>170</v>
      </c>
      <c r="E824" s="213" t="s">
        <v>551</v>
      </c>
      <c r="F824" s="213" t="s">
        <v>325</v>
      </c>
      <c r="G824" s="27">
        <f t="shared" si="865"/>
        <v>0</v>
      </c>
      <c r="H824" s="27">
        <v>0</v>
      </c>
      <c r="I824" s="27">
        <f t="shared" si="865"/>
        <v>0</v>
      </c>
      <c r="J824" s="27">
        <f t="shared" si="865"/>
        <v>685</v>
      </c>
      <c r="K824" s="27">
        <f t="shared" si="865"/>
        <v>300</v>
      </c>
      <c r="L824" s="27">
        <f t="shared" si="865"/>
        <v>0</v>
      </c>
      <c r="M824" s="27">
        <f t="shared" si="866"/>
        <v>0</v>
      </c>
      <c r="N824" s="27">
        <f t="shared" si="866"/>
        <v>0</v>
      </c>
      <c r="O824" s="27" t="e">
        <f t="shared" si="820"/>
        <v>#DIV/0!</v>
      </c>
    </row>
    <row r="825" spans="1:15" ht="15.75" customHeight="1" hidden="1">
      <c r="A825" s="26" t="s">
        <v>326</v>
      </c>
      <c r="B825" s="215">
        <v>907</v>
      </c>
      <c r="C825" s="213" t="s">
        <v>544</v>
      </c>
      <c r="D825" s="213" t="s">
        <v>170</v>
      </c>
      <c r="E825" s="213" t="s">
        <v>551</v>
      </c>
      <c r="F825" s="213" t="s">
        <v>327</v>
      </c>
      <c r="G825" s="27">
        <v>0</v>
      </c>
      <c r="H825" s="27">
        <v>0</v>
      </c>
      <c r="I825" s="27">
        <v>0</v>
      </c>
      <c r="J825" s="27">
        <v>685</v>
      </c>
      <c r="K825" s="27">
        <v>300</v>
      </c>
      <c r="L825" s="27">
        <v>0</v>
      </c>
      <c r="M825" s="27">
        <v>0</v>
      </c>
      <c r="N825" s="27">
        <v>0</v>
      </c>
      <c r="O825" s="27" t="e">
        <f t="shared" si="820"/>
        <v>#DIV/0!</v>
      </c>
    </row>
    <row r="826" spans="1:15" ht="33.75" customHeight="1">
      <c r="A826" s="26" t="s">
        <v>1001</v>
      </c>
      <c r="B826" s="215">
        <v>907</v>
      </c>
      <c r="C826" s="213" t="s">
        <v>544</v>
      </c>
      <c r="D826" s="213" t="s">
        <v>170</v>
      </c>
      <c r="E826" s="213" t="s">
        <v>552</v>
      </c>
      <c r="F826" s="213"/>
      <c r="G826" s="27">
        <f>G827</f>
        <v>0</v>
      </c>
      <c r="H826" s="27">
        <v>0</v>
      </c>
      <c r="I826" s="27">
        <f aca="true" t="shared" si="867" ref="I826:L827">I827</f>
        <v>0</v>
      </c>
      <c r="J826" s="27">
        <f t="shared" si="867"/>
        <v>275</v>
      </c>
      <c r="K826" s="27">
        <f t="shared" si="867"/>
        <v>550</v>
      </c>
      <c r="L826" s="27">
        <f t="shared" si="867"/>
        <v>275</v>
      </c>
      <c r="M826" s="27">
        <f aca="true" t="shared" si="868" ref="M826:N827">M827</f>
        <v>100</v>
      </c>
      <c r="N826" s="27">
        <f t="shared" si="868"/>
        <v>0</v>
      </c>
      <c r="O826" s="27">
        <f t="shared" si="820"/>
        <v>0</v>
      </c>
    </row>
    <row r="827" spans="1:15" ht="47.25">
      <c r="A827" s="26" t="s">
        <v>324</v>
      </c>
      <c r="B827" s="215">
        <v>907</v>
      </c>
      <c r="C827" s="213" t="s">
        <v>544</v>
      </c>
      <c r="D827" s="213" t="s">
        <v>170</v>
      </c>
      <c r="E827" s="213" t="s">
        <v>552</v>
      </c>
      <c r="F827" s="213" t="s">
        <v>325</v>
      </c>
      <c r="G827" s="27">
        <f>G828</f>
        <v>0</v>
      </c>
      <c r="H827" s="27">
        <v>0</v>
      </c>
      <c r="I827" s="27">
        <f t="shared" si="867"/>
        <v>0</v>
      </c>
      <c r="J827" s="27">
        <f t="shared" si="867"/>
        <v>275</v>
      </c>
      <c r="K827" s="27">
        <f t="shared" si="867"/>
        <v>550</v>
      </c>
      <c r="L827" s="27">
        <f t="shared" si="867"/>
        <v>275</v>
      </c>
      <c r="M827" s="27">
        <f t="shared" si="868"/>
        <v>100</v>
      </c>
      <c r="N827" s="27">
        <f t="shared" si="868"/>
        <v>0</v>
      </c>
      <c r="O827" s="27">
        <f t="shared" si="820"/>
        <v>0</v>
      </c>
    </row>
    <row r="828" spans="1:15" ht="15.75" customHeight="1">
      <c r="A828" s="26" t="s">
        <v>326</v>
      </c>
      <c r="B828" s="215">
        <v>907</v>
      </c>
      <c r="C828" s="213" t="s">
        <v>544</v>
      </c>
      <c r="D828" s="213" t="s">
        <v>170</v>
      </c>
      <c r="E828" s="213" t="s">
        <v>552</v>
      </c>
      <c r="F828" s="213" t="s">
        <v>327</v>
      </c>
      <c r="G828" s="27">
        <v>0</v>
      </c>
      <c r="H828" s="27">
        <v>0</v>
      </c>
      <c r="I828" s="27">
        <v>0</v>
      </c>
      <c r="J828" s="27">
        <v>275</v>
      </c>
      <c r="K828" s="27">
        <f>275+275</f>
        <v>550</v>
      </c>
      <c r="L828" s="27">
        <v>275</v>
      </c>
      <c r="M828" s="27">
        <v>100</v>
      </c>
      <c r="N828" s="27">
        <v>0</v>
      </c>
      <c r="O828" s="27">
        <f t="shared" si="820"/>
        <v>0</v>
      </c>
    </row>
    <row r="829" spans="1:15" ht="49.5" customHeight="1">
      <c r="A829" s="47" t="s">
        <v>865</v>
      </c>
      <c r="B829" s="215">
        <v>907</v>
      </c>
      <c r="C829" s="213" t="s">
        <v>544</v>
      </c>
      <c r="D829" s="213" t="s">
        <v>170</v>
      </c>
      <c r="E829" s="213" t="s">
        <v>873</v>
      </c>
      <c r="F829" s="213"/>
      <c r="G829" s="27">
        <f>G830</f>
        <v>0</v>
      </c>
      <c r="H829" s="27">
        <v>0</v>
      </c>
      <c r="I829" s="27">
        <f aca="true" t="shared" si="869" ref="I829:L830">I830</f>
        <v>0</v>
      </c>
      <c r="J829" s="27">
        <f t="shared" si="869"/>
        <v>821.2</v>
      </c>
      <c r="K829" s="27">
        <f t="shared" si="869"/>
        <v>821.2</v>
      </c>
      <c r="L829" s="27">
        <f t="shared" si="869"/>
        <v>821.2</v>
      </c>
      <c r="M829" s="27">
        <f aca="true" t="shared" si="870" ref="M829:N830">M830</f>
        <v>721.2</v>
      </c>
      <c r="N829" s="27">
        <f t="shared" si="870"/>
        <v>721.2</v>
      </c>
      <c r="O829" s="27">
        <f t="shared" si="820"/>
        <v>100</v>
      </c>
    </row>
    <row r="830" spans="1:15" ht="48" customHeight="1">
      <c r="A830" s="33" t="s">
        <v>324</v>
      </c>
      <c r="B830" s="215">
        <v>907</v>
      </c>
      <c r="C830" s="213" t="s">
        <v>544</v>
      </c>
      <c r="D830" s="213" t="s">
        <v>170</v>
      </c>
      <c r="E830" s="213" t="s">
        <v>873</v>
      </c>
      <c r="F830" s="213" t="s">
        <v>325</v>
      </c>
      <c r="G830" s="27">
        <f>G831</f>
        <v>0</v>
      </c>
      <c r="H830" s="27">
        <v>0</v>
      </c>
      <c r="I830" s="27">
        <f t="shared" si="869"/>
        <v>0</v>
      </c>
      <c r="J830" s="27">
        <f t="shared" si="869"/>
        <v>821.2</v>
      </c>
      <c r="K830" s="27">
        <f t="shared" si="869"/>
        <v>821.2</v>
      </c>
      <c r="L830" s="27">
        <f t="shared" si="869"/>
        <v>821.2</v>
      </c>
      <c r="M830" s="27">
        <f t="shared" si="870"/>
        <v>721.2</v>
      </c>
      <c r="N830" s="27">
        <f t="shared" si="870"/>
        <v>721.2</v>
      </c>
      <c r="O830" s="27">
        <f t="shared" si="820"/>
        <v>100</v>
      </c>
    </row>
    <row r="831" spans="1:15" ht="15.75" customHeight="1">
      <c r="A831" s="33" t="s">
        <v>326</v>
      </c>
      <c r="B831" s="215">
        <v>907</v>
      </c>
      <c r="C831" s="213" t="s">
        <v>544</v>
      </c>
      <c r="D831" s="213" t="s">
        <v>170</v>
      </c>
      <c r="E831" s="213" t="s">
        <v>873</v>
      </c>
      <c r="F831" s="213" t="s">
        <v>327</v>
      </c>
      <c r="G831" s="27">
        <v>0</v>
      </c>
      <c r="H831" s="27">
        <v>0</v>
      </c>
      <c r="I831" s="27">
        <v>0</v>
      </c>
      <c r="J831" s="27">
        <v>821.2</v>
      </c>
      <c r="K831" s="27">
        <v>821.2</v>
      </c>
      <c r="L831" s="27">
        <v>821.2</v>
      </c>
      <c r="M831" s="27">
        <f>821.2-100</f>
        <v>721.2</v>
      </c>
      <c r="N831" s="27">
        <v>721.2</v>
      </c>
      <c r="O831" s="27">
        <f t="shared" si="820"/>
        <v>100</v>
      </c>
    </row>
    <row r="832" spans="1:15" ht="61.5" customHeight="1">
      <c r="A832" s="33" t="s">
        <v>955</v>
      </c>
      <c r="B832" s="215">
        <v>907</v>
      </c>
      <c r="C832" s="213" t="s">
        <v>544</v>
      </c>
      <c r="D832" s="213" t="s">
        <v>170</v>
      </c>
      <c r="E832" s="213" t="s">
        <v>376</v>
      </c>
      <c r="F832" s="213"/>
      <c r="G832" s="27"/>
      <c r="H832" s="27"/>
      <c r="I832" s="27"/>
      <c r="J832" s="27"/>
      <c r="K832" s="27"/>
      <c r="L832" s="27"/>
      <c r="M832" s="27">
        <f>M833</f>
        <v>545</v>
      </c>
      <c r="N832" s="27">
        <f aca="true" t="shared" si="871" ref="N832:N834">N833</f>
        <v>545</v>
      </c>
      <c r="O832" s="27">
        <f t="shared" si="820"/>
        <v>100</v>
      </c>
    </row>
    <row r="833" spans="1:15" ht="47.25">
      <c r="A833" s="33" t="s">
        <v>377</v>
      </c>
      <c r="B833" s="215">
        <v>907</v>
      </c>
      <c r="C833" s="213" t="s">
        <v>544</v>
      </c>
      <c r="D833" s="213" t="s">
        <v>170</v>
      </c>
      <c r="E833" s="213" t="s">
        <v>378</v>
      </c>
      <c r="F833" s="213"/>
      <c r="G833" s="27"/>
      <c r="H833" s="27"/>
      <c r="I833" s="27"/>
      <c r="J833" s="27"/>
      <c r="K833" s="27"/>
      <c r="L833" s="27"/>
      <c r="M833" s="27">
        <f>M834</f>
        <v>545</v>
      </c>
      <c r="N833" s="27">
        <f t="shared" si="871"/>
        <v>545</v>
      </c>
      <c r="O833" s="27">
        <f t="shared" si="820"/>
        <v>100</v>
      </c>
    </row>
    <row r="834" spans="1:15" ht="47.25">
      <c r="A834" s="33" t="s">
        <v>324</v>
      </c>
      <c r="B834" s="215">
        <v>907</v>
      </c>
      <c r="C834" s="213" t="s">
        <v>544</v>
      </c>
      <c r="D834" s="213" t="s">
        <v>170</v>
      </c>
      <c r="E834" s="213" t="s">
        <v>378</v>
      </c>
      <c r="F834" s="213" t="s">
        <v>325</v>
      </c>
      <c r="G834" s="27"/>
      <c r="H834" s="27"/>
      <c r="I834" s="27"/>
      <c r="J834" s="27"/>
      <c r="K834" s="27"/>
      <c r="L834" s="27"/>
      <c r="M834" s="27">
        <f>M835</f>
        <v>545</v>
      </c>
      <c r="N834" s="27">
        <f t="shared" si="871"/>
        <v>545</v>
      </c>
      <c r="O834" s="27">
        <f t="shared" si="820"/>
        <v>100</v>
      </c>
    </row>
    <row r="835" spans="1:15" ht="21" customHeight="1">
      <c r="A835" s="33" t="s">
        <v>326</v>
      </c>
      <c r="B835" s="215">
        <v>907</v>
      </c>
      <c r="C835" s="213" t="s">
        <v>544</v>
      </c>
      <c r="D835" s="213" t="s">
        <v>170</v>
      </c>
      <c r="E835" s="213" t="s">
        <v>378</v>
      </c>
      <c r="F835" s="213" t="s">
        <v>327</v>
      </c>
      <c r="G835" s="27"/>
      <c r="H835" s="27"/>
      <c r="I835" s="27"/>
      <c r="J835" s="27"/>
      <c r="K835" s="27"/>
      <c r="L835" s="27"/>
      <c r="M835" s="27">
        <v>545</v>
      </c>
      <c r="N835" s="27">
        <v>545</v>
      </c>
      <c r="O835" s="27">
        <f t="shared" si="820"/>
        <v>100</v>
      </c>
    </row>
    <row r="836" spans="1:15" ht="15.75" hidden="1">
      <c r="A836" s="26" t="s">
        <v>173</v>
      </c>
      <c r="B836" s="215">
        <v>907</v>
      </c>
      <c r="C836" s="213" t="s">
        <v>544</v>
      </c>
      <c r="D836" s="213" t="s">
        <v>170</v>
      </c>
      <c r="E836" s="213" t="s">
        <v>174</v>
      </c>
      <c r="F836" s="213"/>
      <c r="G836" s="27">
        <f>G837</f>
        <v>500</v>
      </c>
      <c r="H836" s="27">
        <f>H837</f>
        <v>0</v>
      </c>
      <c r="I836" s="27">
        <f aca="true" t="shared" si="872" ref="I836:L837">I837</f>
        <v>500</v>
      </c>
      <c r="J836" s="27">
        <f t="shared" si="872"/>
        <v>0</v>
      </c>
      <c r="K836" s="27">
        <f t="shared" si="872"/>
        <v>0</v>
      </c>
      <c r="L836" s="27">
        <f t="shared" si="872"/>
        <v>0</v>
      </c>
      <c r="M836" s="27">
        <f aca="true" t="shared" si="873" ref="M836:N837">M837</f>
        <v>0</v>
      </c>
      <c r="N836" s="27">
        <f t="shared" si="873"/>
        <v>0</v>
      </c>
      <c r="O836" s="22" t="e">
        <f t="shared" si="820"/>
        <v>#DIV/0!</v>
      </c>
    </row>
    <row r="837" spans="1:15" ht="31.5" hidden="1">
      <c r="A837" s="26" t="s">
        <v>237</v>
      </c>
      <c r="B837" s="215">
        <v>907</v>
      </c>
      <c r="C837" s="213" t="s">
        <v>544</v>
      </c>
      <c r="D837" s="213" t="s">
        <v>170</v>
      </c>
      <c r="E837" s="213" t="s">
        <v>238</v>
      </c>
      <c r="F837" s="213"/>
      <c r="G837" s="27">
        <f>G838</f>
        <v>500</v>
      </c>
      <c r="H837" s="27">
        <f>H838</f>
        <v>0</v>
      </c>
      <c r="I837" s="27">
        <f t="shared" si="872"/>
        <v>500</v>
      </c>
      <c r="J837" s="27">
        <f t="shared" si="872"/>
        <v>0</v>
      </c>
      <c r="K837" s="27">
        <f t="shared" si="872"/>
        <v>0</v>
      </c>
      <c r="L837" s="27">
        <f t="shared" si="872"/>
        <v>0</v>
      </c>
      <c r="M837" s="27">
        <f t="shared" si="873"/>
        <v>0</v>
      </c>
      <c r="N837" s="27">
        <f t="shared" si="873"/>
        <v>0</v>
      </c>
      <c r="O837" s="22" t="e">
        <f t="shared" si="820"/>
        <v>#DIV/0!</v>
      </c>
    </row>
    <row r="838" spans="1:15" ht="31.5" hidden="1">
      <c r="A838" s="26" t="s">
        <v>828</v>
      </c>
      <c r="B838" s="215">
        <v>907</v>
      </c>
      <c r="C838" s="213" t="s">
        <v>544</v>
      </c>
      <c r="D838" s="213" t="s">
        <v>170</v>
      </c>
      <c r="E838" s="213" t="s">
        <v>826</v>
      </c>
      <c r="F838" s="213"/>
      <c r="G838" s="27">
        <f>G840</f>
        <v>500</v>
      </c>
      <c r="H838" s="27">
        <f>H840</f>
        <v>0</v>
      </c>
      <c r="I838" s="27">
        <f aca="true" t="shared" si="874" ref="I838:L838">I840</f>
        <v>500</v>
      </c>
      <c r="J838" s="27">
        <f t="shared" si="874"/>
        <v>0</v>
      </c>
      <c r="K838" s="27">
        <f t="shared" si="874"/>
        <v>0</v>
      </c>
      <c r="L838" s="27">
        <f t="shared" si="874"/>
        <v>0</v>
      </c>
      <c r="M838" s="27">
        <f aca="true" t="shared" si="875" ref="M838:N838">M840</f>
        <v>0</v>
      </c>
      <c r="N838" s="27">
        <f t="shared" si="875"/>
        <v>0</v>
      </c>
      <c r="O838" s="22" t="e">
        <f t="shared" si="820"/>
        <v>#DIV/0!</v>
      </c>
    </row>
    <row r="839" spans="1:15" ht="47.25" hidden="1">
      <c r="A839" s="26" t="s">
        <v>324</v>
      </c>
      <c r="B839" s="215">
        <v>907</v>
      </c>
      <c r="C839" s="213" t="s">
        <v>544</v>
      </c>
      <c r="D839" s="213" t="s">
        <v>170</v>
      </c>
      <c r="E839" s="213" t="s">
        <v>826</v>
      </c>
      <c r="F839" s="213" t="s">
        <v>325</v>
      </c>
      <c r="G839" s="27">
        <f>G840</f>
        <v>500</v>
      </c>
      <c r="H839" s="27">
        <f>H840</f>
        <v>0</v>
      </c>
      <c r="I839" s="27">
        <f aca="true" t="shared" si="876" ref="I839:L839">I840</f>
        <v>500</v>
      </c>
      <c r="J839" s="27">
        <f t="shared" si="876"/>
        <v>0</v>
      </c>
      <c r="K839" s="27">
        <f t="shared" si="876"/>
        <v>0</v>
      </c>
      <c r="L839" s="27">
        <f t="shared" si="876"/>
        <v>0</v>
      </c>
      <c r="M839" s="27">
        <f aca="true" t="shared" si="877" ref="M839:N839">M840</f>
        <v>0</v>
      </c>
      <c r="N839" s="27">
        <f t="shared" si="877"/>
        <v>0</v>
      </c>
      <c r="O839" s="22" t="e">
        <f t="shared" si="820"/>
        <v>#DIV/0!</v>
      </c>
    </row>
    <row r="840" spans="1:15" ht="15.75" hidden="1">
      <c r="A840" s="26" t="s">
        <v>326</v>
      </c>
      <c r="B840" s="215">
        <v>907</v>
      </c>
      <c r="C840" s="213" t="s">
        <v>544</v>
      </c>
      <c r="D840" s="213" t="s">
        <v>170</v>
      </c>
      <c r="E840" s="213" t="s">
        <v>826</v>
      </c>
      <c r="F840" s="213" t="s">
        <v>327</v>
      </c>
      <c r="G840" s="27">
        <v>500</v>
      </c>
      <c r="H840" s="27">
        <v>0</v>
      </c>
      <c r="I840" s="27">
        <v>500</v>
      </c>
      <c r="J840" s="27">
        <v>0</v>
      </c>
      <c r="K840" s="27">
        <v>0</v>
      </c>
      <c r="L840" s="27">
        <v>0</v>
      </c>
      <c r="M840" s="27">
        <v>0</v>
      </c>
      <c r="N840" s="27">
        <v>0</v>
      </c>
      <c r="O840" s="22" t="e">
        <f t="shared" si="820"/>
        <v>#DIV/0!</v>
      </c>
    </row>
    <row r="841" spans="1:15" ht="31.5">
      <c r="A841" s="24" t="s">
        <v>553</v>
      </c>
      <c r="B841" s="212">
        <v>907</v>
      </c>
      <c r="C841" s="214" t="s">
        <v>544</v>
      </c>
      <c r="D841" s="214" t="s">
        <v>286</v>
      </c>
      <c r="E841" s="214"/>
      <c r="F841" s="214"/>
      <c r="G841" s="22">
        <f aca="true" t="shared" si="878" ref="G841:L841">G849+G842</f>
        <v>11528.8</v>
      </c>
      <c r="H841" s="22">
        <f t="shared" si="878"/>
        <v>8904.5</v>
      </c>
      <c r="I841" s="22">
        <f t="shared" si="878"/>
        <v>12419.8</v>
      </c>
      <c r="J841" s="22">
        <f t="shared" si="878"/>
        <v>11292.6</v>
      </c>
      <c r="K841" s="22">
        <f t="shared" si="878"/>
        <v>11459.6</v>
      </c>
      <c r="L841" s="22">
        <f t="shared" si="878"/>
        <v>11632.800000000001</v>
      </c>
      <c r="M841" s="22">
        <f aca="true" t="shared" si="879" ref="M841:N841">M849+M842</f>
        <v>10812.3</v>
      </c>
      <c r="N841" s="22">
        <f t="shared" si="879"/>
        <v>5393.599999999999</v>
      </c>
      <c r="O841" s="22">
        <f t="shared" si="820"/>
        <v>49.88392848885066</v>
      </c>
    </row>
    <row r="842" spans="1:15" ht="47.25">
      <c r="A842" s="31" t="s">
        <v>534</v>
      </c>
      <c r="B842" s="215">
        <v>907</v>
      </c>
      <c r="C842" s="213" t="s">
        <v>544</v>
      </c>
      <c r="D842" s="213" t="s">
        <v>286</v>
      </c>
      <c r="E842" s="216" t="s">
        <v>535</v>
      </c>
      <c r="F842" s="213"/>
      <c r="G842" s="27">
        <f aca="true" t="shared" si="880" ref="G842:L843">G843</f>
        <v>3047</v>
      </c>
      <c r="H842" s="27">
        <f t="shared" si="880"/>
        <v>2050.4</v>
      </c>
      <c r="I842" s="27">
        <f t="shared" si="880"/>
        <v>3047</v>
      </c>
      <c r="J842" s="27">
        <f t="shared" si="880"/>
        <v>3177.9</v>
      </c>
      <c r="K842" s="27">
        <f t="shared" si="880"/>
        <v>3314.6</v>
      </c>
      <c r="L842" s="27">
        <f t="shared" si="880"/>
        <v>3457.1</v>
      </c>
      <c r="M842" s="27">
        <f aca="true" t="shared" si="881" ref="M842:N843">M843</f>
        <v>2400</v>
      </c>
      <c r="N842" s="27">
        <f t="shared" si="881"/>
        <v>1266.8</v>
      </c>
      <c r="O842" s="27">
        <f t="shared" si="820"/>
        <v>52.783333333333324</v>
      </c>
    </row>
    <row r="843" spans="1:15" ht="47.25">
      <c r="A843" s="47" t="s">
        <v>554</v>
      </c>
      <c r="B843" s="215">
        <v>907</v>
      </c>
      <c r="C843" s="213" t="s">
        <v>544</v>
      </c>
      <c r="D843" s="213" t="s">
        <v>286</v>
      </c>
      <c r="E843" s="216" t="s">
        <v>555</v>
      </c>
      <c r="F843" s="213"/>
      <c r="G843" s="27">
        <f t="shared" si="880"/>
        <v>3047</v>
      </c>
      <c r="H843" s="27">
        <f t="shared" si="880"/>
        <v>2050.4</v>
      </c>
      <c r="I843" s="27">
        <f t="shared" si="880"/>
        <v>3047</v>
      </c>
      <c r="J843" s="27">
        <f t="shared" si="880"/>
        <v>3177.9</v>
      </c>
      <c r="K843" s="27">
        <f t="shared" si="880"/>
        <v>3314.6</v>
      </c>
      <c r="L843" s="27">
        <f t="shared" si="880"/>
        <v>3457.1</v>
      </c>
      <c r="M843" s="27">
        <f t="shared" si="881"/>
        <v>2400</v>
      </c>
      <c r="N843" s="27">
        <f t="shared" si="881"/>
        <v>1266.8</v>
      </c>
      <c r="O843" s="27">
        <f t="shared" si="820"/>
        <v>52.783333333333324</v>
      </c>
    </row>
    <row r="844" spans="1:16" ht="31.5">
      <c r="A844" s="31" t="s">
        <v>209</v>
      </c>
      <c r="B844" s="215">
        <v>907</v>
      </c>
      <c r="C844" s="213" t="s">
        <v>544</v>
      </c>
      <c r="D844" s="213" t="s">
        <v>286</v>
      </c>
      <c r="E844" s="216" t="s">
        <v>556</v>
      </c>
      <c r="F844" s="213"/>
      <c r="G844" s="27">
        <f>G847+G845</f>
        <v>3047</v>
      </c>
      <c r="H844" s="27">
        <f>H847+H845</f>
        <v>2050.4</v>
      </c>
      <c r="I844" s="27">
        <f aca="true" t="shared" si="882" ref="I844:L844">I847+I845</f>
        <v>3047</v>
      </c>
      <c r="J844" s="27">
        <f t="shared" si="882"/>
        <v>3177.9</v>
      </c>
      <c r="K844" s="27">
        <f t="shared" si="882"/>
        <v>3314.6</v>
      </c>
      <c r="L844" s="27">
        <f t="shared" si="882"/>
        <v>3457.1</v>
      </c>
      <c r="M844" s="27">
        <v>2400</v>
      </c>
      <c r="N844" s="27">
        <f>N845+N847</f>
        <v>1266.8</v>
      </c>
      <c r="O844" s="27">
        <f t="shared" si="820"/>
        <v>52.783333333333324</v>
      </c>
      <c r="P844" s="139"/>
    </row>
    <row r="845" spans="1:15" ht="94.5">
      <c r="A845" s="26" t="s">
        <v>179</v>
      </c>
      <c r="B845" s="215">
        <v>907</v>
      </c>
      <c r="C845" s="213" t="s">
        <v>544</v>
      </c>
      <c r="D845" s="213" t="s">
        <v>286</v>
      </c>
      <c r="E845" s="216" t="s">
        <v>556</v>
      </c>
      <c r="F845" s="213" t="s">
        <v>180</v>
      </c>
      <c r="G845" s="27">
        <f>G846</f>
        <v>2111</v>
      </c>
      <c r="H845" s="27">
        <f>H846</f>
        <v>1124.7</v>
      </c>
      <c r="I845" s="27">
        <f aca="true" t="shared" si="883" ref="I845:L845">I846</f>
        <v>2111</v>
      </c>
      <c r="J845" s="27">
        <f t="shared" si="883"/>
        <v>2111</v>
      </c>
      <c r="K845" s="27">
        <f t="shared" si="883"/>
        <v>2111</v>
      </c>
      <c r="L845" s="27">
        <f t="shared" si="883"/>
        <v>2111</v>
      </c>
      <c r="M845" s="27">
        <f aca="true" t="shared" si="884" ref="M845:N845">M846</f>
        <v>1611</v>
      </c>
      <c r="N845" s="27">
        <f t="shared" si="884"/>
        <v>864.5</v>
      </c>
      <c r="O845" s="27">
        <f aca="true" t="shared" si="885" ref="O845:O908">N845/M845*100</f>
        <v>53.66232153941651</v>
      </c>
    </row>
    <row r="846" spans="1:15" ht="31.5">
      <c r="A846" s="26" t="s">
        <v>181</v>
      </c>
      <c r="B846" s="215">
        <v>907</v>
      </c>
      <c r="C846" s="213" t="s">
        <v>544</v>
      </c>
      <c r="D846" s="213" t="s">
        <v>286</v>
      </c>
      <c r="E846" s="216" t="s">
        <v>556</v>
      </c>
      <c r="F846" s="213" t="s">
        <v>182</v>
      </c>
      <c r="G846" s="27">
        <v>2111</v>
      </c>
      <c r="H846" s="27">
        <v>1124.7</v>
      </c>
      <c r="I846" s="27">
        <v>2111</v>
      </c>
      <c r="J846" s="27">
        <v>2111</v>
      </c>
      <c r="K846" s="27">
        <v>2111</v>
      </c>
      <c r="L846" s="27">
        <v>2111</v>
      </c>
      <c r="M846" s="27">
        <f>2111-500</f>
        <v>1611</v>
      </c>
      <c r="N846" s="27">
        <v>864.5</v>
      </c>
      <c r="O846" s="27">
        <f t="shared" si="885"/>
        <v>53.66232153941651</v>
      </c>
    </row>
    <row r="847" spans="1:15" ht="31.5">
      <c r="A847" s="31" t="s">
        <v>183</v>
      </c>
      <c r="B847" s="215">
        <v>907</v>
      </c>
      <c r="C847" s="213" t="s">
        <v>544</v>
      </c>
      <c r="D847" s="213" t="s">
        <v>286</v>
      </c>
      <c r="E847" s="216" t="s">
        <v>556</v>
      </c>
      <c r="F847" s="213" t="s">
        <v>184</v>
      </c>
      <c r="G847" s="27">
        <f aca="true" t="shared" si="886" ref="G847:L847">G848</f>
        <v>936</v>
      </c>
      <c r="H847" s="27">
        <f t="shared" si="886"/>
        <v>925.7</v>
      </c>
      <c r="I847" s="27">
        <f t="shared" si="886"/>
        <v>936</v>
      </c>
      <c r="J847" s="27">
        <f t="shared" si="886"/>
        <v>1066.9</v>
      </c>
      <c r="K847" s="27">
        <f t="shared" si="886"/>
        <v>1203.6</v>
      </c>
      <c r="L847" s="27">
        <f t="shared" si="886"/>
        <v>1346.1</v>
      </c>
      <c r="M847" s="27">
        <f>M848</f>
        <v>789</v>
      </c>
      <c r="N847" s="27">
        <f aca="true" t="shared" si="887" ref="N847">N848</f>
        <v>402.3</v>
      </c>
      <c r="O847" s="27">
        <f t="shared" si="885"/>
        <v>50.98859315589353</v>
      </c>
    </row>
    <row r="848" spans="1:15" ht="47.25">
      <c r="A848" s="31" t="s">
        <v>185</v>
      </c>
      <c r="B848" s="215">
        <v>907</v>
      </c>
      <c r="C848" s="213" t="s">
        <v>544</v>
      </c>
      <c r="D848" s="213" t="s">
        <v>286</v>
      </c>
      <c r="E848" s="216" t="s">
        <v>556</v>
      </c>
      <c r="F848" s="213" t="s">
        <v>186</v>
      </c>
      <c r="G848" s="27">
        <f>3047-2111</f>
        <v>936</v>
      </c>
      <c r="H848" s="27">
        <v>925.7</v>
      </c>
      <c r="I848" s="27">
        <f aca="true" t="shared" si="888" ref="I848">3047-2111</f>
        <v>936</v>
      </c>
      <c r="J848" s="27">
        <f>3047-2111+130.9</f>
        <v>1066.9</v>
      </c>
      <c r="K848" s="27">
        <f>3047-2111+267.6</f>
        <v>1203.6</v>
      </c>
      <c r="L848" s="27">
        <f>3047-2111+410.1</f>
        <v>1346.1</v>
      </c>
      <c r="M848" s="27">
        <f>M844-M845</f>
        <v>789</v>
      </c>
      <c r="N848" s="27">
        <v>402.3</v>
      </c>
      <c r="O848" s="27">
        <f t="shared" si="885"/>
        <v>50.98859315589353</v>
      </c>
    </row>
    <row r="849" spans="1:15" ht="15.75">
      <c r="A849" s="26" t="s">
        <v>173</v>
      </c>
      <c r="B849" s="215">
        <v>907</v>
      </c>
      <c r="C849" s="213" t="s">
        <v>544</v>
      </c>
      <c r="D849" s="213" t="s">
        <v>286</v>
      </c>
      <c r="E849" s="213" t="s">
        <v>174</v>
      </c>
      <c r="F849" s="213"/>
      <c r="G849" s="27">
        <f>G850+G856</f>
        <v>8481.8</v>
      </c>
      <c r="H849" s="27">
        <f>H850+H856</f>
        <v>6854.1</v>
      </c>
      <c r="I849" s="27">
        <f aca="true" t="shared" si="889" ref="I849:L849">I850+I856</f>
        <v>9372.8</v>
      </c>
      <c r="J849" s="27">
        <f t="shared" si="889"/>
        <v>8114.700000000001</v>
      </c>
      <c r="K849" s="27">
        <f t="shared" si="889"/>
        <v>8145</v>
      </c>
      <c r="L849" s="27">
        <f t="shared" si="889"/>
        <v>8175.700000000001</v>
      </c>
      <c r="M849" s="27">
        <f aca="true" t="shared" si="890" ref="M849:N849">M850+M856</f>
        <v>8412.3</v>
      </c>
      <c r="N849" s="27">
        <f t="shared" si="890"/>
        <v>4126.799999999999</v>
      </c>
      <c r="O849" s="27">
        <f t="shared" si="885"/>
        <v>49.056738347419845</v>
      </c>
    </row>
    <row r="850" spans="1:15" ht="31.5">
      <c r="A850" s="26" t="s">
        <v>175</v>
      </c>
      <c r="B850" s="215">
        <v>907</v>
      </c>
      <c r="C850" s="213" t="s">
        <v>544</v>
      </c>
      <c r="D850" s="213" t="s">
        <v>286</v>
      </c>
      <c r="E850" s="213" t="s">
        <v>176</v>
      </c>
      <c r="F850" s="213"/>
      <c r="G850" s="27">
        <f>G851</f>
        <v>3599.8</v>
      </c>
      <c r="H850" s="27">
        <f>H851</f>
        <v>3056.2</v>
      </c>
      <c r="I850" s="27">
        <f aca="true" t="shared" si="891" ref="I850:L850">I851</f>
        <v>4307.9</v>
      </c>
      <c r="J850" s="27">
        <f t="shared" si="891"/>
        <v>3788.6</v>
      </c>
      <c r="K850" s="27">
        <f t="shared" si="891"/>
        <v>3788.6</v>
      </c>
      <c r="L850" s="27">
        <f t="shared" si="891"/>
        <v>3788.6</v>
      </c>
      <c r="M850" s="27">
        <f aca="true" t="shared" si="892" ref="M850:N850">M851</f>
        <v>3829.8</v>
      </c>
      <c r="N850" s="27">
        <f t="shared" si="892"/>
        <v>2332.2</v>
      </c>
      <c r="O850" s="27">
        <f t="shared" si="885"/>
        <v>60.89613034623217</v>
      </c>
    </row>
    <row r="851" spans="1:15" ht="47.25">
      <c r="A851" s="26" t="s">
        <v>177</v>
      </c>
      <c r="B851" s="215">
        <v>907</v>
      </c>
      <c r="C851" s="213" t="s">
        <v>544</v>
      </c>
      <c r="D851" s="213" t="s">
        <v>286</v>
      </c>
      <c r="E851" s="213" t="s">
        <v>178</v>
      </c>
      <c r="F851" s="213"/>
      <c r="G851" s="27">
        <f aca="true" t="shared" si="893" ref="G851:L851">G852+G854</f>
        <v>3599.8</v>
      </c>
      <c r="H851" s="27">
        <f t="shared" si="893"/>
        <v>3056.2</v>
      </c>
      <c r="I851" s="27">
        <f t="shared" si="893"/>
        <v>4307.9</v>
      </c>
      <c r="J851" s="27">
        <f t="shared" si="893"/>
        <v>3788.6</v>
      </c>
      <c r="K851" s="27">
        <f t="shared" si="893"/>
        <v>3788.6</v>
      </c>
      <c r="L851" s="27">
        <f t="shared" si="893"/>
        <v>3788.6</v>
      </c>
      <c r="M851" s="27">
        <f aca="true" t="shared" si="894" ref="M851:N851">M852+M854</f>
        <v>3829.8</v>
      </c>
      <c r="N851" s="27">
        <f t="shared" si="894"/>
        <v>2332.2</v>
      </c>
      <c r="O851" s="27">
        <f t="shared" si="885"/>
        <v>60.89613034623217</v>
      </c>
    </row>
    <row r="852" spans="1:15" ht="94.5">
      <c r="A852" s="26" t="s">
        <v>179</v>
      </c>
      <c r="B852" s="215">
        <v>907</v>
      </c>
      <c r="C852" s="213" t="s">
        <v>544</v>
      </c>
      <c r="D852" s="213" t="s">
        <v>286</v>
      </c>
      <c r="E852" s="213" t="s">
        <v>178</v>
      </c>
      <c r="F852" s="213" t="s">
        <v>180</v>
      </c>
      <c r="G852" s="27">
        <f>G853</f>
        <v>3599.8</v>
      </c>
      <c r="H852" s="27">
        <f>H853</f>
        <v>3056.2</v>
      </c>
      <c r="I852" s="27">
        <f aca="true" t="shared" si="895" ref="I852:L852">I853</f>
        <v>4307.9</v>
      </c>
      <c r="J852" s="27">
        <f t="shared" si="895"/>
        <v>3135.5</v>
      </c>
      <c r="K852" s="27">
        <f t="shared" si="895"/>
        <v>3135.5</v>
      </c>
      <c r="L852" s="27">
        <f t="shared" si="895"/>
        <v>3135.5</v>
      </c>
      <c r="M852" s="27">
        <f aca="true" t="shared" si="896" ref="M852:N852">M853</f>
        <v>3829.8</v>
      </c>
      <c r="N852" s="27">
        <f t="shared" si="896"/>
        <v>2332.2</v>
      </c>
      <c r="O852" s="27">
        <f t="shared" si="885"/>
        <v>60.89613034623217</v>
      </c>
    </row>
    <row r="853" spans="1:15" ht="31.5">
      <c r="A853" s="26" t="s">
        <v>181</v>
      </c>
      <c r="B853" s="215">
        <v>907</v>
      </c>
      <c r="C853" s="213" t="s">
        <v>544</v>
      </c>
      <c r="D853" s="213" t="s">
        <v>286</v>
      </c>
      <c r="E853" s="213" t="s">
        <v>178</v>
      </c>
      <c r="F853" s="213" t="s">
        <v>182</v>
      </c>
      <c r="G853" s="28">
        <v>3599.8</v>
      </c>
      <c r="H853" s="28">
        <v>3056.2</v>
      </c>
      <c r="I853" s="28">
        <v>4307.9</v>
      </c>
      <c r="J853" s="28">
        <v>3135.5</v>
      </c>
      <c r="K853" s="28">
        <v>3135.5</v>
      </c>
      <c r="L853" s="28">
        <v>3135.5</v>
      </c>
      <c r="M853" s="28">
        <f>3499.8+330</f>
        <v>3829.8</v>
      </c>
      <c r="N853" s="28">
        <v>2332.2</v>
      </c>
      <c r="O853" s="27">
        <f t="shared" si="885"/>
        <v>60.89613034623217</v>
      </c>
    </row>
    <row r="854" spans="1:15" ht="31.5" customHeight="1" hidden="1">
      <c r="A854" s="26" t="s">
        <v>183</v>
      </c>
      <c r="B854" s="215">
        <v>907</v>
      </c>
      <c r="C854" s="213" t="s">
        <v>544</v>
      </c>
      <c r="D854" s="213" t="s">
        <v>286</v>
      </c>
      <c r="E854" s="213" t="s">
        <v>178</v>
      </c>
      <c r="F854" s="213" t="s">
        <v>184</v>
      </c>
      <c r="G854" s="27">
        <f aca="true" t="shared" si="897" ref="G854:L854">G855</f>
        <v>0</v>
      </c>
      <c r="H854" s="27">
        <f t="shared" si="897"/>
        <v>0</v>
      </c>
      <c r="I854" s="27">
        <f t="shared" si="897"/>
        <v>0</v>
      </c>
      <c r="J854" s="27">
        <f t="shared" si="897"/>
        <v>653.1</v>
      </c>
      <c r="K854" s="27">
        <f t="shared" si="897"/>
        <v>653.1</v>
      </c>
      <c r="L854" s="27">
        <f t="shared" si="897"/>
        <v>653.1</v>
      </c>
      <c r="M854" s="27">
        <f aca="true" t="shared" si="898" ref="M854:N854">M855</f>
        <v>0</v>
      </c>
      <c r="N854" s="27">
        <f t="shared" si="898"/>
        <v>0</v>
      </c>
      <c r="O854" s="27" t="e">
        <f t="shared" si="885"/>
        <v>#DIV/0!</v>
      </c>
    </row>
    <row r="855" spans="1:15" ht="47.25" customHeight="1" hidden="1">
      <c r="A855" s="26" t="s">
        <v>185</v>
      </c>
      <c r="B855" s="215">
        <v>907</v>
      </c>
      <c r="C855" s="213" t="s">
        <v>544</v>
      </c>
      <c r="D855" s="213" t="s">
        <v>286</v>
      </c>
      <c r="E855" s="213" t="s">
        <v>178</v>
      </c>
      <c r="F855" s="213" t="s">
        <v>186</v>
      </c>
      <c r="G855" s="27">
        <v>0</v>
      </c>
      <c r="H855" s="27">
        <v>0</v>
      </c>
      <c r="I855" s="27">
        <v>0</v>
      </c>
      <c r="J855" s="27">
        <v>653.1</v>
      </c>
      <c r="K855" s="27">
        <v>653.1</v>
      </c>
      <c r="L855" s="27">
        <v>653.1</v>
      </c>
      <c r="M855" s="27">
        <v>0</v>
      </c>
      <c r="N855" s="27">
        <v>0</v>
      </c>
      <c r="O855" s="27" t="e">
        <f t="shared" si="885"/>
        <v>#DIV/0!</v>
      </c>
    </row>
    <row r="856" spans="1:15" ht="15.75">
      <c r="A856" s="26" t="s">
        <v>193</v>
      </c>
      <c r="B856" s="215">
        <v>907</v>
      </c>
      <c r="C856" s="213" t="s">
        <v>544</v>
      </c>
      <c r="D856" s="213" t="s">
        <v>286</v>
      </c>
      <c r="E856" s="213" t="s">
        <v>194</v>
      </c>
      <c r="F856" s="213"/>
      <c r="G856" s="27">
        <f>G857</f>
        <v>4882</v>
      </c>
      <c r="H856" s="27">
        <f>H857</f>
        <v>3797.9</v>
      </c>
      <c r="I856" s="27">
        <f aca="true" t="shared" si="899" ref="I856:L856">I857</f>
        <v>5064.900000000001</v>
      </c>
      <c r="J856" s="27">
        <f t="shared" si="899"/>
        <v>4326.1</v>
      </c>
      <c r="K856" s="27">
        <f t="shared" si="899"/>
        <v>4356.400000000001</v>
      </c>
      <c r="L856" s="27">
        <f t="shared" si="899"/>
        <v>4387.1</v>
      </c>
      <c r="M856" s="27">
        <f aca="true" t="shared" si="900" ref="M856:N856">M857</f>
        <v>4582.499999999999</v>
      </c>
      <c r="N856" s="27">
        <f t="shared" si="900"/>
        <v>1794.6</v>
      </c>
      <c r="O856" s="27">
        <f t="shared" si="885"/>
        <v>39.1620294599018</v>
      </c>
    </row>
    <row r="857" spans="1:15" ht="31.5">
      <c r="A857" s="26" t="s">
        <v>392</v>
      </c>
      <c r="B857" s="215">
        <v>907</v>
      </c>
      <c r="C857" s="213" t="s">
        <v>544</v>
      </c>
      <c r="D857" s="213" t="s">
        <v>286</v>
      </c>
      <c r="E857" s="213" t="s">
        <v>393</v>
      </c>
      <c r="F857" s="213"/>
      <c r="G857" s="27">
        <f>G858+G860+G862</f>
        <v>4882</v>
      </c>
      <c r="H857" s="27">
        <f>H858+H860+H862</f>
        <v>3797.9</v>
      </c>
      <c r="I857" s="27">
        <f aca="true" t="shared" si="901" ref="I857:L857">I858+I860+I862</f>
        <v>5064.900000000001</v>
      </c>
      <c r="J857" s="27">
        <f t="shared" si="901"/>
        <v>4326.1</v>
      </c>
      <c r="K857" s="27">
        <f t="shared" si="901"/>
        <v>4356.400000000001</v>
      </c>
      <c r="L857" s="27">
        <f t="shared" si="901"/>
        <v>4387.1</v>
      </c>
      <c r="M857" s="27">
        <f aca="true" t="shared" si="902" ref="M857:N857">M858+M860+M862</f>
        <v>4582.499999999999</v>
      </c>
      <c r="N857" s="27">
        <f t="shared" si="902"/>
        <v>1794.6</v>
      </c>
      <c r="O857" s="27">
        <f t="shared" si="885"/>
        <v>39.1620294599018</v>
      </c>
    </row>
    <row r="858" spans="1:15" ht="94.5">
      <c r="A858" s="26" t="s">
        <v>179</v>
      </c>
      <c r="B858" s="215">
        <v>907</v>
      </c>
      <c r="C858" s="213" t="s">
        <v>544</v>
      </c>
      <c r="D858" s="213" t="s">
        <v>286</v>
      </c>
      <c r="E858" s="213" t="s">
        <v>393</v>
      </c>
      <c r="F858" s="213" t="s">
        <v>180</v>
      </c>
      <c r="G858" s="27">
        <f>G859</f>
        <v>3660.7</v>
      </c>
      <c r="H858" s="27">
        <f>H859</f>
        <v>2950.5</v>
      </c>
      <c r="I858" s="27">
        <f aca="true" t="shared" si="903" ref="I858:L858">I859</f>
        <v>3779.8</v>
      </c>
      <c r="J858" s="27">
        <f t="shared" si="903"/>
        <v>3033</v>
      </c>
      <c r="K858" s="27">
        <f t="shared" si="903"/>
        <v>3063.3</v>
      </c>
      <c r="L858" s="27">
        <f t="shared" si="903"/>
        <v>3094</v>
      </c>
      <c r="M858" s="27">
        <f aca="true" t="shared" si="904" ref="M858:N858">M859</f>
        <v>3767.1</v>
      </c>
      <c r="N858" s="27">
        <f t="shared" si="904"/>
        <v>1568.7</v>
      </c>
      <c r="O858" s="27">
        <f t="shared" si="885"/>
        <v>41.642111969419446</v>
      </c>
    </row>
    <row r="859" spans="1:15" ht="31.5">
      <c r="A859" s="26" t="s">
        <v>394</v>
      </c>
      <c r="B859" s="215">
        <v>907</v>
      </c>
      <c r="C859" s="213" t="s">
        <v>544</v>
      </c>
      <c r="D859" s="213" t="s">
        <v>286</v>
      </c>
      <c r="E859" s="213" t="s">
        <v>393</v>
      </c>
      <c r="F859" s="213" t="s">
        <v>261</v>
      </c>
      <c r="G859" s="28">
        <f>4240.2-579.5</f>
        <v>3660.7</v>
      </c>
      <c r="H859" s="28">
        <v>2950.5</v>
      </c>
      <c r="I859" s="28">
        <v>3779.8</v>
      </c>
      <c r="J859" s="28">
        <v>3033</v>
      </c>
      <c r="K859" s="28">
        <v>3063.3</v>
      </c>
      <c r="L859" s="28">
        <v>3094</v>
      </c>
      <c r="M859" s="28">
        <f>3033+100+634.1</f>
        <v>3767.1</v>
      </c>
      <c r="N859" s="28">
        <v>1568.7</v>
      </c>
      <c r="O859" s="27">
        <f t="shared" si="885"/>
        <v>41.642111969419446</v>
      </c>
    </row>
    <row r="860" spans="1:15" ht="31.5">
      <c r="A860" s="26" t="s">
        <v>183</v>
      </c>
      <c r="B860" s="215">
        <v>907</v>
      </c>
      <c r="C860" s="213" t="s">
        <v>544</v>
      </c>
      <c r="D860" s="213" t="s">
        <v>286</v>
      </c>
      <c r="E860" s="213" t="s">
        <v>393</v>
      </c>
      <c r="F860" s="213" t="s">
        <v>184</v>
      </c>
      <c r="G860" s="27">
        <f>G861</f>
        <v>1194.1999999999998</v>
      </c>
      <c r="H860" s="27">
        <f>H861</f>
        <v>833</v>
      </c>
      <c r="I860" s="27">
        <f aca="true" t="shared" si="905" ref="I860:L860">I861</f>
        <v>1258</v>
      </c>
      <c r="J860" s="27">
        <f t="shared" si="905"/>
        <v>1266</v>
      </c>
      <c r="K860" s="27">
        <f t="shared" si="905"/>
        <v>1266</v>
      </c>
      <c r="L860" s="27">
        <f t="shared" si="905"/>
        <v>1266</v>
      </c>
      <c r="M860" s="27">
        <f aca="true" t="shared" si="906" ref="M860:N860">M861</f>
        <v>764.1999999999998</v>
      </c>
      <c r="N860" s="27">
        <f t="shared" si="906"/>
        <v>221.8</v>
      </c>
      <c r="O860" s="27">
        <f t="shared" si="885"/>
        <v>29.02381575503796</v>
      </c>
    </row>
    <row r="861" spans="1:15" ht="47.25">
      <c r="A861" s="26" t="s">
        <v>185</v>
      </c>
      <c r="B861" s="215">
        <v>907</v>
      </c>
      <c r="C861" s="213" t="s">
        <v>544</v>
      </c>
      <c r="D861" s="213" t="s">
        <v>286</v>
      </c>
      <c r="E861" s="213" t="s">
        <v>393</v>
      </c>
      <c r="F861" s="213" t="s">
        <v>186</v>
      </c>
      <c r="G861" s="28">
        <f>1339.6-145.4</f>
        <v>1194.1999999999998</v>
      </c>
      <c r="H861" s="28">
        <v>833</v>
      </c>
      <c r="I861" s="28">
        <v>1258</v>
      </c>
      <c r="J861" s="28">
        <f>1293.1-J863</f>
        <v>1266</v>
      </c>
      <c r="K861" s="28">
        <f>J861</f>
        <v>1266</v>
      </c>
      <c r="L861" s="28">
        <f>K861</f>
        <v>1266</v>
      </c>
      <c r="M861" s="28">
        <f>1339.6-145.4-430</f>
        <v>764.1999999999998</v>
      </c>
      <c r="N861" s="28">
        <v>221.8</v>
      </c>
      <c r="O861" s="27">
        <f t="shared" si="885"/>
        <v>29.02381575503796</v>
      </c>
    </row>
    <row r="862" spans="1:15" ht="15.75">
      <c r="A862" s="26" t="s">
        <v>187</v>
      </c>
      <c r="B862" s="215">
        <v>907</v>
      </c>
      <c r="C862" s="213" t="s">
        <v>544</v>
      </c>
      <c r="D862" s="213" t="s">
        <v>286</v>
      </c>
      <c r="E862" s="213" t="s">
        <v>393</v>
      </c>
      <c r="F862" s="213" t="s">
        <v>197</v>
      </c>
      <c r="G862" s="27">
        <f>G863</f>
        <v>27.1</v>
      </c>
      <c r="H862" s="27">
        <f>H863</f>
        <v>14.4</v>
      </c>
      <c r="I862" s="27">
        <f aca="true" t="shared" si="907" ref="I862:L862">I863</f>
        <v>27.1</v>
      </c>
      <c r="J862" s="27">
        <f t="shared" si="907"/>
        <v>27.1</v>
      </c>
      <c r="K862" s="27">
        <f t="shared" si="907"/>
        <v>27.1</v>
      </c>
      <c r="L862" s="27">
        <f t="shared" si="907"/>
        <v>27.1</v>
      </c>
      <c r="M862" s="27">
        <f aca="true" t="shared" si="908" ref="M862:N862">M863</f>
        <v>51.2</v>
      </c>
      <c r="N862" s="27">
        <f t="shared" si="908"/>
        <v>4.1</v>
      </c>
      <c r="O862" s="27">
        <f t="shared" si="885"/>
        <v>8.007812499999998</v>
      </c>
    </row>
    <row r="863" spans="1:15" ht="15.75">
      <c r="A863" s="26" t="s">
        <v>621</v>
      </c>
      <c r="B863" s="215">
        <v>907</v>
      </c>
      <c r="C863" s="213" t="s">
        <v>544</v>
      </c>
      <c r="D863" s="213" t="s">
        <v>286</v>
      </c>
      <c r="E863" s="213" t="s">
        <v>393</v>
      </c>
      <c r="F863" s="213" t="s">
        <v>190</v>
      </c>
      <c r="G863" s="27">
        <f>27.1</f>
        <v>27.1</v>
      </c>
      <c r="H863" s="27">
        <v>14.4</v>
      </c>
      <c r="I863" s="27">
        <f aca="true" t="shared" si="909" ref="I863:L863">27.1</f>
        <v>27.1</v>
      </c>
      <c r="J863" s="27">
        <f t="shared" si="909"/>
        <v>27.1</v>
      </c>
      <c r="K863" s="27">
        <f t="shared" si="909"/>
        <v>27.1</v>
      </c>
      <c r="L863" s="27">
        <f t="shared" si="909"/>
        <v>27.1</v>
      </c>
      <c r="M863" s="27">
        <f>27.1+24.1</f>
        <v>51.2</v>
      </c>
      <c r="N863" s="27">
        <v>4.1</v>
      </c>
      <c r="O863" s="27">
        <f t="shared" si="885"/>
        <v>8.007812499999998</v>
      </c>
    </row>
    <row r="864" spans="1:15" ht="47.25">
      <c r="A864" s="20" t="s">
        <v>557</v>
      </c>
      <c r="B864" s="212">
        <v>908</v>
      </c>
      <c r="C864" s="213"/>
      <c r="D864" s="213"/>
      <c r="E864" s="213"/>
      <c r="F864" s="213"/>
      <c r="G864" s="22">
        <f aca="true" t="shared" si="910" ref="G864:M864">G879+G886+G900+G1057+G865</f>
        <v>143249.5</v>
      </c>
      <c r="H864" s="22">
        <f t="shared" si="910"/>
        <v>47511.600000000006</v>
      </c>
      <c r="I864" s="22">
        <f t="shared" si="910"/>
        <v>118750.52588235296</v>
      </c>
      <c r="J864" s="22">
        <f t="shared" si="910"/>
        <v>117821.90000000001</v>
      </c>
      <c r="K864" s="22">
        <f t="shared" si="910"/>
        <v>118390.20000000001</v>
      </c>
      <c r="L864" s="22">
        <f t="shared" si="910"/>
        <v>120684.30000000002</v>
      </c>
      <c r="M864" s="22">
        <f t="shared" si="910"/>
        <v>156361.98</v>
      </c>
      <c r="N864" s="22">
        <f aca="true" t="shared" si="911" ref="N864">N879+N886+N900+N1057+N865</f>
        <v>58734.2</v>
      </c>
      <c r="O864" s="22">
        <f t="shared" si="885"/>
        <v>37.562967672831974</v>
      </c>
    </row>
    <row r="865" spans="1:15" ht="15.75">
      <c r="A865" s="36" t="s">
        <v>169</v>
      </c>
      <c r="B865" s="212">
        <v>908</v>
      </c>
      <c r="C865" s="214" t="s">
        <v>170</v>
      </c>
      <c r="D865" s="213"/>
      <c r="E865" s="213"/>
      <c r="F865" s="213"/>
      <c r="G865" s="22">
        <f>G866</f>
        <v>16714.8</v>
      </c>
      <c r="H865" s="22">
        <f aca="true" t="shared" si="912" ref="H865:L865">H866</f>
        <v>4329.9</v>
      </c>
      <c r="I865" s="22">
        <f t="shared" si="912"/>
        <v>10398.02</v>
      </c>
      <c r="J865" s="22">
        <f t="shared" si="912"/>
        <v>33970.5</v>
      </c>
      <c r="K865" s="22">
        <f t="shared" si="912"/>
        <v>34241.9</v>
      </c>
      <c r="L865" s="22">
        <f t="shared" si="912"/>
        <v>34516</v>
      </c>
      <c r="M865" s="22">
        <f aca="true" t="shared" si="913" ref="M865:N865">M866</f>
        <v>30940.7</v>
      </c>
      <c r="N865" s="22">
        <f t="shared" si="913"/>
        <v>20185.600000000002</v>
      </c>
      <c r="O865" s="22">
        <f t="shared" si="885"/>
        <v>65.23963581948696</v>
      </c>
    </row>
    <row r="866" spans="1:15" ht="15.75">
      <c r="A866" s="36" t="s">
        <v>191</v>
      </c>
      <c r="B866" s="212">
        <v>908</v>
      </c>
      <c r="C866" s="214" t="s">
        <v>170</v>
      </c>
      <c r="D866" s="214" t="s">
        <v>192</v>
      </c>
      <c r="E866" s="213"/>
      <c r="F866" s="213"/>
      <c r="G866" s="22">
        <f>G868+G871</f>
        <v>16714.8</v>
      </c>
      <c r="H866" s="22">
        <f aca="true" t="shared" si="914" ref="H866">H868+H871</f>
        <v>4329.9</v>
      </c>
      <c r="I866" s="22">
        <f aca="true" t="shared" si="915" ref="I866:L866">I868+I871</f>
        <v>10398.02</v>
      </c>
      <c r="J866" s="22">
        <f t="shared" si="915"/>
        <v>33970.5</v>
      </c>
      <c r="K866" s="22">
        <f t="shared" si="915"/>
        <v>34241.9</v>
      </c>
      <c r="L866" s="22">
        <f t="shared" si="915"/>
        <v>34516</v>
      </c>
      <c r="M866" s="22">
        <f aca="true" t="shared" si="916" ref="M866:N866">M868+M871</f>
        <v>30940.7</v>
      </c>
      <c r="N866" s="22">
        <f t="shared" si="916"/>
        <v>20185.600000000002</v>
      </c>
      <c r="O866" s="22">
        <f t="shared" si="885"/>
        <v>65.23963581948696</v>
      </c>
    </row>
    <row r="867" spans="1:15" ht="15.75" hidden="1">
      <c r="A867" s="26" t="s">
        <v>193</v>
      </c>
      <c r="B867" s="215">
        <v>908</v>
      </c>
      <c r="C867" s="213" t="s">
        <v>170</v>
      </c>
      <c r="D867" s="213" t="s">
        <v>192</v>
      </c>
      <c r="E867" s="213" t="s">
        <v>194</v>
      </c>
      <c r="F867" s="213"/>
      <c r="G867" s="27">
        <f>G868</f>
        <v>262.5</v>
      </c>
      <c r="H867" s="27">
        <f aca="true" t="shared" si="917" ref="H867:H869">H868</f>
        <v>32.7</v>
      </c>
      <c r="I867" s="27">
        <f aca="true" t="shared" si="918" ref="I867:L869">I868</f>
        <v>262.5</v>
      </c>
      <c r="J867" s="27">
        <f t="shared" si="918"/>
        <v>0</v>
      </c>
      <c r="K867" s="27">
        <f t="shared" si="918"/>
        <v>0</v>
      </c>
      <c r="L867" s="27">
        <f t="shared" si="918"/>
        <v>0</v>
      </c>
      <c r="M867" s="27">
        <f aca="true" t="shared" si="919" ref="M867:N869">M868</f>
        <v>0</v>
      </c>
      <c r="N867" s="27">
        <f t="shared" si="919"/>
        <v>0</v>
      </c>
      <c r="O867" s="22" t="e">
        <f t="shared" si="885"/>
        <v>#DIV/0!</v>
      </c>
    </row>
    <row r="868" spans="1:15" ht="15.75" hidden="1">
      <c r="A868" s="26" t="s">
        <v>195</v>
      </c>
      <c r="B868" s="215">
        <v>908</v>
      </c>
      <c r="C868" s="213" t="s">
        <v>170</v>
      </c>
      <c r="D868" s="213" t="s">
        <v>192</v>
      </c>
      <c r="E868" s="213" t="s">
        <v>196</v>
      </c>
      <c r="F868" s="213"/>
      <c r="G868" s="27">
        <f>G869</f>
        <v>262.5</v>
      </c>
      <c r="H868" s="27">
        <f t="shared" si="917"/>
        <v>32.7</v>
      </c>
      <c r="I868" s="27">
        <f t="shared" si="918"/>
        <v>262.5</v>
      </c>
      <c r="J868" s="27">
        <f t="shared" si="918"/>
        <v>0</v>
      </c>
      <c r="K868" s="27">
        <f t="shared" si="918"/>
        <v>0</v>
      </c>
      <c r="L868" s="27">
        <f t="shared" si="918"/>
        <v>0</v>
      </c>
      <c r="M868" s="27">
        <f t="shared" si="919"/>
        <v>0</v>
      </c>
      <c r="N868" s="27">
        <f t="shared" si="919"/>
        <v>0</v>
      </c>
      <c r="O868" s="22" t="e">
        <f t="shared" si="885"/>
        <v>#DIV/0!</v>
      </c>
    </row>
    <row r="869" spans="1:15" ht="15.75" hidden="1">
      <c r="A869" s="26" t="s">
        <v>187</v>
      </c>
      <c r="B869" s="215">
        <v>908</v>
      </c>
      <c r="C869" s="213" t="s">
        <v>170</v>
      </c>
      <c r="D869" s="213" t="s">
        <v>192</v>
      </c>
      <c r="E869" s="213" t="s">
        <v>196</v>
      </c>
      <c r="F869" s="213" t="s">
        <v>197</v>
      </c>
      <c r="G869" s="27">
        <f>G870</f>
        <v>262.5</v>
      </c>
      <c r="H869" s="27">
        <f t="shared" si="917"/>
        <v>32.7</v>
      </c>
      <c r="I869" s="27">
        <f t="shared" si="918"/>
        <v>262.5</v>
      </c>
      <c r="J869" s="27">
        <f t="shared" si="918"/>
        <v>0</v>
      </c>
      <c r="K869" s="27">
        <f t="shared" si="918"/>
        <v>0</v>
      </c>
      <c r="L869" s="27">
        <f t="shared" si="918"/>
        <v>0</v>
      </c>
      <c r="M869" s="27">
        <f t="shared" si="919"/>
        <v>0</v>
      </c>
      <c r="N869" s="27">
        <f t="shared" si="919"/>
        <v>0</v>
      </c>
      <c r="O869" s="22" t="e">
        <f t="shared" si="885"/>
        <v>#DIV/0!</v>
      </c>
    </row>
    <row r="870" spans="1:15" ht="15.75" hidden="1">
      <c r="A870" s="26" t="s">
        <v>621</v>
      </c>
      <c r="B870" s="215">
        <v>908</v>
      </c>
      <c r="C870" s="213" t="s">
        <v>170</v>
      </c>
      <c r="D870" s="213" t="s">
        <v>192</v>
      </c>
      <c r="E870" s="213" t="s">
        <v>196</v>
      </c>
      <c r="F870" s="213" t="s">
        <v>190</v>
      </c>
      <c r="G870" s="27">
        <v>262.5</v>
      </c>
      <c r="H870" s="27">
        <v>32.7</v>
      </c>
      <c r="I870" s="27">
        <v>262.5</v>
      </c>
      <c r="J870" s="27">
        <v>0</v>
      </c>
      <c r="K870" s="27">
        <v>0</v>
      </c>
      <c r="L870" s="27">
        <v>0</v>
      </c>
      <c r="M870" s="27">
        <v>0</v>
      </c>
      <c r="N870" s="27">
        <v>0</v>
      </c>
      <c r="O870" s="22" t="e">
        <f t="shared" si="885"/>
        <v>#DIV/0!</v>
      </c>
    </row>
    <row r="871" spans="1:15" ht="31.5">
      <c r="A871" s="26" t="s">
        <v>637</v>
      </c>
      <c r="B871" s="215">
        <v>908</v>
      </c>
      <c r="C871" s="213" t="s">
        <v>170</v>
      </c>
      <c r="D871" s="213" t="s">
        <v>192</v>
      </c>
      <c r="E871" s="213" t="s">
        <v>638</v>
      </c>
      <c r="F871" s="213"/>
      <c r="G871" s="28">
        <f>G872</f>
        <v>16452.3</v>
      </c>
      <c r="H871" s="28">
        <f>H872</f>
        <v>4297.2</v>
      </c>
      <c r="I871" s="28">
        <f aca="true" t="shared" si="920" ref="I871:L871">I872</f>
        <v>10135.52</v>
      </c>
      <c r="J871" s="28">
        <f t="shared" si="920"/>
        <v>33970.5</v>
      </c>
      <c r="K871" s="28">
        <f t="shared" si="920"/>
        <v>34241.9</v>
      </c>
      <c r="L871" s="28">
        <f t="shared" si="920"/>
        <v>34516</v>
      </c>
      <c r="M871" s="28">
        <f aca="true" t="shared" si="921" ref="M871:N871">M872</f>
        <v>30940.7</v>
      </c>
      <c r="N871" s="28">
        <f t="shared" si="921"/>
        <v>20185.600000000002</v>
      </c>
      <c r="O871" s="27">
        <f t="shared" si="885"/>
        <v>65.23963581948696</v>
      </c>
    </row>
    <row r="872" spans="1:15" ht="31.5">
      <c r="A872" s="26" t="s">
        <v>362</v>
      </c>
      <c r="B872" s="215">
        <v>908</v>
      </c>
      <c r="C872" s="213" t="s">
        <v>170</v>
      </c>
      <c r="D872" s="213" t="s">
        <v>192</v>
      </c>
      <c r="E872" s="213" t="s">
        <v>639</v>
      </c>
      <c r="F872" s="213"/>
      <c r="G872" s="28">
        <f>G873+G875+G877</f>
        <v>16452.3</v>
      </c>
      <c r="H872" s="28">
        <f>H873+H875+H877</f>
        <v>4297.2</v>
      </c>
      <c r="I872" s="28">
        <f aca="true" t="shared" si="922" ref="I872:L872">I873+I875+I877</f>
        <v>10135.52</v>
      </c>
      <c r="J872" s="28">
        <f>J873+J875+J877</f>
        <v>33970.5</v>
      </c>
      <c r="K872" s="28">
        <f t="shared" si="922"/>
        <v>34241.9</v>
      </c>
      <c r="L872" s="28">
        <f t="shared" si="922"/>
        <v>34516</v>
      </c>
      <c r="M872" s="28">
        <f aca="true" t="shared" si="923" ref="M872:N872">M873+M875+M877</f>
        <v>30940.7</v>
      </c>
      <c r="N872" s="28">
        <f t="shared" si="923"/>
        <v>20185.600000000002</v>
      </c>
      <c r="O872" s="27">
        <f t="shared" si="885"/>
        <v>65.23963581948696</v>
      </c>
    </row>
    <row r="873" spans="1:15" ht="94.5">
      <c r="A873" s="26" t="s">
        <v>179</v>
      </c>
      <c r="B873" s="215">
        <v>908</v>
      </c>
      <c r="C873" s="213" t="s">
        <v>170</v>
      </c>
      <c r="D873" s="213" t="s">
        <v>192</v>
      </c>
      <c r="E873" s="213" t="s">
        <v>639</v>
      </c>
      <c r="F873" s="213" t="s">
        <v>180</v>
      </c>
      <c r="G873" s="28">
        <f>G874</f>
        <v>13760</v>
      </c>
      <c r="H873" s="28">
        <f>H874</f>
        <v>3865.3</v>
      </c>
      <c r="I873" s="28">
        <f aca="true" t="shared" si="924" ref="I873:L873">I874</f>
        <v>9276.720000000001</v>
      </c>
      <c r="J873" s="28">
        <f t="shared" si="924"/>
        <v>27139</v>
      </c>
      <c r="K873" s="28">
        <f t="shared" si="924"/>
        <v>27410.4</v>
      </c>
      <c r="L873" s="28">
        <f t="shared" si="924"/>
        <v>27684.5</v>
      </c>
      <c r="M873" s="28">
        <f aca="true" t="shared" si="925" ref="M873:N873">M874</f>
        <v>23873.4</v>
      </c>
      <c r="N873" s="28">
        <f t="shared" si="925"/>
        <v>15436.8</v>
      </c>
      <c r="O873" s="27">
        <f t="shared" si="885"/>
        <v>64.6610872351655</v>
      </c>
    </row>
    <row r="874" spans="1:15" ht="31.5">
      <c r="A874" s="48" t="s">
        <v>394</v>
      </c>
      <c r="B874" s="215">
        <v>908</v>
      </c>
      <c r="C874" s="213" t="s">
        <v>170</v>
      </c>
      <c r="D874" s="213" t="s">
        <v>192</v>
      </c>
      <c r="E874" s="213" t="s">
        <v>639</v>
      </c>
      <c r="F874" s="213" t="s">
        <v>261</v>
      </c>
      <c r="G874" s="28">
        <f>13403.8+356.2</f>
        <v>13760</v>
      </c>
      <c r="H874" s="28">
        <v>3865.3</v>
      </c>
      <c r="I874" s="28">
        <f>H874/2.5*6</f>
        <v>9276.720000000001</v>
      </c>
      <c r="J874" s="28">
        <v>27139</v>
      </c>
      <c r="K874" s="28">
        <v>27410.4</v>
      </c>
      <c r="L874" s="28">
        <v>27684.5</v>
      </c>
      <c r="M874" s="28">
        <f>24666+500-1100-300+107.4</f>
        <v>23873.4</v>
      </c>
      <c r="N874" s="28">
        <v>15436.8</v>
      </c>
      <c r="O874" s="27">
        <f t="shared" si="885"/>
        <v>64.6610872351655</v>
      </c>
    </row>
    <row r="875" spans="1:15" ht="31.5">
      <c r="A875" s="26" t="s">
        <v>183</v>
      </c>
      <c r="B875" s="215">
        <v>908</v>
      </c>
      <c r="C875" s="213" t="s">
        <v>170</v>
      </c>
      <c r="D875" s="213" t="s">
        <v>192</v>
      </c>
      <c r="E875" s="213" t="s">
        <v>639</v>
      </c>
      <c r="F875" s="213" t="s">
        <v>184</v>
      </c>
      <c r="G875" s="28">
        <f>G876</f>
        <v>2678</v>
      </c>
      <c r="H875" s="28">
        <f>H876</f>
        <v>422.5</v>
      </c>
      <c r="I875" s="28">
        <f aca="true" t="shared" si="926" ref="I875:L875">I876</f>
        <v>845</v>
      </c>
      <c r="J875" s="28">
        <f t="shared" si="926"/>
        <v>6803</v>
      </c>
      <c r="K875" s="28">
        <f t="shared" si="926"/>
        <v>6803</v>
      </c>
      <c r="L875" s="28">
        <f t="shared" si="926"/>
        <v>6803</v>
      </c>
      <c r="M875" s="28">
        <f aca="true" t="shared" si="927" ref="M875:N875">M876</f>
        <v>6929.6</v>
      </c>
      <c r="N875" s="28">
        <f t="shared" si="927"/>
        <v>4689.1</v>
      </c>
      <c r="O875" s="27">
        <f t="shared" si="885"/>
        <v>67.66768644654815</v>
      </c>
    </row>
    <row r="876" spans="1:15" ht="47.25">
      <c r="A876" s="26" t="s">
        <v>185</v>
      </c>
      <c r="B876" s="215">
        <v>908</v>
      </c>
      <c r="C876" s="213" t="s">
        <v>170</v>
      </c>
      <c r="D876" s="213" t="s">
        <v>192</v>
      </c>
      <c r="E876" s="213" t="s">
        <v>639</v>
      </c>
      <c r="F876" s="213" t="s">
        <v>186</v>
      </c>
      <c r="G876" s="28">
        <f>3034.2-356.2</f>
        <v>2678</v>
      </c>
      <c r="H876" s="28">
        <v>422.5</v>
      </c>
      <c r="I876" s="28">
        <f>H876/3*6</f>
        <v>845</v>
      </c>
      <c r="J876" s="28">
        <f>6831.5-J878</f>
        <v>6803</v>
      </c>
      <c r="K876" s="28">
        <f>6831.5-K878</f>
        <v>6803</v>
      </c>
      <c r="L876" s="28">
        <f>6831.5-L878</f>
        <v>6803</v>
      </c>
      <c r="M876" s="28">
        <f>5529.6+1100+300</f>
        <v>6929.6</v>
      </c>
      <c r="N876" s="28">
        <v>4689.1</v>
      </c>
      <c r="O876" s="27">
        <f t="shared" si="885"/>
        <v>67.66768644654815</v>
      </c>
    </row>
    <row r="877" spans="1:15" ht="15.75">
      <c r="A877" s="26" t="s">
        <v>187</v>
      </c>
      <c r="B877" s="215">
        <v>908</v>
      </c>
      <c r="C877" s="213" t="s">
        <v>170</v>
      </c>
      <c r="D877" s="213" t="s">
        <v>192</v>
      </c>
      <c r="E877" s="213" t="s">
        <v>639</v>
      </c>
      <c r="F877" s="213" t="s">
        <v>197</v>
      </c>
      <c r="G877" s="28">
        <f>G878</f>
        <v>14.3</v>
      </c>
      <c r="H877" s="28">
        <f>H878</f>
        <v>9.4</v>
      </c>
      <c r="I877" s="28">
        <f aca="true" t="shared" si="928" ref="I877:L877">I878</f>
        <v>13.8</v>
      </c>
      <c r="J877" s="28">
        <f t="shared" si="928"/>
        <v>28.5</v>
      </c>
      <c r="K877" s="28">
        <f t="shared" si="928"/>
        <v>28.5</v>
      </c>
      <c r="L877" s="28">
        <f t="shared" si="928"/>
        <v>28.5</v>
      </c>
      <c r="M877" s="28">
        <f aca="true" t="shared" si="929" ref="M877:N877">M878</f>
        <v>137.7</v>
      </c>
      <c r="N877" s="28">
        <f t="shared" si="929"/>
        <v>59.7</v>
      </c>
      <c r="O877" s="27">
        <f t="shared" si="885"/>
        <v>43.355119825708066</v>
      </c>
    </row>
    <row r="878" spans="1:15" ht="15.75">
      <c r="A878" s="26" t="s">
        <v>801</v>
      </c>
      <c r="B878" s="215">
        <v>908</v>
      </c>
      <c r="C878" s="213" t="s">
        <v>170</v>
      </c>
      <c r="D878" s="213" t="s">
        <v>192</v>
      </c>
      <c r="E878" s="213" t="s">
        <v>639</v>
      </c>
      <c r="F878" s="213" t="s">
        <v>190</v>
      </c>
      <c r="G878" s="28">
        <v>14.3</v>
      </c>
      <c r="H878" s="28">
        <v>9.4</v>
      </c>
      <c r="I878" s="28">
        <v>13.8</v>
      </c>
      <c r="J878" s="28">
        <f>14.3+14.2</f>
        <v>28.5</v>
      </c>
      <c r="K878" s="28">
        <v>28.5</v>
      </c>
      <c r="L878" s="28">
        <v>28.5</v>
      </c>
      <c r="M878" s="28">
        <f>50.5+47.2+40</f>
        <v>137.7</v>
      </c>
      <c r="N878" s="28">
        <v>59.7</v>
      </c>
      <c r="O878" s="27">
        <f t="shared" si="885"/>
        <v>43.355119825708066</v>
      </c>
    </row>
    <row r="879" spans="1:15" ht="31.5" hidden="1">
      <c r="A879" s="24" t="s">
        <v>274</v>
      </c>
      <c r="B879" s="212">
        <v>908</v>
      </c>
      <c r="C879" s="214" t="s">
        <v>267</v>
      </c>
      <c r="D879" s="214"/>
      <c r="E879" s="214"/>
      <c r="F879" s="214"/>
      <c r="G879" s="22">
        <f aca="true" t="shared" si="930" ref="G879:L884">G880</f>
        <v>50</v>
      </c>
      <c r="H879" s="22">
        <f t="shared" si="930"/>
        <v>0</v>
      </c>
      <c r="I879" s="22">
        <f t="shared" si="930"/>
        <v>0</v>
      </c>
      <c r="J879" s="22">
        <f t="shared" si="930"/>
        <v>0</v>
      </c>
      <c r="K879" s="22">
        <f t="shared" si="930"/>
        <v>0</v>
      </c>
      <c r="L879" s="22">
        <f t="shared" si="930"/>
        <v>0</v>
      </c>
      <c r="M879" s="22">
        <f aca="true" t="shared" si="931" ref="M879:N884">M880</f>
        <v>0</v>
      </c>
      <c r="N879" s="22">
        <f t="shared" si="931"/>
        <v>0</v>
      </c>
      <c r="O879" s="22" t="e">
        <f t="shared" si="885"/>
        <v>#DIV/0!</v>
      </c>
    </row>
    <row r="880" spans="1:15" ht="63" hidden="1">
      <c r="A880" s="24" t="s">
        <v>275</v>
      </c>
      <c r="B880" s="212">
        <v>908</v>
      </c>
      <c r="C880" s="214" t="s">
        <v>267</v>
      </c>
      <c r="D880" s="214" t="s">
        <v>271</v>
      </c>
      <c r="E880" s="214"/>
      <c r="F880" s="214"/>
      <c r="G880" s="22">
        <f t="shared" si="930"/>
        <v>50</v>
      </c>
      <c r="H880" s="22">
        <f t="shared" si="930"/>
        <v>0</v>
      </c>
      <c r="I880" s="22">
        <f t="shared" si="930"/>
        <v>0</v>
      </c>
      <c r="J880" s="22">
        <f t="shared" si="930"/>
        <v>0</v>
      </c>
      <c r="K880" s="22">
        <f t="shared" si="930"/>
        <v>0</v>
      </c>
      <c r="L880" s="22">
        <f t="shared" si="930"/>
        <v>0</v>
      </c>
      <c r="M880" s="22">
        <f t="shared" si="931"/>
        <v>0</v>
      </c>
      <c r="N880" s="22">
        <f t="shared" si="931"/>
        <v>0</v>
      </c>
      <c r="O880" s="22" t="e">
        <f t="shared" si="885"/>
        <v>#DIV/0!</v>
      </c>
    </row>
    <row r="881" spans="1:15" ht="21.75" customHeight="1" hidden="1">
      <c r="A881" s="26" t="s">
        <v>173</v>
      </c>
      <c r="B881" s="215">
        <v>908</v>
      </c>
      <c r="C881" s="213" t="s">
        <v>267</v>
      </c>
      <c r="D881" s="213" t="s">
        <v>271</v>
      </c>
      <c r="E881" s="213" t="s">
        <v>174</v>
      </c>
      <c r="F881" s="213"/>
      <c r="G881" s="27">
        <f t="shared" si="930"/>
        <v>50</v>
      </c>
      <c r="H881" s="27">
        <f t="shared" si="930"/>
        <v>0</v>
      </c>
      <c r="I881" s="27">
        <f t="shared" si="930"/>
        <v>0</v>
      </c>
      <c r="J881" s="27">
        <f t="shared" si="930"/>
        <v>0</v>
      </c>
      <c r="K881" s="27">
        <f t="shared" si="930"/>
        <v>0</v>
      </c>
      <c r="L881" s="27">
        <f t="shared" si="930"/>
        <v>0</v>
      </c>
      <c r="M881" s="27">
        <f t="shared" si="931"/>
        <v>0</v>
      </c>
      <c r="N881" s="27">
        <f t="shared" si="931"/>
        <v>0</v>
      </c>
      <c r="O881" s="22" t="e">
        <f t="shared" si="885"/>
        <v>#DIV/0!</v>
      </c>
    </row>
    <row r="882" spans="1:15" ht="15.75" hidden="1">
      <c r="A882" s="26" t="s">
        <v>193</v>
      </c>
      <c r="B882" s="215">
        <v>908</v>
      </c>
      <c r="C882" s="213" t="s">
        <v>267</v>
      </c>
      <c r="D882" s="213" t="s">
        <v>271</v>
      </c>
      <c r="E882" s="213" t="s">
        <v>194</v>
      </c>
      <c r="F882" s="213"/>
      <c r="G882" s="27">
        <f t="shared" si="930"/>
        <v>50</v>
      </c>
      <c r="H882" s="27">
        <f t="shared" si="930"/>
        <v>0</v>
      </c>
      <c r="I882" s="27">
        <f t="shared" si="930"/>
        <v>0</v>
      </c>
      <c r="J882" s="27">
        <f t="shared" si="930"/>
        <v>0</v>
      </c>
      <c r="K882" s="27">
        <f t="shared" si="930"/>
        <v>0</v>
      </c>
      <c r="L882" s="27">
        <f t="shared" si="930"/>
        <v>0</v>
      </c>
      <c r="M882" s="27">
        <f t="shared" si="931"/>
        <v>0</v>
      </c>
      <c r="N882" s="27">
        <f t="shared" si="931"/>
        <v>0</v>
      </c>
      <c r="O882" s="22" t="e">
        <f t="shared" si="885"/>
        <v>#DIV/0!</v>
      </c>
    </row>
    <row r="883" spans="1:15" ht="15.75" hidden="1">
      <c r="A883" s="26" t="s">
        <v>282</v>
      </c>
      <c r="B883" s="215">
        <v>908</v>
      </c>
      <c r="C883" s="213" t="s">
        <v>267</v>
      </c>
      <c r="D883" s="213" t="s">
        <v>271</v>
      </c>
      <c r="E883" s="213" t="s">
        <v>283</v>
      </c>
      <c r="F883" s="213"/>
      <c r="G883" s="27">
        <f t="shared" si="930"/>
        <v>50</v>
      </c>
      <c r="H883" s="27">
        <f t="shared" si="930"/>
        <v>0</v>
      </c>
      <c r="I883" s="27">
        <f t="shared" si="930"/>
        <v>0</v>
      </c>
      <c r="J883" s="27">
        <f t="shared" si="930"/>
        <v>0</v>
      </c>
      <c r="K883" s="27">
        <f t="shared" si="930"/>
        <v>0</v>
      </c>
      <c r="L883" s="27">
        <f t="shared" si="930"/>
        <v>0</v>
      </c>
      <c r="M883" s="27">
        <f t="shared" si="931"/>
        <v>0</v>
      </c>
      <c r="N883" s="27">
        <f t="shared" si="931"/>
        <v>0</v>
      </c>
      <c r="O883" s="22" t="e">
        <f t="shared" si="885"/>
        <v>#DIV/0!</v>
      </c>
    </row>
    <row r="884" spans="1:15" ht="31.5" hidden="1">
      <c r="A884" s="26" t="s">
        <v>183</v>
      </c>
      <c r="B884" s="215">
        <v>908</v>
      </c>
      <c r="C884" s="213" t="s">
        <v>267</v>
      </c>
      <c r="D884" s="213" t="s">
        <v>271</v>
      </c>
      <c r="E884" s="213" t="s">
        <v>283</v>
      </c>
      <c r="F884" s="213" t="s">
        <v>184</v>
      </c>
      <c r="G884" s="27">
        <f t="shared" si="930"/>
        <v>50</v>
      </c>
      <c r="H884" s="27">
        <f t="shared" si="930"/>
        <v>0</v>
      </c>
      <c r="I884" s="27">
        <f t="shared" si="930"/>
        <v>0</v>
      </c>
      <c r="J884" s="27">
        <f t="shared" si="930"/>
        <v>0</v>
      </c>
      <c r="K884" s="27">
        <f t="shared" si="930"/>
        <v>0</v>
      </c>
      <c r="L884" s="27">
        <f t="shared" si="930"/>
        <v>0</v>
      </c>
      <c r="M884" s="27">
        <f t="shared" si="931"/>
        <v>0</v>
      </c>
      <c r="N884" s="27">
        <f t="shared" si="931"/>
        <v>0</v>
      </c>
      <c r="O884" s="22" t="e">
        <f t="shared" si="885"/>
        <v>#DIV/0!</v>
      </c>
    </row>
    <row r="885" spans="1:15" ht="47.25" hidden="1">
      <c r="A885" s="26" t="s">
        <v>185</v>
      </c>
      <c r="B885" s="215">
        <v>908</v>
      </c>
      <c r="C885" s="213" t="s">
        <v>267</v>
      </c>
      <c r="D885" s="213" t="s">
        <v>271</v>
      </c>
      <c r="E885" s="213" t="s">
        <v>283</v>
      </c>
      <c r="F885" s="213" t="s">
        <v>186</v>
      </c>
      <c r="G885" s="27">
        <v>50</v>
      </c>
      <c r="H885" s="27">
        <v>0</v>
      </c>
      <c r="I885" s="27">
        <v>0</v>
      </c>
      <c r="J885" s="27">
        <v>0</v>
      </c>
      <c r="K885" s="27">
        <v>0</v>
      </c>
      <c r="L885" s="27">
        <v>0</v>
      </c>
      <c r="M885" s="27">
        <v>0</v>
      </c>
      <c r="N885" s="27">
        <v>0</v>
      </c>
      <c r="O885" s="22" t="e">
        <f t="shared" si="885"/>
        <v>#DIV/0!</v>
      </c>
    </row>
    <row r="886" spans="1:15" ht="15.75">
      <c r="A886" s="24" t="s">
        <v>284</v>
      </c>
      <c r="B886" s="212">
        <v>908</v>
      </c>
      <c r="C886" s="214" t="s">
        <v>202</v>
      </c>
      <c r="D886" s="214"/>
      <c r="E886" s="214"/>
      <c r="F886" s="214"/>
      <c r="G886" s="22">
        <f>G887+G893</f>
        <v>18331.8</v>
      </c>
      <c r="H886" s="22">
        <f aca="true" t="shared" si="932" ref="H886">H887+H893</f>
        <v>10388.9</v>
      </c>
      <c r="I886" s="22">
        <f aca="true" t="shared" si="933" ref="I886:L886">I887+I893</f>
        <v>18331.8</v>
      </c>
      <c r="J886" s="22">
        <f t="shared" si="933"/>
        <v>18331.8</v>
      </c>
      <c r="K886" s="22">
        <f t="shared" si="933"/>
        <v>18331.8</v>
      </c>
      <c r="L886" s="22">
        <f t="shared" si="933"/>
        <v>18331.8</v>
      </c>
      <c r="M886" s="22">
        <f aca="true" t="shared" si="934" ref="M886:N886">M887+M893</f>
        <v>10153.6</v>
      </c>
      <c r="N886" s="22">
        <f t="shared" si="934"/>
        <v>2589.7</v>
      </c>
      <c r="O886" s="22">
        <f t="shared" si="885"/>
        <v>25.505239520958078</v>
      </c>
    </row>
    <row r="887" spans="1:15" ht="15.75">
      <c r="A887" s="24" t="s">
        <v>558</v>
      </c>
      <c r="B887" s="212">
        <v>908</v>
      </c>
      <c r="C887" s="214" t="s">
        <v>202</v>
      </c>
      <c r="D887" s="214" t="s">
        <v>351</v>
      </c>
      <c r="E887" s="214"/>
      <c r="F887" s="214"/>
      <c r="G887" s="22">
        <f>G888</f>
        <v>3207.7</v>
      </c>
      <c r="H887" s="22">
        <f aca="true" t="shared" si="935" ref="H887:L891">H888</f>
        <v>1328.6</v>
      </c>
      <c r="I887" s="22">
        <f t="shared" si="935"/>
        <v>3207.7</v>
      </c>
      <c r="J887" s="22">
        <f t="shared" si="935"/>
        <v>3207.7</v>
      </c>
      <c r="K887" s="22">
        <f t="shared" si="935"/>
        <v>3207.7</v>
      </c>
      <c r="L887" s="22">
        <f t="shared" si="935"/>
        <v>3207.7</v>
      </c>
      <c r="M887" s="22">
        <f aca="true" t="shared" si="936" ref="M887:N891">M888</f>
        <v>3258.3</v>
      </c>
      <c r="N887" s="22">
        <f t="shared" si="936"/>
        <v>1349.6</v>
      </c>
      <c r="O887" s="22">
        <f t="shared" si="885"/>
        <v>41.42037258693183</v>
      </c>
    </row>
    <row r="888" spans="1:15" ht="15.75">
      <c r="A888" s="26" t="s">
        <v>173</v>
      </c>
      <c r="B888" s="215">
        <v>908</v>
      </c>
      <c r="C888" s="213" t="s">
        <v>202</v>
      </c>
      <c r="D888" s="213" t="s">
        <v>351</v>
      </c>
      <c r="E888" s="213" t="s">
        <v>174</v>
      </c>
      <c r="F888" s="214"/>
      <c r="G888" s="27">
        <f>G889</f>
        <v>3207.7</v>
      </c>
      <c r="H888" s="27">
        <f aca="true" t="shared" si="937" ref="H888:H891">H889</f>
        <v>1328.6</v>
      </c>
      <c r="I888" s="27">
        <f t="shared" si="935"/>
        <v>3207.7</v>
      </c>
      <c r="J888" s="27">
        <f t="shared" si="935"/>
        <v>3207.7</v>
      </c>
      <c r="K888" s="27">
        <f t="shared" si="935"/>
        <v>3207.7</v>
      </c>
      <c r="L888" s="27">
        <f t="shared" si="935"/>
        <v>3207.7</v>
      </c>
      <c r="M888" s="27">
        <f t="shared" si="936"/>
        <v>3258.3</v>
      </c>
      <c r="N888" s="27">
        <f t="shared" si="936"/>
        <v>1349.6</v>
      </c>
      <c r="O888" s="27">
        <f t="shared" si="885"/>
        <v>41.42037258693183</v>
      </c>
    </row>
    <row r="889" spans="1:15" ht="15.75">
      <c r="A889" s="26" t="s">
        <v>193</v>
      </c>
      <c r="B889" s="215">
        <v>908</v>
      </c>
      <c r="C889" s="213" t="s">
        <v>202</v>
      </c>
      <c r="D889" s="213" t="s">
        <v>351</v>
      </c>
      <c r="E889" s="213" t="s">
        <v>194</v>
      </c>
      <c r="F889" s="214"/>
      <c r="G889" s="27">
        <f>G890</f>
        <v>3207.7</v>
      </c>
      <c r="H889" s="27">
        <f t="shared" si="937"/>
        <v>1328.6</v>
      </c>
      <c r="I889" s="27">
        <f t="shared" si="935"/>
        <v>3207.7</v>
      </c>
      <c r="J889" s="27">
        <f t="shared" si="935"/>
        <v>3207.7</v>
      </c>
      <c r="K889" s="27">
        <f t="shared" si="935"/>
        <v>3207.7</v>
      </c>
      <c r="L889" s="27">
        <f t="shared" si="935"/>
        <v>3207.7</v>
      </c>
      <c r="M889" s="27">
        <f t="shared" si="936"/>
        <v>3258.3</v>
      </c>
      <c r="N889" s="27">
        <f t="shared" si="936"/>
        <v>1349.6</v>
      </c>
      <c r="O889" s="27">
        <f t="shared" si="885"/>
        <v>41.42037258693183</v>
      </c>
    </row>
    <row r="890" spans="1:15" ht="39" customHeight="1">
      <c r="A890" s="26" t="s">
        <v>559</v>
      </c>
      <c r="B890" s="215">
        <v>908</v>
      </c>
      <c r="C890" s="213" t="s">
        <v>202</v>
      </c>
      <c r="D890" s="213" t="s">
        <v>351</v>
      </c>
      <c r="E890" s="213" t="s">
        <v>560</v>
      </c>
      <c r="F890" s="213"/>
      <c r="G890" s="27">
        <f>G891</f>
        <v>3207.7</v>
      </c>
      <c r="H890" s="27">
        <f t="shared" si="937"/>
        <v>1328.6</v>
      </c>
      <c r="I890" s="27">
        <f t="shared" si="935"/>
        <v>3207.7</v>
      </c>
      <c r="J890" s="27">
        <f t="shared" si="935"/>
        <v>3207.7</v>
      </c>
      <c r="K890" s="27">
        <f t="shared" si="935"/>
        <v>3207.7</v>
      </c>
      <c r="L890" s="27">
        <f t="shared" si="935"/>
        <v>3207.7</v>
      </c>
      <c r="M890" s="27">
        <f t="shared" si="936"/>
        <v>3258.3</v>
      </c>
      <c r="N890" s="27">
        <f t="shared" si="936"/>
        <v>1349.6</v>
      </c>
      <c r="O890" s="27">
        <f t="shared" si="885"/>
        <v>41.42037258693183</v>
      </c>
    </row>
    <row r="891" spans="1:15" ht="31.5">
      <c r="A891" s="26" t="s">
        <v>183</v>
      </c>
      <c r="B891" s="215">
        <v>908</v>
      </c>
      <c r="C891" s="213" t="s">
        <v>202</v>
      </c>
      <c r="D891" s="213" t="s">
        <v>351</v>
      </c>
      <c r="E891" s="213" t="s">
        <v>560</v>
      </c>
      <c r="F891" s="213" t="s">
        <v>184</v>
      </c>
      <c r="G891" s="27">
        <f>G892</f>
        <v>3207.7</v>
      </c>
      <c r="H891" s="27">
        <f t="shared" si="937"/>
        <v>1328.6</v>
      </c>
      <c r="I891" s="27">
        <f t="shared" si="935"/>
        <v>3207.7</v>
      </c>
      <c r="J891" s="27">
        <f t="shared" si="935"/>
        <v>3207.7</v>
      </c>
      <c r="K891" s="27">
        <f t="shared" si="935"/>
        <v>3207.7</v>
      </c>
      <c r="L891" s="27">
        <f t="shared" si="935"/>
        <v>3207.7</v>
      </c>
      <c r="M891" s="27">
        <f t="shared" si="936"/>
        <v>3258.3</v>
      </c>
      <c r="N891" s="27">
        <f t="shared" si="936"/>
        <v>1349.6</v>
      </c>
      <c r="O891" s="27">
        <f t="shared" si="885"/>
        <v>41.42037258693183</v>
      </c>
    </row>
    <row r="892" spans="1:15" ht="47.25">
      <c r="A892" s="26" t="s">
        <v>185</v>
      </c>
      <c r="B892" s="215">
        <v>908</v>
      </c>
      <c r="C892" s="213" t="s">
        <v>202</v>
      </c>
      <c r="D892" s="213" t="s">
        <v>351</v>
      </c>
      <c r="E892" s="213" t="s">
        <v>560</v>
      </c>
      <c r="F892" s="213" t="s">
        <v>186</v>
      </c>
      <c r="G892" s="27">
        <v>3207.7</v>
      </c>
      <c r="H892" s="27">
        <v>1328.6</v>
      </c>
      <c r="I892" s="27">
        <v>3207.7</v>
      </c>
      <c r="J892" s="27">
        <v>3207.7</v>
      </c>
      <c r="K892" s="27">
        <v>3207.7</v>
      </c>
      <c r="L892" s="27">
        <v>3207.7</v>
      </c>
      <c r="M892" s="27">
        <f>3207.7+25.3+25.3</f>
        <v>3258.3</v>
      </c>
      <c r="N892" s="27">
        <v>1349.6</v>
      </c>
      <c r="O892" s="27">
        <f t="shared" si="885"/>
        <v>41.42037258693183</v>
      </c>
    </row>
    <row r="893" spans="1:15" ht="15.75">
      <c r="A893" s="24" t="s">
        <v>561</v>
      </c>
      <c r="B893" s="212">
        <v>908</v>
      </c>
      <c r="C893" s="214" t="s">
        <v>202</v>
      </c>
      <c r="D893" s="214" t="s">
        <v>271</v>
      </c>
      <c r="E893" s="213"/>
      <c r="F893" s="214"/>
      <c r="G893" s="22">
        <f>G894</f>
        <v>15124.1</v>
      </c>
      <c r="H893" s="22">
        <f aca="true" t="shared" si="938" ref="H893:L894">H894</f>
        <v>9060.3</v>
      </c>
      <c r="I893" s="22">
        <f t="shared" si="938"/>
        <v>15124.1</v>
      </c>
      <c r="J893" s="22">
        <f t="shared" si="938"/>
        <v>15124.1</v>
      </c>
      <c r="K893" s="22">
        <f t="shared" si="938"/>
        <v>15124.1</v>
      </c>
      <c r="L893" s="22">
        <f t="shared" si="938"/>
        <v>15124.1</v>
      </c>
      <c r="M893" s="22">
        <f aca="true" t="shared" si="939" ref="M893:N894">M894</f>
        <v>6895.3</v>
      </c>
      <c r="N893" s="22">
        <f t="shared" si="939"/>
        <v>1240.1</v>
      </c>
      <c r="O893" s="22">
        <f t="shared" si="885"/>
        <v>17.98471422563195</v>
      </c>
    </row>
    <row r="894" spans="1:15" ht="47.25">
      <c r="A894" s="33" t="s">
        <v>1000</v>
      </c>
      <c r="B894" s="215">
        <v>908</v>
      </c>
      <c r="C894" s="213" t="s">
        <v>202</v>
      </c>
      <c r="D894" s="213" t="s">
        <v>271</v>
      </c>
      <c r="E894" s="213" t="s">
        <v>563</v>
      </c>
      <c r="F894" s="213"/>
      <c r="G894" s="27">
        <f>G895</f>
        <v>15124.1</v>
      </c>
      <c r="H894" s="27">
        <f>H895</f>
        <v>9060.3</v>
      </c>
      <c r="I894" s="27">
        <f t="shared" si="938"/>
        <v>15124.1</v>
      </c>
      <c r="J894" s="27">
        <f t="shared" si="938"/>
        <v>15124.1</v>
      </c>
      <c r="K894" s="27">
        <f t="shared" si="938"/>
        <v>15124.1</v>
      </c>
      <c r="L894" s="27">
        <f t="shared" si="938"/>
        <v>15124.1</v>
      </c>
      <c r="M894" s="27">
        <f t="shared" si="939"/>
        <v>6895.3</v>
      </c>
      <c r="N894" s="27">
        <f t="shared" si="939"/>
        <v>1240.1</v>
      </c>
      <c r="O894" s="27">
        <f t="shared" si="885"/>
        <v>17.98471422563195</v>
      </c>
    </row>
    <row r="895" spans="1:15" ht="15.75">
      <c r="A895" s="31" t="s">
        <v>564</v>
      </c>
      <c r="B895" s="215">
        <v>908</v>
      </c>
      <c r="C895" s="213" t="s">
        <v>202</v>
      </c>
      <c r="D895" s="213" t="s">
        <v>271</v>
      </c>
      <c r="E895" s="216" t="s">
        <v>565</v>
      </c>
      <c r="F895" s="213"/>
      <c r="G895" s="27">
        <f>G896+G898</f>
        <v>15124.1</v>
      </c>
      <c r="H895" s="27">
        <f>H896+H898</f>
        <v>9060.3</v>
      </c>
      <c r="I895" s="27">
        <f aca="true" t="shared" si="940" ref="I895:L895">I896+I898</f>
        <v>15124.1</v>
      </c>
      <c r="J895" s="27">
        <f t="shared" si="940"/>
        <v>15124.1</v>
      </c>
      <c r="K895" s="27">
        <f t="shared" si="940"/>
        <v>15124.1</v>
      </c>
      <c r="L895" s="27">
        <f t="shared" si="940"/>
        <v>15124.1</v>
      </c>
      <c r="M895" s="27">
        <f aca="true" t="shared" si="941" ref="M895:N895">M896+M898</f>
        <v>6895.3</v>
      </c>
      <c r="N895" s="27">
        <f t="shared" si="941"/>
        <v>1240.1</v>
      </c>
      <c r="O895" s="27">
        <f t="shared" si="885"/>
        <v>17.98471422563195</v>
      </c>
    </row>
    <row r="896" spans="1:15" ht="31.5">
      <c r="A896" s="26" t="s">
        <v>183</v>
      </c>
      <c r="B896" s="215">
        <v>908</v>
      </c>
      <c r="C896" s="213" t="s">
        <v>202</v>
      </c>
      <c r="D896" s="213" t="s">
        <v>271</v>
      </c>
      <c r="E896" s="216" t="s">
        <v>565</v>
      </c>
      <c r="F896" s="213" t="s">
        <v>184</v>
      </c>
      <c r="G896" s="27">
        <f>G897</f>
        <v>15108.1</v>
      </c>
      <c r="H896" s="27">
        <f>H897</f>
        <v>9050.3</v>
      </c>
      <c r="I896" s="27">
        <f aca="true" t="shared" si="942" ref="I896:L896">I897</f>
        <v>15108.1</v>
      </c>
      <c r="J896" s="27">
        <f t="shared" si="942"/>
        <v>15108.1</v>
      </c>
      <c r="K896" s="27">
        <f t="shared" si="942"/>
        <v>15108.1</v>
      </c>
      <c r="L896" s="27">
        <f t="shared" si="942"/>
        <v>15108.1</v>
      </c>
      <c r="M896" s="27">
        <f aca="true" t="shared" si="943" ref="M896:N896">M897</f>
        <v>6879.3</v>
      </c>
      <c r="N896" s="27">
        <f t="shared" si="943"/>
        <v>1240.1</v>
      </c>
      <c r="O896" s="27">
        <f t="shared" si="885"/>
        <v>18.026543398310874</v>
      </c>
    </row>
    <row r="897" spans="1:15" ht="47.25">
      <c r="A897" s="26" t="s">
        <v>185</v>
      </c>
      <c r="B897" s="215">
        <v>908</v>
      </c>
      <c r="C897" s="213" t="s">
        <v>202</v>
      </c>
      <c r="D897" s="213" t="s">
        <v>271</v>
      </c>
      <c r="E897" s="216" t="s">
        <v>565</v>
      </c>
      <c r="F897" s="213" t="s">
        <v>186</v>
      </c>
      <c r="G897" s="27">
        <f>15124.1-10-6</f>
        <v>15108.1</v>
      </c>
      <c r="H897" s="27">
        <v>9050.3</v>
      </c>
      <c r="I897" s="27">
        <f aca="true" t="shared" si="944" ref="I897">15124.1-10-6</f>
        <v>15108.1</v>
      </c>
      <c r="J897" s="27">
        <f>I897</f>
        <v>15108.1</v>
      </c>
      <c r="K897" s="27">
        <f>J897</f>
        <v>15108.1</v>
      </c>
      <c r="L897" s="27">
        <f>K897</f>
        <v>15108.1</v>
      </c>
      <c r="M897" s="27">
        <f>6904.6-25.3</f>
        <v>6879.3</v>
      </c>
      <c r="N897" s="27">
        <v>1240.1</v>
      </c>
      <c r="O897" s="27">
        <f t="shared" si="885"/>
        <v>18.026543398310874</v>
      </c>
    </row>
    <row r="898" spans="1:15" ht="15.75">
      <c r="A898" s="26" t="s">
        <v>187</v>
      </c>
      <c r="B898" s="215">
        <v>908</v>
      </c>
      <c r="C898" s="213" t="s">
        <v>202</v>
      </c>
      <c r="D898" s="213" t="s">
        <v>271</v>
      </c>
      <c r="E898" s="216" t="s">
        <v>565</v>
      </c>
      <c r="F898" s="213" t="s">
        <v>197</v>
      </c>
      <c r="G898" s="27">
        <f>G899</f>
        <v>16</v>
      </c>
      <c r="H898" s="27">
        <f>H899</f>
        <v>10</v>
      </c>
      <c r="I898" s="27">
        <f aca="true" t="shared" si="945" ref="I898:L898">I899</f>
        <v>16</v>
      </c>
      <c r="J898" s="27">
        <f t="shared" si="945"/>
        <v>16</v>
      </c>
      <c r="K898" s="27">
        <f t="shared" si="945"/>
        <v>16</v>
      </c>
      <c r="L898" s="27">
        <f t="shared" si="945"/>
        <v>16</v>
      </c>
      <c r="M898" s="27">
        <f aca="true" t="shared" si="946" ref="M898:N898">M899</f>
        <v>16</v>
      </c>
      <c r="N898" s="27">
        <f t="shared" si="946"/>
        <v>0</v>
      </c>
      <c r="O898" s="27">
        <f t="shared" si="885"/>
        <v>0</v>
      </c>
    </row>
    <row r="899" spans="1:15" ht="15.75">
      <c r="A899" s="26" t="s">
        <v>621</v>
      </c>
      <c r="B899" s="215">
        <v>908</v>
      </c>
      <c r="C899" s="213" t="s">
        <v>202</v>
      </c>
      <c r="D899" s="213" t="s">
        <v>271</v>
      </c>
      <c r="E899" s="216" t="s">
        <v>565</v>
      </c>
      <c r="F899" s="213" t="s">
        <v>190</v>
      </c>
      <c r="G899" s="27">
        <f>10+6</f>
        <v>16</v>
      </c>
      <c r="H899" s="27">
        <v>10</v>
      </c>
      <c r="I899" s="27">
        <f aca="true" t="shared" si="947" ref="I899:L899">10+6</f>
        <v>16</v>
      </c>
      <c r="J899" s="27">
        <f t="shared" si="947"/>
        <v>16</v>
      </c>
      <c r="K899" s="27">
        <f t="shared" si="947"/>
        <v>16</v>
      </c>
      <c r="L899" s="27">
        <f t="shared" si="947"/>
        <v>16</v>
      </c>
      <c r="M899" s="27">
        <f aca="true" t="shared" si="948" ref="M899">10+6</f>
        <v>16</v>
      </c>
      <c r="N899" s="27">
        <v>0</v>
      </c>
      <c r="O899" s="27">
        <f t="shared" si="885"/>
        <v>0</v>
      </c>
    </row>
    <row r="900" spans="1:15" ht="15.75">
      <c r="A900" s="24" t="s">
        <v>443</v>
      </c>
      <c r="B900" s="212">
        <v>908</v>
      </c>
      <c r="C900" s="214" t="s">
        <v>286</v>
      </c>
      <c r="D900" s="214"/>
      <c r="E900" s="214"/>
      <c r="F900" s="214"/>
      <c r="G900" s="22">
        <f aca="true" t="shared" si="949" ref="G900:M900">G901+G917+G978+G1038</f>
        <v>108065.8</v>
      </c>
      <c r="H900" s="22">
        <f t="shared" si="949"/>
        <v>32792.8</v>
      </c>
      <c r="I900" s="22">
        <f t="shared" si="949"/>
        <v>89933.60588235295</v>
      </c>
      <c r="J900" s="22">
        <f t="shared" si="949"/>
        <v>65411.8</v>
      </c>
      <c r="K900" s="22">
        <f t="shared" si="949"/>
        <v>65708.7</v>
      </c>
      <c r="L900" s="22">
        <f t="shared" si="949"/>
        <v>67728.70000000001</v>
      </c>
      <c r="M900" s="22">
        <f t="shared" si="949"/>
        <v>115180.57999999999</v>
      </c>
      <c r="N900" s="22">
        <f aca="true" t="shared" si="950" ref="N900">N901+N917+N978+N1038</f>
        <v>35922.799999999996</v>
      </c>
      <c r="O900" s="22">
        <f t="shared" si="885"/>
        <v>31.188243712611968</v>
      </c>
    </row>
    <row r="901" spans="1:15" ht="15.75">
      <c r="A901" s="24" t="s">
        <v>444</v>
      </c>
      <c r="B901" s="212">
        <v>908</v>
      </c>
      <c r="C901" s="214" t="s">
        <v>286</v>
      </c>
      <c r="D901" s="214" t="s">
        <v>170</v>
      </c>
      <c r="E901" s="214"/>
      <c r="F901" s="214"/>
      <c r="G901" s="22">
        <f>G902</f>
        <v>7765.400000000001</v>
      </c>
      <c r="H901" s="22">
        <f>H902</f>
        <v>3704.6</v>
      </c>
      <c r="I901" s="22">
        <f aca="true" t="shared" si="951" ref="I901:L901">I902</f>
        <v>7765.400000000001</v>
      </c>
      <c r="J901" s="22">
        <f t="shared" si="951"/>
        <v>8701.2</v>
      </c>
      <c r="K901" s="22">
        <f t="shared" si="951"/>
        <v>8701.2</v>
      </c>
      <c r="L901" s="22">
        <f t="shared" si="951"/>
        <v>8701.2</v>
      </c>
      <c r="M901" s="22">
        <f aca="true" t="shared" si="952" ref="M901:N901">M902</f>
        <v>7558.5</v>
      </c>
      <c r="N901" s="22">
        <f t="shared" si="952"/>
        <v>3167.5</v>
      </c>
      <c r="O901" s="22">
        <f t="shared" si="885"/>
        <v>41.90646292253754</v>
      </c>
    </row>
    <row r="902" spans="1:15" ht="15.75">
      <c r="A902" s="26" t="s">
        <v>173</v>
      </c>
      <c r="B902" s="215">
        <v>908</v>
      </c>
      <c r="C902" s="213" t="s">
        <v>286</v>
      </c>
      <c r="D902" s="213" t="s">
        <v>170</v>
      </c>
      <c r="E902" s="213" t="s">
        <v>174</v>
      </c>
      <c r="F902" s="213"/>
      <c r="G902" s="27">
        <f>G907</f>
        <v>7765.400000000001</v>
      </c>
      <c r="H902" s="27">
        <f>H907</f>
        <v>3704.6</v>
      </c>
      <c r="I902" s="27">
        <f aca="true" t="shared" si="953" ref="I902:L902">I907</f>
        <v>7765.400000000001</v>
      </c>
      <c r="J902" s="27">
        <f t="shared" si="953"/>
        <v>8701.2</v>
      </c>
      <c r="K902" s="27">
        <f t="shared" si="953"/>
        <v>8701.2</v>
      </c>
      <c r="L902" s="27">
        <f t="shared" si="953"/>
        <v>8701.2</v>
      </c>
      <c r="M902" s="27">
        <f aca="true" t="shared" si="954" ref="M902:N902">M907</f>
        <v>7558.5</v>
      </c>
      <c r="N902" s="27">
        <f t="shared" si="954"/>
        <v>3167.5</v>
      </c>
      <c r="O902" s="27">
        <f t="shared" si="885"/>
        <v>41.90646292253754</v>
      </c>
    </row>
    <row r="903" spans="1:15" ht="31.5" customHeight="1" hidden="1">
      <c r="A903" s="26" t="s">
        <v>237</v>
      </c>
      <c r="B903" s="215">
        <v>908</v>
      </c>
      <c r="C903" s="213" t="s">
        <v>286</v>
      </c>
      <c r="D903" s="213" t="s">
        <v>170</v>
      </c>
      <c r="E903" s="213" t="s">
        <v>238</v>
      </c>
      <c r="F903" s="213"/>
      <c r="G903" s="27">
        <f aca="true" t="shared" si="955" ref="G903:L905">G904</f>
        <v>0</v>
      </c>
      <c r="H903" s="27">
        <f t="shared" si="955"/>
        <v>0</v>
      </c>
      <c r="I903" s="27">
        <f t="shared" si="955"/>
        <v>0</v>
      </c>
      <c r="J903" s="27">
        <f t="shared" si="955"/>
        <v>0</v>
      </c>
      <c r="K903" s="27">
        <f t="shared" si="955"/>
        <v>0</v>
      </c>
      <c r="L903" s="27">
        <f t="shared" si="955"/>
        <v>0</v>
      </c>
      <c r="M903" s="27">
        <f aca="true" t="shared" si="956" ref="M903:N905">M904</f>
        <v>0</v>
      </c>
      <c r="N903" s="27">
        <f t="shared" si="956"/>
        <v>0</v>
      </c>
      <c r="O903" s="27" t="e">
        <f t="shared" si="885"/>
        <v>#DIV/0!</v>
      </c>
    </row>
    <row r="904" spans="1:15" ht="15.75" customHeight="1" hidden="1">
      <c r="A904" s="26" t="s">
        <v>566</v>
      </c>
      <c r="B904" s="215">
        <v>908</v>
      </c>
      <c r="C904" s="213" t="s">
        <v>286</v>
      </c>
      <c r="D904" s="213" t="s">
        <v>170</v>
      </c>
      <c r="E904" s="213" t="s">
        <v>567</v>
      </c>
      <c r="F904" s="213"/>
      <c r="G904" s="27">
        <f t="shared" si="955"/>
        <v>0</v>
      </c>
      <c r="H904" s="27">
        <f t="shared" si="955"/>
        <v>0</v>
      </c>
      <c r="I904" s="27">
        <f t="shared" si="955"/>
        <v>0</v>
      </c>
      <c r="J904" s="27">
        <f t="shared" si="955"/>
        <v>0</v>
      </c>
      <c r="K904" s="27">
        <f t="shared" si="955"/>
        <v>0</v>
      </c>
      <c r="L904" s="27">
        <f t="shared" si="955"/>
        <v>0</v>
      </c>
      <c r="M904" s="27">
        <f t="shared" si="956"/>
        <v>0</v>
      </c>
      <c r="N904" s="27">
        <f t="shared" si="956"/>
        <v>0</v>
      </c>
      <c r="O904" s="27" t="e">
        <f t="shared" si="885"/>
        <v>#DIV/0!</v>
      </c>
    </row>
    <row r="905" spans="1:15" ht="15.75" customHeight="1" hidden="1">
      <c r="A905" s="26" t="s">
        <v>187</v>
      </c>
      <c r="B905" s="215">
        <v>908</v>
      </c>
      <c r="C905" s="213" t="s">
        <v>286</v>
      </c>
      <c r="D905" s="213" t="s">
        <v>170</v>
      </c>
      <c r="E905" s="213" t="s">
        <v>567</v>
      </c>
      <c r="F905" s="213" t="s">
        <v>197</v>
      </c>
      <c r="G905" s="27">
        <f t="shared" si="955"/>
        <v>0</v>
      </c>
      <c r="H905" s="27">
        <f t="shared" si="955"/>
        <v>0</v>
      </c>
      <c r="I905" s="27">
        <f t="shared" si="955"/>
        <v>0</v>
      </c>
      <c r="J905" s="27">
        <f t="shared" si="955"/>
        <v>0</v>
      </c>
      <c r="K905" s="27">
        <f t="shared" si="955"/>
        <v>0</v>
      </c>
      <c r="L905" s="27">
        <f t="shared" si="955"/>
        <v>0</v>
      </c>
      <c r="M905" s="27">
        <f t="shared" si="956"/>
        <v>0</v>
      </c>
      <c r="N905" s="27">
        <f t="shared" si="956"/>
        <v>0</v>
      </c>
      <c r="O905" s="27" t="e">
        <f t="shared" si="885"/>
        <v>#DIV/0!</v>
      </c>
    </row>
    <row r="906" spans="1:15" ht="63" customHeight="1" hidden="1">
      <c r="A906" s="26" t="s">
        <v>236</v>
      </c>
      <c r="B906" s="215">
        <v>908</v>
      </c>
      <c r="C906" s="213" t="s">
        <v>286</v>
      </c>
      <c r="D906" s="213" t="s">
        <v>170</v>
      </c>
      <c r="E906" s="213" t="s">
        <v>567</v>
      </c>
      <c r="F906" s="213" t="s">
        <v>212</v>
      </c>
      <c r="G906" s="27">
        <v>0</v>
      </c>
      <c r="H906" s="27">
        <v>0</v>
      </c>
      <c r="I906" s="27">
        <v>0</v>
      </c>
      <c r="J906" s="27">
        <v>0</v>
      </c>
      <c r="K906" s="27">
        <v>0</v>
      </c>
      <c r="L906" s="27">
        <v>0</v>
      </c>
      <c r="M906" s="27">
        <v>0</v>
      </c>
      <c r="N906" s="27">
        <v>0</v>
      </c>
      <c r="O906" s="27" t="e">
        <f t="shared" si="885"/>
        <v>#DIV/0!</v>
      </c>
    </row>
    <row r="907" spans="1:15" ht="15.75">
      <c r="A907" s="26" t="s">
        <v>193</v>
      </c>
      <c r="B907" s="215">
        <v>908</v>
      </c>
      <c r="C907" s="213" t="s">
        <v>286</v>
      </c>
      <c r="D907" s="213" t="s">
        <v>170</v>
      </c>
      <c r="E907" s="213" t="s">
        <v>194</v>
      </c>
      <c r="F907" s="214"/>
      <c r="G907" s="27">
        <f>G914+G911+G908</f>
        <v>7765.400000000001</v>
      </c>
      <c r="H907" s="27">
        <f aca="true" t="shared" si="957" ref="H907:M907">H914+H911+H908</f>
        <v>3704.6</v>
      </c>
      <c r="I907" s="27">
        <f t="shared" si="957"/>
        <v>7765.400000000001</v>
      </c>
      <c r="J907" s="27">
        <f>J914+J911+J908</f>
        <v>8701.2</v>
      </c>
      <c r="K907" s="27">
        <f t="shared" si="957"/>
        <v>8701.2</v>
      </c>
      <c r="L907" s="27">
        <f t="shared" si="957"/>
        <v>8701.2</v>
      </c>
      <c r="M907" s="27">
        <f t="shared" si="957"/>
        <v>7558.5</v>
      </c>
      <c r="N907" s="27">
        <f aca="true" t="shared" si="958" ref="N907">N914+N911+N908</f>
        <v>3167.5</v>
      </c>
      <c r="O907" s="27">
        <f t="shared" si="885"/>
        <v>41.90646292253754</v>
      </c>
    </row>
    <row r="908" spans="1:15" ht="15.75">
      <c r="A908" s="26" t="s">
        <v>568</v>
      </c>
      <c r="B908" s="215">
        <v>908</v>
      </c>
      <c r="C908" s="213" t="s">
        <v>928</v>
      </c>
      <c r="D908" s="213" t="s">
        <v>170</v>
      </c>
      <c r="E908" s="213" t="s">
        <v>569</v>
      </c>
      <c r="F908" s="214"/>
      <c r="G908" s="27">
        <f>G909</f>
        <v>2400</v>
      </c>
      <c r="H908" s="27">
        <f aca="true" t="shared" si="959" ref="H908:N908">H909</f>
        <v>500</v>
      </c>
      <c r="I908" s="27">
        <f t="shared" si="959"/>
        <v>2400</v>
      </c>
      <c r="J908" s="27">
        <f t="shared" si="959"/>
        <v>3744.1</v>
      </c>
      <c r="K908" s="27">
        <f t="shared" si="959"/>
        <v>3744.1</v>
      </c>
      <c r="L908" s="27">
        <f t="shared" si="959"/>
        <v>3744.1</v>
      </c>
      <c r="M908" s="27">
        <f t="shared" si="959"/>
        <v>2040.8999999999999</v>
      </c>
      <c r="N908" s="27">
        <f t="shared" si="959"/>
        <v>515.3</v>
      </c>
      <c r="O908" s="27">
        <f t="shared" si="885"/>
        <v>25.248664804743004</v>
      </c>
    </row>
    <row r="909" spans="1:15" ht="15.75">
      <c r="A909" s="26" t="s">
        <v>187</v>
      </c>
      <c r="B909" s="215">
        <v>908</v>
      </c>
      <c r="C909" s="213" t="s">
        <v>286</v>
      </c>
      <c r="D909" s="213" t="s">
        <v>170</v>
      </c>
      <c r="E909" s="213" t="s">
        <v>569</v>
      </c>
      <c r="F909" s="213" t="s">
        <v>197</v>
      </c>
      <c r="G909" s="27">
        <f>G910</f>
        <v>2400</v>
      </c>
      <c r="H909" s="27">
        <f>H910</f>
        <v>500</v>
      </c>
      <c r="I909" s="27">
        <f aca="true" t="shared" si="960" ref="I909:L909">I910</f>
        <v>2400</v>
      </c>
      <c r="J909" s="27">
        <f t="shared" si="960"/>
        <v>3744.1</v>
      </c>
      <c r="K909" s="27">
        <f t="shared" si="960"/>
        <v>3744.1</v>
      </c>
      <c r="L909" s="27">
        <f t="shared" si="960"/>
        <v>3744.1</v>
      </c>
      <c r="M909" s="27">
        <f aca="true" t="shared" si="961" ref="M909:N909">M910</f>
        <v>2040.8999999999999</v>
      </c>
      <c r="N909" s="27">
        <f t="shared" si="961"/>
        <v>515.3</v>
      </c>
      <c r="O909" s="27">
        <f aca="true" t="shared" si="962" ref="O909:O972">N909/M909*100</f>
        <v>25.248664804743004</v>
      </c>
    </row>
    <row r="910" spans="1:15" ht="48.75" customHeight="1">
      <c r="A910" s="26" t="s">
        <v>236</v>
      </c>
      <c r="B910" s="215">
        <v>908</v>
      </c>
      <c r="C910" s="213" t="s">
        <v>286</v>
      </c>
      <c r="D910" s="213" t="s">
        <v>170</v>
      </c>
      <c r="E910" s="213" t="s">
        <v>569</v>
      </c>
      <c r="F910" s="213" t="s">
        <v>212</v>
      </c>
      <c r="G910" s="27">
        <f>1500+900</f>
        <v>2400</v>
      </c>
      <c r="H910" s="27">
        <v>500</v>
      </c>
      <c r="I910" s="27">
        <f aca="true" t="shared" si="963" ref="I910">1500+900</f>
        <v>2400</v>
      </c>
      <c r="J910" s="27">
        <v>3744.1</v>
      </c>
      <c r="K910" s="27">
        <f>J910</f>
        <v>3744.1</v>
      </c>
      <c r="L910" s="27">
        <f>K910</f>
        <v>3744.1</v>
      </c>
      <c r="M910" s="27">
        <f>515.3+1525.6</f>
        <v>2040.8999999999999</v>
      </c>
      <c r="N910" s="27">
        <v>515.3</v>
      </c>
      <c r="O910" s="27">
        <f t="shared" si="962"/>
        <v>25.248664804743004</v>
      </c>
    </row>
    <row r="911" spans="1:15" ht="31.5">
      <c r="A911" s="31" t="s">
        <v>451</v>
      </c>
      <c r="B911" s="215">
        <v>908</v>
      </c>
      <c r="C911" s="213" t="s">
        <v>286</v>
      </c>
      <c r="D911" s="213" t="s">
        <v>170</v>
      </c>
      <c r="E911" s="213" t="s">
        <v>452</v>
      </c>
      <c r="F911" s="214"/>
      <c r="G911" s="27">
        <f>G912</f>
        <v>4234.1</v>
      </c>
      <c r="H911" s="27">
        <f>H912</f>
        <v>2632.5</v>
      </c>
      <c r="I911" s="27">
        <f aca="true" t="shared" si="964" ref="I911:L912">I912</f>
        <v>4234.1</v>
      </c>
      <c r="J911" s="27">
        <f t="shared" si="964"/>
        <v>3825.8</v>
      </c>
      <c r="K911" s="27">
        <f t="shared" si="964"/>
        <v>3825.8</v>
      </c>
      <c r="L911" s="27">
        <f t="shared" si="964"/>
        <v>3825.8</v>
      </c>
      <c r="M911" s="27">
        <f aca="true" t="shared" si="965" ref="M911:N912">M912</f>
        <v>4017.6000000000004</v>
      </c>
      <c r="N911" s="27">
        <f t="shared" si="965"/>
        <v>2058.1</v>
      </c>
      <c r="O911" s="27">
        <f t="shared" si="962"/>
        <v>51.22710075667064</v>
      </c>
    </row>
    <row r="912" spans="1:15" ht="31.5">
      <c r="A912" s="26" t="s">
        <v>183</v>
      </c>
      <c r="B912" s="215">
        <v>908</v>
      </c>
      <c r="C912" s="213" t="s">
        <v>286</v>
      </c>
      <c r="D912" s="213" t="s">
        <v>170</v>
      </c>
      <c r="E912" s="213" t="s">
        <v>452</v>
      </c>
      <c r="F912" s="213" t="s">
        <v>184</v>
      </c>
      <c r="G912" s="27">
        <f>G913</f>
        <v>4234.1</v>
      </c>
      <c r="H912" s="27">
        <f>H913</f>
        <v>2632.5</v>
      </c>
      <c r="I912" s="27">
        <f t="shared" si="964"/>
        <v>4234.1</v>
      </c>
      <c r="J912" s="27">
        <f t="shared" si="964"/>
        <v>3825.8</v>
      </c>
      <c r="K912" s="27">
        <f t="shared" si="964"/>
        <v>3825.8</v>
      </c>
      <c r="L912" s="27">
        <f t="shared" si="964"/>
        <v>3825.8</v>
      </c>
      <c r="M912" s="27">
        <f>M913</f>
        <v>4017.6000000000004</v>
      </c>
      <c r="N912" s="27">
        <f t="shared" si="965"/>
        <v>2058.1</v>
      </c>
      <c r="O912" s="27">
        <f t="shared" si="962"/>
        <v>51.22710075667064</v>
      </c>
    </row>
    <row r="913" spans="1:18" ht="47.25">
      <c r="A913" s="26" t="s">
        <v>185</v>
      </c>
      <c r="B913" s="215">
        <v>908</v>
      </c>
      <c r="C913" s="213" t="s">
        <v>286</v>
      </c>
      <c r="D913" s="213" t="s">
        <v>170</v>
      </c>
      <c r="E913" s="213" t="s">
        <v>452</v>
      </c>
      <c r="F913" s="213" t="s">
        <v>186</v>
      </c>
      <c r="G913" s="28">
        <f>3811.8+422.3</f>
        <v>4234.1</v>
      </c>
      <c r="H913" s="28">
        <v>2632.5</v>
      </c>
      <c r="I913" s="28">
        <f aca="true" t="shared" si="966" ref="I913">3811.8+422.3</f>
        <v>4234.1</v>
      </c>
      <c r="J913" s="28">
        <v>3825.8</v>
      </c>
      <c r="K913" s="28">
        <f>J913</f>
        <v>3825.8</v>
      </c>
      <c r="L913" s="28">
        <f>K913</f>
        <v>3825.8</v>
      </c>
      <c r="M913" s="28">
        <f>4117.6-100</f>
        <v>4017.6000000000004</v>
      </c>
      <c r="N913" s="28">
        <v>2058.1</v>
      </c>
      <c r="O913" s="27">
        <f t="shared" si="962"/>
        <v>51.22710075667064</v>
      </c>
      <c r="Q913" s="139"/>
      <c r="R913" s="139"/>
    </row>
    <row r="914" spans="1:15" ht="15.75">
      <c r="A914" s="26" t="s">
        <v>592</v>
      </c>
      <c r="B914" s="215">
        <v>908</v>
      </c>
      <c r="C914" s="213" t="s">
        <v>286</v>
      </c>
      <c r="D914" s="213" t="s">
        <v>170</v>
      </c>
      <c r="E914" s="213" t="s">
        <v>593</v>
      </c>
      <c r="F914" s="214"/>
      <c r="G914" s="27">
        <f>G915</f>
        <v>1131.3</v>
      </c>
      <c r="H914" s="27">
        <f aca="true" t="shared" si="967" ref="H914:N914">H915</f>
        <v>572.1</v>
      </c>
      <c r="I914" s="27">
        <f t="shared" si="967"/>
        <v>1131.3</v>
      </c>
      <c r="J914" s="27">
        <f t="shared" si="967"/>
        <v>1131.3</v>
      </c>
      <c r="K914" s="27">
        <f t="shared" si="967"/>
        <v>1131.3</v>
      </c>
      <c r="L914" s="27">
        <f t="shared" si="967"/>
        <v>1131.3</v>
      </c>
      <c r="M914" s="27">
        <f t="shared" si="967"/>
        <v>1500</v>
      </c>
      <c r="N914" s="27">
        <f t="shared" si="967"/>
        <v>594.1</v>
      </c>
      <c r="O914" s="27">
        <f t="shared" si="962"/>
        <v>39.60666666666667</v>
      </c>
    </row>
    <row r="915" spans="1:15" ht="31.5">
      <c r="A915" s="26" t="s">
        <v>183</v>
      </c>
      <c r="B915" s="215">
        <v>908</v>
      </c>
      <c r="C915" s="213" t="s">
        <v>286</v>
      </c>
      <c r="D915" s="213" t="s">
        <v>170</v>
      </c>
      <c r="E915" s="213" t="s">
        <v>593</v>
      </c>
      <c r="F915" s="213" t="s">
        <v>184</v>
      </c>
      <c r="G915" s="27">
        <f>G916</f>
        <v>1131.3</v>
      </c>
      <c r="H915" s="27">
        <f>H916</f>
        <v>572.1</v>
      </c>
      <c r="I915" s="27">
        <f aca="true" t="shared" si="968" ref="I915:L915">I916</f>
        <v>1131.3</v>
      </c>
      <c r="J915" s="27">
        <f t="shared" si="968"/>
        <v>1131.3</v>
      </c>
      <c r="K915" s="27">
        <f t="shared" si="968"/>
        <v>1131.3</v>
      </c>
      <c r="L915" s="27">
        <f t="shared" si="968"/>
        <v>1131.3</v>
      </c>
      <c r="M915" s="27">
        <f aca="true" t="shared" si="969" ref="M915:N915">M916</f>
        <v>1500</v>
      </c>
      <c r="N915" s="27">
        <f t="shared" si="969"/>
        <v>594.1</v>
      </c>
      <c r="O915" s="27">
        <f t="shared" si="962"/>
        <v>39.60666666666667</v>
      </c>
    </row>
    <row r="916" spans="1:15" ht="47.25">
      <c r="A916" s="26" t="s">
        <v>185</v>
      </c>
      <c r="B916" s="215">
        <v>908</v>
      </c>
      <c r="C916" s="213" t="s">
        <v>286</v>
      </c>
      <c r="D916" s="213" t="s">
        <v>170</v>
      </c>
      <c r="E916" s="213" t="s">
        <v>593</v>
      </c>
      <c r="F916" s="213" t="s">
        <v>186</v>
      </c>
      <c r="G916" s="27">
        <v>1131.3</v>
      </c>
      <c r="H916" s="27">
        <v>572.1</v>
      </c>
      <c r="I916" s="27">
        <v>1131.3</v>
      </c>
      <c r="J916" s="27">
        <v>1131.3</v>
      </c>
      <c r="K916" s="27">
        <v>1131.3</v>
      </c>
      <c r="L916" s="27">
        <v>1131.3</v>
      </c>
      <c r="M916" s="27">
        <f>100+1400</f>
        <v>1500</v>
      </c>
      <c r="N916" s="27">
        <v>594.1</v>
      </c>
      <c r="O916" s="27">
        <f t="shared" si="962"/>
        <v>39.60666666666667</v>
      </c>
    </row>
    <row r="917" spans="1:15" ht="15.75">
      <c r="A917" s="24" t="s">
        <v>570</v>
      </c>
      <c r="B917" s="212">
        <v>908</v>
      </c>
      <c r="C917" s="214" t="s">
        <v>286</v>
      </c>
      <c r="D917" s="214" t="s">
        <v>265</v>
      </c>
      <c r="E917" s="214"/>
      <c r="F917" s="214"/>
      <c r="G917" s="22">
        <f>G918+G947</f>
        <v>53711.1</v>
      </c>
      <c r="H917" s="22">
        <f aca="true" t="shared" si="970" ref="H917:L917">H918+H947</f>
        <v>8510</v>
      </c>
      <c r="I917" s="22">
        <f t="shared" si="970"/>
        <v>44351.4</v>
      </c>
      <c r="J917" s="22">
        <f t="shared" si="970"/>
        <v>12383.3</v>
      </c>
      <c r="K917" s="22">
        <f t="shared" si="970"/>
        <v>12383.3</v>
      </c>
      <c r="L917" s="22">
        <f t="shared" si="970"/>
        <v>12383.3</v>
      </c>
      <c r="M917" s="22">
        <f aca="true" t="shared" si="971" ref="M917:N917">M918+M947</f>
        <v>61109.799999999996</v>
      </c>
      <c r="N917" s="22">
        <f t="shared" si="971"/>
        <v>18912.399999999998</v>
      </c>
      <c r="O917" s="22">
        <f t="shared" si="962"/>
        <v>30.94822761651977</v>
      </c>
    </row>
    <row r="918" spans="1:16" ht="82.5" customHeight="1">
      <c r="A918" s="26" t="s">
        <v>655</v>
      </c>
      <c r="B918" s="215">
        <v>908</v>
      </c>
      <c r="C918" s="213" t="s">
        <v>286</v>
      </c>
      <c r="D918" s="213" t="s">
        <v>265</v>
      </c>
      <c r="E918" s="213" t="s">
        <v>571</v>
      </c>
      <c r="F918" s="214"/>
      <c r="G918" s="27">
        <f aca="true" t="shared" si="972" ref="G918:I918">G922+G925+G930+G935+G938+G944+G941</f>
        <v>5427.9</v>
      </c>
      <c r="H918" s="27">
        <f t="shared" si="972"/>
        <v>61.8</v>
      </c>
      <c r="I918" s="27">
        <f t="shared" si="972"/>
        <v>5427.9</v>
      </c>
      <c r="J918" s="27">
        <f>J922+J925+J930+J935+J938+J944+J941</f>
        <v>967</v>
      </c>
      <c r="K918" s="27">
        <f aca="true" t="shared" si="973" ref="K918:M918">K922+K925+K930+K935+K938+K944+K941</f>
        <v>967</v>
      </c>
      <c r="L918" s="27">
        <f t="shared" si="973"/>
        <v>967</v>
      </c>
      <c r="M918" s="27">
        <f t="shared" si="973"/>
        <v>5125.1</v>
      </c>
      <c r="N918" s="27">
        <f aca="true" t="shared" si="974" ref="N918">N922+N925+N930+N935+N938+N944+N941</f>
        <v>2009.2999999999997</v>
      </c>
      <c r="O918" s="27">
        <f t="shared" si="962"/>
        <v>39.20508868119646</v>
      </c>
      <c r="P918" s="139"/>
    </row>
    <row r="919" spans="1:15" ht="47.25" customHeight="1" hidden="1">
      <c r="A919" s="37" t="s">
        <v>572</v>
      </c>
      <c r="B919" s="215">
        <v>908</v>
      </c>
      <c r="C919" s="213" t="s">
        <v>286</v>
      </c>
      <c r="D919" s="213" t="s">
        <v>265</v>
      </c>
      <c r="E919" s="213" t="s">
        <v>573</v>
      </c>
      <c r="F919" s="213"/>
      <c r="G919" s="27">
        <f aca="true" t="shared" si="975" ref="G919:L920">G920</f>
        <v>0</v>
      </c>
      <c r="H919" s="27">
        <f t="shared" si="975"/>
        <v>0</v>
      </c>
      <c r="I919" s="27">
        <f t="shared" si="975"/>
        <v>0</v>
      </c>
      <c r="J919" s="27">
        <f t="shared" si="975"/>
        <v>0</v>
      </c>
      <c r="K919" s="27">
        <f t="shared" si="975"/>
        <v>0</v>
      </c>
      <c r="L919" s="27">
        <f t="shared" si="975"/>
        <v>0</v>
      </c>
      <c r="M919" s="27">
        <f aca="true" t="shared" si="976" ref="M919:N920">M920</f>
        <v>0</v>
      </c>
      <c r="N919" s="27">
        <f t="shared" si="976"/>
        <v>0</v>
      </c>
      <c r="O919" s="27" t="e">
        <f t="shared" si="962"/>
        <v>#DIV/0!</v>
      </c>
    </row>
    <row r="920" spans="1:15" ht="31.5" customHeight="1" hidden="1">
      <c r="A920" s="26" t="s">
        <v>183</v>
      </c>
      <c r="B920" s="215">
        <v>908</v>
      </c>
      <c r="C920" s="213" t="s">
        <v>286</v>
      </c>
      <c r="D920" s="213" t="s">
        <v>265</v>
      </c>
      <c r="E920" s="213" t="s">
        <v>573</v>
      </c>
      <c r="F920" s="213" t="s">
        <v>184</v>
      </c>
      <c r="G920" s="27">
        <f t="shared" si="975"/>
        <v>0</v>
      </c>
      <c r="H920" s="27">
        <f t="shared" si="975"/>
        <v>0</v>
      </c>
      <c r="I920" s="27">
        <f t="shared" si="975"/>
        <v>0</v>
      </c>
      <c r="J920" s="27">
        <f t="shared" si="975"/>
        <v>0</v>
      </c>
      <c r="K920" s="27">
        <f t="shared" si="975"/>
        <v>0</v>
      </c>
      <c r="L920" s="27">
        <f t="shared" si="975"/>
        <v>0</v>
      </c>
      <c r="M920" s="27">
        <f t="shared" si="976"/>
        <v>0</v>
      </c>
      <c r="N920" s="27">
        <f t="shared" si="976"/>
        <v>0</v>
      </c>
      <c r="O920" s="27" t="e">
        <f t="shared" si="962"/>
        <v>#DIV/0!</v>
      </c>
    </row>
    <row r="921" spans="1:15" ht="47.25" customHeight="1" hidden="1">
      <c r="A921" s="26" t="s">
        <v>185</v>
      </c>
      <c r="B921" s="215">
        <v>908</v>
      </c>
      <c r="C921" s="213" t="s">
        <v>286</v>
      </c>
      <c r="D921" s="213" t="s">
        <v>265</v>
      </c>
      <c r="E921" s="213" t="s">
        <v>573</v>
      </c>
      <c r="F921" s="213" t="s">
        <v>186</v>
      </c>
      <c r="G921" s="27">
        <v>0</v>
      </c>
      <c r="H921" s="27">
        <v>0</v>
      </c>
      <c r="I921" s="27">
        <v>0</v>
      </c>
      <c r="J921" s="27">
        <v>0</v>
      </c>
      <c r="K921" s="27">
        <v>0</v>
      </c>
      <c r="L921" s="27">
        <v>0</v>
      </c>
      <c r="M921" s="27">
        <v>0</v>
      </c>
      <c r="N921" s="27">
        <v>0</v>
      </c>
      <c r="O921" s="27" t="e">
        <f t="shared" si="962"/>
        <v>#DIV/0!</v>
      </c>
    </row>
    <row r="922" spans="1:15" ht="15.75">
      <c r="A922" s="47" t="s">
        <v>574</v>
      </c>
      <c r="B922" s="215">
        <v>908</v>
      </c>
      <c r="C922" s="216" t="s">
        <v>286</v>
      </c>
      <c r="D922" s="216" t="s">
        <v>265</v>
      </c>
      <c r="E922" s="213" t="s">
        <v>575</v>
      </c>
      <c r="F922" s="216"/>
      <c r="G922" s="27">
        <f>G923</f>
        <v>450</v>
      </c>
      <c r="H922" s="27">
        <f>H923</f>
        <v>0</v>
      </c>
      <c r="I922" s="27">
        <f aca="true" t="shared" si="977" ref="I922:L923">I923</f>
        <v>450</v>
      </c>
      <c r="J922" s="27">
        <f t="shared" si="977"/>
        <v>450</v>
      </c>
      <c r="K922" s="27">
        <f t="shared" si="977"/>
        <v>450</v>
      </c>
      <c r="L922" s="27">
        <f t="shared" si="977"/>
        <v>450</v>
      </c>
      <c r="M922" s="27">
        <f aca="true" t="shared" si="978" ref="M922:N923">M923</f>
        <v>1588.5</v>
      </c>
      <c r="N922" s="27">
        <f t="shared" si="978"/>
        <v>1548.3</v>
      </c>
      <c r="O922" s="27">
        <f t="shared" si="962"/>
        <v>97.4693106704438</v>
      </c>
    </row>
    <row r="923" spans="1:15" ht="31.5">
      <c r="A923" s="33" t="s">
        <v>183</v>
      </c>
      <c r="B923" s="215">
        <v>908</v>
      </c>
      <c r="C923" s="216" t="s">
        <v>286</v>
      </c>
      <c r="D923" s="216" t="s">
        <v>265</v>
      </c>
      <c r="E923" s="213" t="s">
        <v>575</v>
      </c>
      <c r="F923" s="216" t="s">
        <v>184</v>
      </c>
      <c r="G923" s="27">
        <f>G924</f>
        <v>450</v>
      </c>
      <c r="H923" s="27">
        <f>H924</f>
        <v>0</v>
      </c>
      <c r="I923" s="27">
        <f t="shared" si="977"/>
        <v>450</v>
      </c>
      <c r="J923" s="27">
        <f t="shared" si="977"/>
        <v>450</v>
      </c>
      <c r="K923" s="27">
        <f t="shared" si="977"/>
        <v>450</v>
      </c>
      <c r="L923" s="27">
        <f t="shared" si="977"/>
        <v>450</v>
      </c>
      <c r="M923" s="27">
        <f t="shared" si="978"/>
        <v>1588.5</v>
      </c>
      <c r="N923" s="27">
        <f t="shared" si="978"/>
        <v>1548.3</v>
      </c>
      <c r="O923" s="27">
        <f t="shared" si="962"/>
        <v>97.4693106704438</v>
      </c>
    </row>
    <row r="924" spans="1:17" ht="47.25">
      <c r="A924" s="33" t="s">
        <v>185</v>
      </c>
      <c r="B924" s="215">
        <v>908</v>
      </c>
      <c r="C924" s="216" t="s">
        <v>286</v>
      </c>
      <c r="D924" s="216" t="s">
        <v>265</v>
      </c>
      <c r="E924" s="213" t="s">
        <v>575</v>
      </c>
      <c r="F924" s="216" t="s">
        <v>186</v>
      </c>
      <c r="G924" s="27">
        <v>450</v>
      </c>
      <c r="H924" s="27">
        <v>0</v>
      </c>
      <c r="I924" s="27">
        <v>450</v>
      </c>
      <c r="J924" s="27">
        <v>450</v>
      </c>
      <c r="K924" s="27">
        <v>450</v>
      </c>
      <c r="L924" s="27">
        <v>450</v>
      </c>
      <c r="M924" s="27">
        <f>450+1200+78.5+169+81-390</f>
        <v>1588.5</v>
      </c>
      <c r="N924" s="27">
        <v>1548.3</v>
      </c>
      <c r="O924" s="27">
        <f t="shared" si="962"/>
        <v>97.4693106704438</v>
      </c>
      <c r="Q924" s="132"/>
    </row>
    <row r="925" spans="1:15" ht="15.75">
      <c r="A925" s="47" t="s">
        <v>576</v>
      </c>
      <c r="B925" s="215">
        <v>908</v>
      </c>
      <c r="C925" s="216" t="s">
        <v>286</v>
      </c>
      <c r="D925" s="216" t="s">
        <v>265</v>
      </c>
      <c r="E925" s="213" t="s">
        <v>577</v>
      </c>
      <c r="F925" s="216"/>
      <c r="G925" s="27">
        <f>G926</f>
        <v>3107</v>
      </c>
      <c r="H925" s="27">
        <f>H926</f>
        <v>0</v>
      </c>
      <c r="I925" s="27">
        <f aca="true" t="shared" si="979" ref="I925:L926">I926</f>
        <v>3107</v>
      </c>
      <c r="J925" s="27">
        <f t="shared" si="979"/>
        <v>160</v>
      </c>
      <c r="K925" s="27">
        <f t="shared" si="979"/>
        <v>160</v>
      </c>
      <c r="L925" s="27">
        <f t="shared" si="979"/>
        <v>160</v>
      </c>
      <c r="M925" s="27">
        <f>M926+M928</f>
        <v>40.6</v>
      </c>
      <c r="N925" s="27">
        <f aca="true" t="shared" si="980" ref="N925">N926+N928</f>
        <v>40.6</v>
      </c>
      <c r="O925" s="27">
        <f t="shared" si="962"/>
        <v>100</v>
      </c>
    </row>
    <row r="926" spans="1:15" ht="31.5" hidden="1">
      <c r="A926" s="33" t="s">
        <v>183</v>
      </c>
      <c r="B926" s="215">
        <v>908</v>
      </c>
      <c r="C926" s="216" t="s">
        <v>286</v>
      </c>
      <c r="D926" s="216" t="s">
        <v>265</v>
      </c>
      <c r="E926" s="213" t="s">
        <v>577</v>
      </c>
      <c r="F926" s="216" t="s">
        <v>184</v>
      </c>
      <c r="G926" s="27">
        <f>G927</f>
        <v>3107</v>
      </c>
      <c r="H926" s="27">
        <f>H927</f>
        <v>0</v>
      </c>
      <c r="I926" s="27">
        <f t="shared" si="979"/>
        <v>3107</v>
      </c>
      <c r="J926" s="27">
        <f t="shared" si="979"/>
        <v>160</v>
      </c>
      <c r="K926" s="27">
        <f t="shared" si="979"/>
        <v>160</v>
      </c>
      <c r="L926" s="27">
        <f t="shared" si="979"/>
        <v>160</v>
      </c>
      <c r="M926" s="27">
        <f aca="true" t="shared" si="981" ref="M926:N926">M927</f>
        <v>0</v>
      </c>
      <c r="N926" s="27">
        <f t="shared" si="981"/>
        <v>0</v>
      </c>
      <c r="O926" s="27" t="e">
        <f t="shared" si="962"/>
        <v>#DIV/0!</v>
      </c>
    </row>
    <row r="927" spans="1:15" ht="47.25" hidden="1">
      <c r="A927" s="33" t="s">
        <v>185</v>
      </c>
      <c r="B927" s="215">
        <v>908</v>
      </c>
      <c r="C927" s="216" t="s">
        <v>286</v>
      </c>
      <c r="D927" s="216" t="s">
        <v>265</v>
      </c>
      <c r="E927" s="213" t="s">
        <v>577</v>
      </c>
      <c r="F927" s="216" t="s">
        <v>186</v>
      </c>
      <c r="G927" s="7">
        <f>110+20+2977</f>
        <v>3107</v>
      </c>
      <c r="H927" s="7">
        <v>0</v>
      </c>
      <c r="I927" s="7">
        <f aca="true" t="shared" si="982" ref="I927">110+20+2977</f>
        <v>3107</v>
      </c>
      <c r="J927" s="7">
        <f aca="true" t="shared" si="983" ref="J927:L927">25+135</f>
        <v>160</v>
      </c>
      <c r="K927" s="7">
        <f t="shared" si="983"/>
        <v>160</v>
      </c>
      <c r="L927" s="7">
        <f t="shared" si="983"/>
        <v>160</v>
      </c>
      <c r="M927" s="7">
        <f>160+440+200-800</f>
        <v>0</v>
      </c>
      <c r="N927" s="7">
        <f aca="true" t="shared" si="984" ref="N927">160+440+200-800</f>
        <v>0</v>
      </c>
      <c r="O927" s="27" t="e">
        <f t="shared" si="962"/>
        <v>#DIV/0!</v>
      </c>
    </row>
    <row r="928" spans="1:15" ht="15.75">
      <c r="A928" s="26" t="s">
        <v>187</v>
      </c>
      <c r="B928" s="215">
        <v>908</v>
      </c>
      <c r="C928" s="216" t="s">
        <v>286</v>
      </c>
      <c r="D928" s="216" t="s">
        <v>265</v>
      </c>
      <c r="E928" s="213" t="s">
        <v>577</v>
      </c>
      <c r="F928" s="216" t="s">
        <v>197</v>
      </c>
      <c r="G928" s="7"/>
      <c r="H928" s="7"/>
      <c r="I928" s="7"/>
      <c r="J928" s="7"/>
      <c r="K928" s="7"/>
      <c r="L928" s="7"/>
      <c r="M928" s="7">
        <f>M929</f>
        <v>40.6</v>
      </c>
      <c r="N928" s="7">
        <f aca="true" t="shared" si="985" ref="N928">N929</f>
        <v>40.6</v>
      </c>
      <c r="O928" s="27">
        <f t="shared" si="962"/>
        <v>100</v>
      </c>
    </row>
    <row r="929" spans="1:15" ht="15.75">
      <c r="A929" s="26" t="s">
        <v>198</v>
      </c>
      <c r="B929" s="215">
        <v>908</v>
      </c>
      <c r="C929" s="216" t="s">
        <v>286</v>
      </c>
      <c r="D929" s="216" t="s">
        <v>265</v>
      </c>
      <c r="E929" s="213" t="s">
        <v>577</v>
      </c>
      <c r="F929" s="216" t="s">
        <v>199</v>
      </c>
      <c r="G929" s="7"/>
      <c r="H929" s="7"/>
      <c r="I929" s="7"/>
      <c r="J929" s="7"/>
      <c r="K929" s="7"/>
      <c r="L929" s="7"/>
      <c r="M929" s="7">
        <v>40.6</v>
      </c>
      <c r="N929" s="7">
        <v>40.6</v>
      </c>
      <c r="O929" s="27">
        <f t="shared" si="962"/>
        <v>100</v>
      </c>
    </row>
    <row r="930" spans="1:15" ht="15.75">
      <c r="A930" s="47" t="s">
        <v>578</v>
      </c>
      <c r="B930" s="215">
        <v>908</v>
      </c>
      <c r="C930" s="216" t="s">
        <v>286</v>
      </c>
      <c r="D930" s="216" t="s">
        <v>265</v>
      </c>
      <c r="E930" s="213" t="s">
        <v>579</v>
      </c>
      <c r="F930" s="216"/>
      <c r="G930" s="27">
        <f>G931</f>
        <v>1389.8999999999999</v>
      </c>
      <c r="H930" s="27">
        <f>H931</f>
        <v>36.5</v>
      </c>
      <c r="I930" s="27">
        <f aca="true" t="shared" si="986" ref="I930:L931">I931</f>
        <v>1389.8999999999999</v>
      </c>
      <c r="J930" s="27">
        <f t="shared" si="986"/>
        <v>40</v>
      </c>
      <c r="K930" s="27">
        <f t="shared" si="986"/>
        <v>40</v>
      </c>
      <c r="L930" s="27">
        <f t="shared" si="986"/>
        <v>40</v>
      </c>
      <c r="M930" s="27">
        <f>M931+M933</f>
        <v>1434.7</v>
      </c>
      <c r="N930" s="27">
        <f aca="true" t="shared" si="987" ref="N930">N931+N933</f>
        <v>420.4</v>
      </c>
      <c r="O930" s="27">
        <f t="shared" si="962"/>
        <v>29.302293162333587</v>
      </c>
    </row>
    <row r="931" spans="1:15" ht="31.5">
      <c r="A931" s="33" t="s">
        <v>183</v>
      </c>
      <c r="B931" s="215">
        <v>908</v>
      </c>
      <c r="C931" s="216" t="s">
        <v>286</v>
      </c>
      <c r="D931" s="216" t="s">
        <v>265</v>
      </c>
      <c r="E931" s="213" t="s">
        <v>579</v>
      </c>
      <c r="F931" s="216" t="s">
        <v>184</v>
      </c>
      <c r="G931" s="27">
        <f>G932</f>
        <v>1389.8999999999999</v>
      </c>
      <c r="H931" s="27">
        <f>H932</f>
        <v>36.5</v>
      </c>
      <c r="I931" s="27">
        <f t="shared" si="986"/>
        <v>1389.8999999999999</v>
      </c>
      <c r="J931" s="27">
        <f t="shared" si="986"/>
        <v>40</v>
      </c>
      <c r="K931" s="27">
        <f t="shared" si="986"/>
        <v>40</v>
      </c>
      <c r="L931" s="27">
        <f t="shared" si="986"/>
        <v>40</v>
      </c>
      <c r="M931" s="27">
        <f>M932</f>
        <v>1433.9</v>
      </c>
      <c r="N931" s="27">
        <f aca="true" t="shared" si="988" ref="N931">N932</f>
        <v>419.7</v>
      </c>
      <c r="O931" s="27">
        <f t="shared" si="962"/>
        <v>29.269823558128177</v>
      </c>
    </row>
    <row r="932" spans="1:18" ht="47.25">
      <c r="A932" s="33" t="s">
        <v>185</v>
      </c>
      <c r="B932" s="215">
        <v>908</v>
      </c>
      <c r="C932" s="216" t="s">
        <v>286</v>
      </c>
      <c r="D932" s="216" t="s">
        <v>265</v>
      </c>
      <c r="E932" s="213" t="s">
        <v>579</v>
      </c>
      <c r="F932" s="216" t="s">
        <v>186</v>
      </c>
      <c r="G932" s="7">
        <f>10+30+3534.6-2200+15.3</f>
        <v>1389.8999999999999</v>
      </c>
      <c r="H932" s="7">
        <v>36.5</v>
      </c>
      <c r="I932" s="7">
        <f aca="true" t="shared" si="989" ref="I932">10+30+3534.6-2200+15.3</f>
        <v>1389.8999999999999</v>
      </c>
      <c r="J932" s="7">
        <f aca="true" t="shared" si="990" ref="J932:L932">10+30</f>
        <v>40</v>
      </c>
      <c r="K932" s="7">
        <f t="shared" si="990"/>
        <v>40</v>
      </c>
      <c r="L932" s="7">
        <f t="shared" si="990"/>
        <v>40</v>
      </c>
      <c r="M932" s="7">
        <f>40+627+1150-637-0.8-630+390+300+194.7</f>
        <v>1433.9</v>
      </c>
      <c r="N932" s="7">
        <v>419.7</v>
      </c>
      <c r="O932" s="27">
        <f t="shared" si="962"/>
        <v>29.269823558128177</v>
      </c>
      <c r="Q932" s="132"/>
      <c r="R932" s="132"/>
    </row>
    <row r="933" spans="1:15" ht="15.75">
      <c r="A933" s="26" t="s">
        <v>187</v>
      </c>
      <c r="B933" s="215">
        <v>908</v>
      </c>
      <c r="C933" s="216" t="s">
        <v>286</v>
      </c>
      <c r="D933" s="216" t="s">
        <v>265</v>
      </c>
      <c r="E933" s="213" t="s">
        <v>579</v>
      </c>
      <c r="F933" s="216" t="s">
        <v>197</v>
      </c>
      <c r="G933" s="7"/>
      <c r="H933" s="7"/>
      <c r="I933" s="7"/>
      <c r="J933" s="7"/>
      <c r="K933" s="7"/>
      <c r="L933" s="7"/>
      <c r="M933" s="7">
        <f>M934</f>
        <v>0.8</v>
      </c>
      <c r="N933" s="7">
        <f aca="true" t="shared" si="991" ref="N933">N934</f>
        <v>0.7</v>
      </c>
      <c r="O933" s="27">
        <f t="shared" si="962"/>
        <v>87.49999999999999</v>
      </c>
    </row>
    <row r="934" spans="1:15" ht="15.75">
      <c r="A934" s="26" t="s">
        <v>801</v>
      </c>
      <c r="B934" s="215">
        <v>908</v>
      </c>
      <c r="C934" s="216" t="s">
        <v>286</v>
      </c>
      <c r="D934" s="216" t="s">
        <v>265</v>
      </c>
      <c r="E934" s="213" t="s">
        <v>579</v>
      </c>
      <c r="F934" s="216" t="s">
        <v>190</v>
      </c>
      <c r="G934" s="7"/>
      <c r="H934" s="7"/>
      <c r="I934" s="7"/>
      <c r="J934" s="7"/>
      <c r="K934" s="7"/>
      <c r="L934" s="7"/>
      <c r="M934" s="7">
        <v>0.8</v>
      </c>
      <c r="N934" s="7">
        <v>0.7</v>
      </c>
      <c r="O934" s="27">
        <f t="shared" si="962"/>
        <v>87.49999999999999</v>
      </c>
    </row>
    <row r="935" spans="1:15" ht="15.75">
      <c r="A935" s="47" t="s">
        <v>580</v>
      </c>
      <c r="B935" s="215">
        <v>908</v>
      </c>
      <c r="C935" s="216" t="s">
        <v>286</v>
      </c>
      <c r="D935" s="216" t="s">
        <v>265</v>
      </c>
      <c r="E935" s="213" t="s">
        <v>581</v>
      </c>
      <c r="F935" s="216"/>
      <c r="G935" s="27">
        <f>G936</f>
        <v>159.10000000000002</v>
      </c>
      <c r="H935" s="27">
        <f>H936</f>
        <v>13.3</v>
      </c>
      <c r="I935" s="27">
        <f aca="true" t="shared" si="992" ref="I935:L936">I936</f>
        <v>159.10000000000002</v>
      </c>
      <c r="J935" s="27">
        <f t="shared" si="992"/>
        <v>305</v>
      </c>
      <c r="K935" s="27">
        <f t="shared" si="992"/>
        <v>305</v>
      </c>
      <c r="L935" s="27">
        <f t="shared" si="992"/>
        <v>305</v>
      </c>
      <c r="M935" s="27">
        <f aca="true" t="shared" si="993" ref="M935:N936">M936</f>
        <v>1930.3</v>
      </c>
      <c r="N935" s="27">
        <f t="shared" si="993"/>
        <v>0</v>
      </c>
      <c r="O935" s="27">
        <f t="shared" si="962"/>
        <v>0</v>
      </c>
    </row>
    <row r="936" spans="1:15" ht="31.5">
      <c r="A936" s="33" t="s">
        <v>183</v>
      </c>
      <c r="B936" s="215">
        <v>908</v>
      </c>
      <c r="C936" s="216" t="s">
        <v>286</v>
      </c>
      <c r="D936" s="216" t="s">
        <v>265</v>
      </c>
      <c r="E936" s="213" t="s">
        <v>581</v>
      </c>
      <c r="F936" s="216" t="s">
        <v>184</v>
      </c>
      <c r="G936" s="27">
        <f>G937</f>
        <v>159.10000000000002</v>
      </c>
      <c r="H936" s="27">
        <f>H937</f>
        <v>13.3</v>
      </c>
      <c r="I936" s="27">
        <f t="shared" si="992"/>
        <v>159.10000000000002</v>
      </c>
      <c r="J936" s="27">
        <f t="shared" si="992"/>
        <v>305</v>
      </c>
      <c r="K936" s="27">
        <f t="shared" si="992"/>
        <v>305</v>
      </c>
      <c r="L936" s="27">
        <f t="shared" si="992"/>
        <v>305</v>
      </c>
      <c r="M936" s="27">
        <f t="shared" si="993"/>
        <v>1930.3</v>
      </c>
      <c r="N936" s="27">
        <f t="shared" si="993"/>
        <v>0</v>
      </c>
      <c r="O936" s="27">
        <f t="shared" si="962"/>
        <v>0</v>
      </c>
    </row>
    <row r="937" spans="1:17" ht="47.25">
      <c r="A937" s="33" t="s">
        <v>185</v>
      </c>
      <c r="B937" s="215">
        <v>908</v>
      </c>
      <c r="C937" s="216" t="s">
        <v>286</v>
      </c>
      <c r="D937" s="216" t="s">
        <v>265</v>
      </c>
      <c r="E937" s="213" t="s">
        <v>581</v>
      </c>
      <c r="F937" s="216" t="s">
        <v>186</v>
      </c>
      <c r="G937" s="7">
        <f>250+5+681.1-522-255</f>
        <v>159.10000000000002</v>
      </c>
      <c r="H937" s="7">
        <v>13.3</v>
      </c>
      <c r="I937" s="7">
        <f aca="true" t="shared" si="994" ref="I937">250+5+681.1-522-255</f>
        <v>159.10000000000002</v>
      </c>
      <c r="J937" s="7">
        <f aca="true" t="shared" si="995" ref="J937:L937">300+5</f>
        <v>305</v>
      </c>
      <c r="K937" s="7">
        <f t="shared" si="995"/>
        <v>305</v>
      </c>
      <c r="L937" s="7">
        <f t="shared" si="995"/>
        <v>305</v>
      </c>
      <c r="M937" s="7">
        <f>305+122+300+468+1361-131-300-194.7</f>
        <v>1930.3</v>
      </c>
      <c r="N937" s="7">
        <v>0</v>
      </c>
      <c r="O937" s="27">
        <f t="shared" si="962"/>
        <v>0</v>
      </c>
      <c r="Q937" s="132"/>
    </row>
    <row r="938" spans="1:15" ht="15.75">
      <c r="A938" s="47" t="s">
        <v>582</v>
      </c>
      <c r="B938" s="215">
        <v>908</v>
      </c>
      <c r="C938" s="216" t="s">
        <v>286</v>
      </c>
      <c r="D938" s="216" t="s">
        <v>265</v>
      </c>
      <c r="E938" s="213" t="s">
        <v>583</v>
      </c>
      <c r="F938" s="216"/>
      <c r="G938" s="27">
        <f>G939</f>
        <v>272.9</v>
      </c>
      <c r="H938" s="27">
        <f>H939</f>
        <v>1.9</v>
      </c>
      <c r="I938" s="27">
        <f aca="true" t="shared" si="996" ref="I938:L939">I939</f>
        <v>272.9</v>
      </c>
      <c r="J938" s="27">
        <f t="shared" si="996"/>
        <v>2</v>
      </c>
      <c r="K938" s="27">
        <f t="shared" si="996"/>
        <v>2</v>
      </c>
      <c r="L938" s="27">
        <f t="shared" si="996"/>
        <v>2</v>
      </c>
      <c r="M938" s="27">
        <f aca="true" t="shared" si="997" ref="M938:N939">M939</f>
        <v>131</v>
      </c>
      <c r="N938" s="27">
        <f t="shared" si="997"/>
        <v>0</v>
      </c>
      <c r="O938" s="27">
        <f t="shared" si="962"/>
        <v>0</v>
      </c>
    </row>
    <row r="939" spans="1:15" ht="31.5">
      <c r="A939" s="33" t="s">
        <v>183</v>
      </c>
      <c r="B939" s="215">
        <v>908</v>
      </c>
      <c r="C939" s="216" t="s">
        <v>286</v>
      </c>
      <c r="D939" s="216" t="s">
        <v>265</v>
      </c>
      <c r="E939" s="213" t="s">
        <v>583</v>
      </c>
      <c r="F939" s="216" t="s">
        <v>184</v>
      </c>
      <c r="G939" s="27">
        <f>G940</f>
        <v>272.9</v>
      </c>
      <c r="H939" s="27">
        <f>H940</f>
        <v>1.9</v>
      </c>
      <c r="I939" s="27">
        <f t="shared" si="996"/>
        <v>272.9</v>
      </c>
      <c r="J939" s="27">
        <f t="shared" si="996"/>
        <v>2</v>
      </c>
      <c r="K939" s="27">
        <f t="shared" si="996"/>
        <v>2</v>
      </c>
      <c r="L939" s="27">
        <f t="shared" si="996"/>
        <v>2</v>
      </c>
      <c r="M939" s="27">
        <f t="shared" si="997"/>
        <v>131</v>
      </c>
      <c r="N939" s="27">
        <f t="shared" si="997"/>
        <v>0</v>
      </c>
      <c r="O939" s="27">
        <f t="shared" si="962"/>
        <v>0</v>
      </c>
    </row>
    <row r="940" spans="1:15" ht="47.25">
      <c r="A940" s="33" t="s">
        <v>185</v>
      </c>
      <c r="B940" s="215">
        <v>908</v>
      </c>
      <c r="C940" s="216" t="s">
        <v>286</v>
      </c>
      <c r="D940" s="216" t="s">
        <v>265</v>
      </c>
      <c r="E940" s="213" t="s">
        <v>583</v>
      </c>
      <c r="F940" s="216" t="s">
        <v>186</v>
      </c>
      <c r="G940" s="27">
        <f>2+286.2-15.3</f>
        <v>272.9</v>
      </c>
      <c r="H940" s="27">
        <v>1.9</v>
      </c>
      <c r="I940" s="27">
        <f aca="true" t="shared" si="998" ref="I940">2+286.2-15.3</f>
        <v>272.9</v>
      </c>
      <c r="J940" s="27">
        <v>2</v>
      </c>
      <c r="K940" s="27">
        <v>2</v>
      </c>
      <c r="L940" s="27">
        <v>2</v>
      </c>
      <c r="M940" s="27">
        <f>2-2+131</f>
        <v>131</v>
      </c>
      <c r="N940" s="27">
        <v>0</v>
      </c>
      <c r="O940" s="27">
        <f t="shared" si="962"/>
        <v>0</v>
      </c>
    </row>
    <row r="941" spans="1:15" ht="31.5" customHeight="1" hidden="1">
      <c r="A941" s="205" t="s">
        <v>584</v>
      </c>
      <c r="B941" s="215">
        <v>908</v>
      </c>
      <c r="C941" s="216" t="s">
        <v>286</v>
      </c>
      <c r="D941" s="216" t="s">
        <v>265</v>
      </c>
      <c r="E941" s="213" t="s">
        <v>585</v>
      </c>
      <c r="F941" s="216"/>
      <c r="G941" s="27">
        <f>G942</f>
        <v>0</v>
      </c>
      <c r="H941" s="27">
        <v>0</v>
      </c>
      <c r="I941" s="27">
        <f aca="true" t="shared" si="999" ref="I941:L942">I942</f>
        <v>0</v>
      </c>
      <c r="J941" s="27">
        <f t="shared" si="999"/>
        <v>0</v>
      </c>
      <c r="K941" s="27">
        <f t="shared" si="999"/>
        <v>0</v>
      </c>
      <c r="L941" s="27">
        <f t="shared" si="999"/>
        <v>0</v>
      </c>
      <c r="M941" s="27">
        <f aca="true" t="shared" si="1000" ref="M941:N942">M942</f>
        <v>0</v>
      </c>
      <c r="N941" s="27">
        <f t="shared" si="1000"/>
        <v>0</v>
      </c>
      <c r="O941" s="27" t="e">
        <f t="shared" si="962"/>
        <v>#DIV/0!</v>
      </c>
    </row>
    <row r="942" spans="1:15" ht="31.5" customHeight="1" hidden="1">
      <c r="A942" s="33" t="s">
        <v>183</v>
      </c>
      <c r="B942" s="215">
        <v>908</v>
      </c>
      <c r="C942" s="216" t="s">
        <v>286</v>
      </c>
      <c r="D942" s="216" t="s">
        <v>265</v>
      </c>
      <c r="E942" s="213" t="s">
        <v>585</v>
      </c>
      <c r="F942" s="216" t="s">
        <v>184</v>
      </c>
      <c r="G942" s="27">
        <f>G943</f>
        <v>0</v>
      </c>
      <c r="H942" s="27">
        <v>0</v>
      </c>
      <c r="I942" s="27">
        <f t="shared" si="999"/>
        <v>0</v>
      </c>
      <c r="J942" s="27">
        <f t="shared" si="999"/>
        <v>0</v>
      </c>
      <c r="K942" s="27">
        <f t="shared" si="999"/>
        <v>0</v>
      </c>
      <c r="L942" s="27">
        <f t="shared" si="999"/>
        <v>0</v>
      </c>
      <c r="M942" s="27">
        <f t="shared" si="1000"/>
        <v>0</v>
      </c>
      <c r="N942" s="27">
        <f t="shared" si="1000"/>
        <v>0</v>
      </c>
      <c r="O942" s="27" t="e">
        <f t="shared" si="962"/>
        <v>#DIV/0!</v>
      </c>
    </row>
    <row r="943" spans="1:15" ht="47.25" customHeight="1" hidden="1">
      <c r="A943" s="33" t="s">
        <v>185</v>
      </c>
      <c r="B943" s="215">
        <v>908</v>
      </c>
      <c r="C943" s="216" t="s">
        <v>286</v>
      </c>
      <c r="D943" s="216" t="s">
        <v>265</v>
      </c>
      <c r="E943" s="213" t="s">
        <v>585</v>
      </c>
      <c r="F943" s="216" t="s">
        <v>186</v>
      </c>
      <c r="G943" s="27">
        <v>0</v>
      </c>
      <c r="H943" s="27">
        <v>0</v>
      </c>
      <c r="I943" s="27">
        <v>0</v>
      </c>
      <c r="J943" s="27">
        <v>0</v>
      </c>
      <c r="K943" s="27">
        <v>0</v>
      </c>
      <c r="L943" s="27">
        <v>0</v>
      </c>
      <c r="M943" s="27">
        <v>0</v>
      </c>
      <c r="N943" s="27">
        <v>0</v>
      </c>
      <c r="O943" s="27" t="e">
        <f t="shared" si="962"/>
        <v>#DIV/0!</v>
      </c>
    </row>
    <row r="944" spans="1:15" ht="15.75" hidden="1">
      <c r="A944" s="205" t="s">
        <v>586</v>
      </c>
      <c r="B944" s="215">
        <v>908</v>
      </c>
      <c r="C944" s="216" t="s">
        <v>286</v>
      </c>
      <c r="D944" s="216" t="s">
        <v>265</v>
      </c>
      <c r="E944" s="213" t="s">
        <v>587</v>
      </c>
      <c r="F944" s="216"/>
      <c r="G944" s="27">
        <f>G945</f>
        <v>49</v>
      </c>
      <c r="H944" s="27">
        <f>H945</f>
        <v>10.1</v>
      </c>
      <c r="I944" s="27">
        <f aca="true" t="shared" si="1001" ref="I944:L945">I945</f>
        <v>49</v>
      </c>
      <c r="J944" s="27">
        <f t="shared" si="1001"/>
        <v>10</v>
      </c>
      <c r="K944" s="27">
        <f t="shared" si="1001"/>
        <v>10</v>
      </c>
      <c r="L944" s="27">
        <f t="shared" si="1001"/>
        <v>10</v>
      </c>
      <c r="M944" s="27">
        <f aca="true" t="shared" si="1002" ref="M944:N945">M945</f>
        <v>0</v>
      </c>
      <c r="N944" s="27">
        <f t="shared" si="1002"/>
        <v>0</v>
      </c>
      <c r="O944" s="27" t="e">
        <f t="shared" si="962"/>
        <v>#DIV/0!</v>
      </c>
    </row>
    <row r="945" spans="1:15" ht="31.5" hidden="1">
      <c r="A945" s="26" t="s">
        <v>183</v>
      </c>
      <c r="B945" s="215">
        <v>908</v>
      </c>
      <c r="C945" s="216" t="s">
        <v>286</v>
      </c>
      <c r="D945" s="216" t="s">
        <v>265</v>
      </c>
      <c r="E945" s="213" t="s">
        <v>587</v>
      </c>
      <c r="F945" s="216" t="s">
        <v>184</v>
      </c>
      <c r="G945" s="27">
        <f>G946</f>
        <v>49</v>
      </c>
      <c r="H945" s="27">
        <f>H946</f>
        <v>10.1</v>
      </c>
      <c r="I945" s="27">
        <f t="shared" si="1001"/>
        <v>49</v>
      </c>
      <c r="J945" s="27">
        <f t="shared" si="1001"/>
        <v>10</v>
      </c>
      <c r="K945" s="27">
        <f t="shared" si="1001"/>
        <v>10</v>
      </c>
      <c r="L945" s="27">
        <f t="shared" si="1001"/>
        <v>10</v>
      </c>
      <c r="M945" s="27">
        <f t="shared" si="1002"/>
        <v>0</v>
      </c>
      <c r="N945" s="27">
        <f t="shared" si="1002"/>
        <v>0</v>
      </c>
      <c r="O945" s="27" t="e">
        <f t="shared" si="962"/>
        <v>#DIV/0!</v>
      </c>
    </row>
    <row r="946" spans="1:15" ht="47.25" hidden="1">
      <c r="A946" s="26" t="s">
        <v>185</v>
      </c>
      <c r="B946" s="215">
        <v>908</v>
      </c>
      <c r="C946" s="216" t="s">
        <v>286</v>
      </c>
      <c r="D946" s="216" t="s">
        <v>265</v>
      </c>
      <c r="E946" s="213" t="s">
        <v>587</v>
      </c>
      <c r="F946" s="216" t="s">
        <v>186</v>
      </c>
      <c r="G946" s="27">
        <f>15+174-140</f>
        <v>49</v>
      </c>
      <c r="H946" s="27">
        <v>10.1</v>
      </c>
      <c r="I946" s="27">
        <f aca="true" t="shared" si="1003" ref="I946">15+174-140</f>
        <v>49</v>
      </c>
      <c r="J946" s="27">
        <v>10</v>
      </c>
      <c r="K946" s="27">
        <v>10</v>
      </c>
      <c r="L946" s="27">
        <v>10</v>
      </c>
      <c r="M946" s="27">
        <f>10-10</f>
        <v>0</v>
      </c>
      <c r="N946" s="27">
        <f aca="true" t="shared" si="1004" ref="N946">10-10</f>
        <v>0</v>
      </c>
      <c r="O946" s="27" t="e">
        <f t="shared" si="962"/>
        <v>#DIV/0!</v>
      </c>
    </row>
    <row r="947" spans="1:15" ht="15.75">
      <c r="A947" s="26" t="s">
        <v>173</v>
      </c>
      <c r="B947" s="215">
        <v>908</v>
      </c>
      <c r="C947" s="213" t="s">
        <v>286</v>
      </c>
      <c r="D947" s="213" t="s">
        <v>265</v>
      </c>
      <c r="E947" s="213" t="s">
        <v>174</v>
      </c>
      <c r="F947" s="213"/>
      <c r="G947" s="27">
        <f>G948+G960</f>
        <v>48283.2</v>
      </c>
      <c r="H947" s="27">
        <f>H948+H960</f>
        <v>8448.2</v>
      </c>
      <c r="I947" s="27">
        <f aca="true" t="shared" si="1005" ref="I947:L947">I948+I960</f>
        <v>38923.5</v>
      </c>
      <c r="J947" s="27">
        <f t="shared" si="1005"/>
        <v>11416.3</v>
      </c>
      <c r="K947" s="27">
        <f t="shared" si="1005"/>
        <v>11416.3</v>
      </c>
      <c r="L947" s="27">
        <f t="shared" si="1005"/>
        <v>11416.3</v>
      </c>
      <c r="M947" s="27">
        <f aca="true" t="shared" si="1006" ref="M947:N947">M948+M960</f>
        <v>55984.7</v>
      </c>
      <c r="N947" s="27">
        <f t="shared" si="1006"/>
        <v>16903.1</v>
      </c>
      <c r="O947" s="27">
        <f t="shared" si="962"/>
        <v>30.192356125870102</v>
      </c>
    </row>
    <row r="948" spans="1:15" ht="31.5">
      <c r="A948" s="26" t="s">
        <v>237</v>
      </c>
      <c r="B948" s="215">
        <v>908</v>
      </c>
      <c r="C948" s="213" t="s">
        <v>286</v>
      </c>
      <c r="D948" s="213" t="s">
        <v>265</v>
      </c>
      <c r="E948" s="213" t="s">
        <v>238</v>
      </c>
      <c r="F948" s="213"/>
      <c r="G948" s="27">
        <f>G949+G952+G957</f>
        <v>25111.2</v>
      </c>
      <c r="H948" s="27">
        <f>H949+H952+H957</f>
        <v>5518</v>
      </c>
      <c r="I948" s="27">
        <f aca="true" t="shared" si="1007" ref="I948:L948">I949+I952+I957</f>
        <v>25111.2</v>
      </c>
      <c r="J948" s="27">
        <f t="shared" si="1007"/>
        <v>0</v>
      </c>
      <c r="K948" s="27">
        <f t="shared" si="1007"/>
        <v>0</v>
      </c>
      <c r="L948" s="27">
        <f t="shared" si="1007"/>
        <v>0</v>
      </c>
      <c r="M948" s="27">
        <f aca="true" t="shared" si="1008" ref="M948:N948">M949+M952+M957</f>
        <v>16042</v>
      </c>
      <c r="N948" s="27">
        <f t="shared" si="1008"/>
        <v>16042</v>
      </c>
      <c r="O948" s="27">
        <f t="shared" si="962"/>
        <v>100</v>
      </c>
    </row>
    <row r="949" spans="1:15" ht="47.25" hidden="1">
      <c r="A949" s="123" t="s">
        <v>764</v>
      </c>
      <c r="B949" s="215">
        <v>908</v>
      </c>
      <c r="C949" s="213" t="s">
        <v>286</v>
      </c>
      <c r="D949" s="213" t="s">
        <v>265</v>
      </c>
      <c r="E949" s="213" t="s">
        <v>588</v>
      </c>
      <c r="F949" s="213"/>
      <c r="G949" s="27">
        <f>G950</f>
        <v>5000</v>
      </c>
      <c r="H949" s="27">
        <f>H950</f>
        <v>5000</v>
      </c>
      <c r="I949" s="27">
        <f aca="true" t="shared" si="1009" ref="I949:L950">I950</f>
        <v>5000</v>
      </c>
      <c r="J949" s="27">
        <f t="shared" si="1009"/>
        <v>0</v>
      </c>
      <c r="K949" s="27">
        <f t="shared" si="1009"/>
        <v>0</v>
      </c>
      <c r="L949" s="27">
        <f t="shared" si="1009"/>
        <v>0</v>
      </c>
      <c r="M949" s="27">
        <f aca="true" t="shared" si="1010" ref="M949:N950">M950</f>
        <v>0</v>
      </c>
      <c r="N949" s="27">
        <f t="shared" si="1010"/>
        <v>0</v>
      </c>
      <c r="O949" s="27" t="e">
        <f t="shared" si="962"/>
        <v>#DIV/0!</v>
      </c>
    </row>
    <row r="950" spans="1:15" ht="31.5" hidden="1">
      <c r="A950" s="26" t="s">
        <v>183</v>
      </c>
      <c r="B950" s="215">
        <v>908</v>
      </c>
      <c r="C950" s="213" t="s">
        <v>286</v>
      </c>
      <c r="D950" s="213" t="s">
        <v>265</v>
      </c>
      <c r="E950" s="213" t="s">
        <v>588</v>
      </c>
      <c r="F950" s="213" t="s">
        <v>184</v>
      </c>
      <c r="G950" s="27">
        <f>G951</f>
        <v>5000</v>
      </c>
      <c r="H950" s="27">
        <f>H951</f>
        <v>5000</v>
      </c>
      <c r="I950" s="27">
        <f t="shared" si="1009"/>
        <v>5000</v>
      </c>
      <c r="J950" s="27">
        <f t="shared" si="1009"/>
        <v>0</v>
      </c>
      <c r="K950" s="27">
        <f t="shared" si="1009"/>
        <v>0</v>
      </c>
      <c r="L950" s="27">
        <f t="shared" si="1009"/>
        <v>0</v>
      </c>
      <c r="M950" s="27">
        <f t="shared" si="1010"/>
        <v>0</v>
      </c>
      <c r="N950" s="27">
        <f t="shared" si="1010"/>
        <v>0</v>
      </c>
      <c r="O950" s="27" t="e">
        <f t="shared" si="962"/>
        <v>#DIV/0!</v>
      </c>
    </row>
    <row r="951" spans="1:15" ht="47.25" hidden="1">
      <c r="A951" s="26" t="s">
        <v>185</v>
      </c>
      <c r="B951" s="215">
        <v>908</v>
      </c>
      <c r="C951" s="213" t="s">
        <v>286</v>
      </c>
      <c r="D951" s="213" t="s">
        <v>265</v>
      </c>
      <c r="E951" s="213" t="s">
        <v>588</v>
      </c>
      <c r="F951" s="213" t="s">
        <v>186</v>
      </c>
      <c r="G951" s="27">
        <f>5000</f>
        <v>5000</v>
      </c>
      <c r="H951" s="27">
        <f>5000</f>
        <v>5000</v>
      </c>
      <c r="I951" s="27">
        <f>5000</f>
        <v>5000</v>
      </c>
      <c r="J951" s="27">
        <v>0</v>
      </c>
      <c r="K951" s="27">
        <v>0</v>
      </c>
      <c r="L951" s="27">
        <v>0</v>
      </c>
      <c r="M951" s="27">
        <v>0</v>
      </c>
      <c r="N951" s="27">
        <v>0</v>
      </c>
      <c r="O951" s="27" t="e">
        <f t="shared" si="962"/>
        <v>#DIV/0!</v>
      </c>
    </row>
    <row r="952" spans="1:15" ht="31.5">
      <c r="A952" s="37" t="s">
        <v>770</v>
      </c>
      <c r="B952" s="215">
        <v>908</v>
      </c>
      <c r="C952" s="213" t="s">
        <v>286</v>
      </c>
      <c r="D952" s="213" t="s">
        <v>265</v>
      </c>
      <c r="E952" s="213" t="s">
        <v>589</v>
      </c>
      <c r="F952" s="213"/>
      <c r="G952" s="27">
        <f aca="true" t="shared" si="1011" ref="G952:L953">G953</f>
        <v>20000</v>
      </c>
      <c r="H952" s="27">
        <f t="shared" si="1011"/>
        <v>518</v>
      </c>
      <c r="I952" s="27">
        <f t="shared" si="1011"/>
        <v>20000</v>
      </c>
      <c r="J952" s="27">
        <f t="shared" si="1011"/>
        <v>0</v>
      </c>
      <c r="K952" s="27">
        <f t="shared" si="1011"/>
        <v>0</v>
      </c>
      <c r="L952" s="27">
        <f t="shared" si="1011"/>
        <v>0</v>
      </c>
      <c r="M952" s="27">
        <f>M953+M955</f>
        <v>16042</v>
      </c>
      <c r="N952" s="27">
        <f aca="true" t="shared" si="1012" ref="N952">N953+N955</f>
        <v>16042</v>
      </c>
      <c r="O952" s="27">
        <f t="shared" si="962"/>
        <v>100</v>
      </c>
    </row>
    <row r="953" spans="1:15" ht="31.5">
      <c r="A953" s="26" t="s">
        <v>183</v>
      </c>
      <c r="B953" s="215">
        <v>908</v>
      </c>
      <c r="C953" s="213" t="s">
        <v>286</v>
      </c>
      <c r="D953" s="213" t="s">
        <v>265</v>
      </c>
      <c r="E953" s="213" t="s">
        <v>589</v>
      </c>
      <c r="F953" s="213" t="s">
        <v>184</v>
      </c>
      <c r="G953" s="27">
        <f t="shared" si="1011"/>
        <v>20000</v>
      </c>
      <c r="H953" s="27">
        <f t="shared" si="1011"/>
        <v>518</v>
      </c>
      <c r="I953" s="27">
        <f t="shared" si="1011"/>
        <v>20000</v>
      </c>
      <c r="J953" s="27">
        <f t="shared" si="1011"/>
        <v>0</v>
      </c>
      <c r="K953" s="27">
        <f t="shared" si="1011"/>
        <v>0</v>
      </c>
      <c r="L953" s="27">
        <f t="shared" si="1011"/>
        <v>0</v>
      </c>
      <c r="M953" s="27">
        <f aca="true" t="shared" si="1013" ref="M953:N953">M954</f>
        <v>15905.43</v>
      </c>
      <c r="N953" s="27">
        <f t="shared" si="1013"/>
        <v>15905.4</v>
      </c>
      <c r="O953" s="27">
        <f t="shared" si="962"/>
        <v>99.99981138516846</v>
      </c>
    </row>
    <row r="954" spans="1:15" ht="47.25">
      <c r="A954" s="26" t="s">
        <v>185</v>
      </c>
      <c r="B954" s="215">
        <v>908</v>
      </c>
      <c r="C954" s="213" t="s">
        <v>286</v>
      </c>
      <c r="D954" s="213" t="s">
        <v>265</v>
      </c>
      <c r="E954" s="213" t="s">
        <v>589</v>
      </c>
      <c r="F954" s="213" t="s">
        <v>186</v>
      </c>
      <c r="G954" s="27">
        <v>20000</v>
      </c>
      <c r="H954" s="27">
        <v>518</v>
      </c>
      <c r="I954" s="27">
        <v>20000</v>
      </c>
      <c r="J954" s="27">
        <v>0</v>
      </c>
      <c r="K954" s="27">
        <v>0</v>
      </c>
      <c r="L954" s="27">
        <v>0</v>
      </c>
      <c r="M954" s="27">
        <f>4148.4-136.57+11893.6</f>
        <v>15905.43</v>
      </c>
      <c r="N954" s="27">
        <v>15905.4</v>
      </c>
      <c r="O954" s="27">
        <f t="shared" si="962"/>
        <v>99.99981138516846</v>
      </c>
    </row>
    <row r="955" spans="1:15" ht="15.75">
      <c r="A955" s="26" t="s">
        <v>187</v>
      </c>
      <c r="B955" s="215">
        <v>908</v>
      </c>
      <c r="C955" s="213" t="s">
        <v>286</v>
      </c>
      <c r="D955" s="213" t="s">
        <v>265</v>
      </c>
      <c r="E955" s="213" t="s">
        <v>589</v>
      </c>
      <c r="F955" s="213" t="s">
        <v>197</v>
      </c>
      <c r="G955" s="27"/>
      <c r="H955" s="27"/>
      <c r="I955" s="27"/>
      <c r="J955" s="27"/>
      <c r="K955" s="27"/>
      <c r="L955" s="27"/>
      <c r="M955" s="27">
        <f>M956</f>
        <v>136.57</v>
      </c>
      <c r="N955" s="27">
        <f aca="true" t="shared" si="1014" ref="N955">N956</f>
        <v>136.6</v>
      </c>
      <c r="O955" s="27">
        <f t="shared" si="962"/>
        <v>100.02196675697445</v>
      </c>
    </row>
    <row r="956" spans="1:15" ht="15.75">
      <c r="A956" s="26" t="s">
        <v>621</v>
      </c>
      <c r="B956" s="215">
        <v>908</v>
      </c>
      <c r="C956" s="213" t="s">
        <v>286</v>
      </c>
      <c r="D956" s="213" t="s">
        <v>265</v>
      </c>
      <c r="E956" s="213" t="s">
        <v>589</v>
      </c>
      <c r="F956" s="213" t="s">
        <v>190</v>
      </c>
      <c r="G956" s="27"/>
      <c r="H956" s="27"/>
      <c r="I956" s="27"/>
      <c r="J956" s="27"/>
      <c r="K956" s="27"/>
      <c r="L956" s="27"/>
      <c r="M956" s="27">
        <v>136.57</v>
      </c>
      <c r="N956" s="27">
        <v>136.6</v>
      </c>
      <c r="O956" s="27">
        <f t="shared" si="962"/>
        <v>100.02196675697445</v>
      </c>
    </row>
    <row r="957" spans="1:15" ht="47.25" hidden="1">
      <c r="A957" s="26" t="s">
        <v>771</v>
      </c>
      <c r="B957" s="215">
        <v>908</v>
      </c>
      <c r="C957" s="213" t="s">
        <v>286</v>
      </c>
      <c r="D957" s="213" t="s">
        <v>265</v>
      </c>
      <c r="E957" s="213" t="s">
        <v>772</v>
      </c>
      <c r="F957" s="213"/>
      <c r="G957" s="27">
        <f>G958</f>
        <v>111.2</v>
      </c>
      <c r="H957" s="27">
        <f>H958</f>
        <v>0</v>
      </c>
      <c r="I957" s="27">
        <f aca="true" t="shared" si="1015" ref="I957:L958">I958</f>
        <v>111.2</v>
      </c>
      <c r="J957" s="27">
        <f t="shared" si="1015"/>
        <v>0</v>
      </c>
      <c r="K957" s="27">
        <f t="shared" si="1015"/>
        <v>0</v>
      </c>
      <c r="L957" s="27">
        <f t="shared" si="1015"/>
        <v>0</v>
      </c>
      <c r="M957" s="27">
        <f aca="true" t="shared" si="1016" ref="M957:N958">M958</f>
        <v>0</v>
      </c>
      <c r="N957" s="27">
        <f t="shared" si="1016"/>
        <v>0</v>
      </c>
      <c r="O957" s="27" t="e">
        <f t="shared" si="962"/>
        <v>#DIV/0!</v>
      </c>
    </row>
    <row r="958" spans="1:15" ht="31.5" hidden="1">
      <c r="A958" s="26" t="s">
        <v>183</v>
      </c>
      <c r="B958" s="215">
        <v>908</v>
      </c>
      <c r="C958" s="213" t="s">
        <v>286</v>
      </c>
      <c r="D958" s="213" t="s">
        <v>265</v>
      </c>
      <c r="E958" s="213" t="s">
        <v>772</v>
      </c>
      <c r="F958" s="213" t="s">
        <v>184</v>
      </c>
      <c r="G958" s="27">
        <f>G959</f>
        <v>111.2</v>
      </c>
      <c r="H958" s="27">
        <f>H959</f>
        <v>0</v>
      </c>
      <c r="I958" s="27">
        <f t="shared" si="1015"/>
        <v>111.2</v>
      </c>
      <c r="J958" s="27">
        <f t="shared" si="1015"/>
        <v>0</v>
      </c>
      <c r="K958" s="27">
        <f t="shared" si="1015"/>
        <v>0</v>
      </c>
      <c r="L958" s="27">
        <f t="shared" si="1015"/>
        <v>0</v>
      </c>
      <c r="M958" s="27">
        <f t="shared" si="1016"/>
        <v>0</v>
      </c>
      <c r="N958" s="27">
        <f t="shared" si="1016"/>
        <v>0</v>
      </c>
      <c r="O958" s="27" t="e">
        <f t="shared" si="962"/>
        <v>#DIV/0!</v>
      </c>
    </row>
    <row r="959" spans="1:15" ht="47.25" hidden="1">
      <c r="A959" s="26" t="s">
        <v>185</v>
      </c>
      <c r="B959" s="215">
        <v>908</v>
      </c>
      <c r="C959" s="213" t="s">
        <v>286</v>
      </c>
      <c r="D959" s="213" t="s">
        <v>265</v>
      </c>
      <c r="E959" s="213" t="s">
        <v>772</v>
      </c>
      <c r="F959" s="213" t="s">
        <v>186</v>
      </c>
      <c r="G959" s="27">
        <v>111.2</v>
      </c>
      <c r="H959" s="27">
        <v>0</v>
      </c>
      <c r="I959" s="27">
        <v>111.2</v>
      </c>
      <c r="J959" s="27">
        <v>0</v>
      </c>
      <c r="K959" s="27">
        <v>0</v>
      </c>
      <c r="L959" s="27">
        <v>0</v>
      </c>
      <c r="M959" s="27">
        <v>0</v>
      </c>
      <c r="N959" s="27">
        <v>0</v>
      </c>
      <c r="O959" s="27" t="e">
        <f t="shared" si="962"/>
        <v>#DIV/0!</v>
      </c>
    </row>
    <row r="960" spans="1:15" ht="15.75">
      <c r="A960" s="26" t="s">
        <v>193</v>
      </c>
      <c r="B960" s="215">
        <v>908</v>
      </c>
      <c r="C960" s="213" t="s">
        <v>286</v>
      </c>
      <c r="D960" s="213" t="s">
        <v>265</v>
      </c>
      <c r="E960" s="213" t="s">
        <v>194</v>
      </c>
      <c r="F960" s="213"/>
      <c r="G960" s="27">
        <f>G961+G967</f>
        <v>23171.999999999996</v>
      </c>
      <c r="H960" s="27">
        <f>H961+H967</f>
        <v>2930.2000000000003</v>
      </c>
      <c r="I960" s="27">
        <f aca="true" t="shared" si="1017" ref="I960:L960">I961+I967</f>
        <v>13812.3</v>
      </c>
      <c r="J960" s="27">
        <f t="shared" si="1017"/>
        <v>11416.3</v>
      </c>
      <c r="K960" s="27">
        <f t="shared" si="1017"/>
        <v>11416.3</v>
      </c>
      <c r="L960" s="27">
        <f t="shared" si="1017"/>
        <v>11416.3</v>
      </c>
      <c r="M960" s="27">
        <f>M961+M967+M972+M975</f>
        <v>39942.7</v>
      </c>
      <c r="N960" s="27">
        <f aca="true" t="shared" si="1018" ref="N960">N961+N967+N972+N975</f>
        <v>861.1</v>
      </c>
      <c r="O960" s="27">
        <f t="shared" si="962"/>
        <v>2.1558382382763313</v>
      </c>
    </row>
    <row r="961" spans="1:15" ht="31.5">
      <c r="A961" s="37" t="s">
        <v>590</v>
      </c>
      <c r="B961" s="215">
        <v>908</v>
      </c>
      <c r="C961" s="213" t="s">
        <v>286</v>
      </c>
      <c r="D961" s="213" t="s">
        <v>265</v>
      </c>
      <c r="E961" s="213" t="s">
        <v>591</v>
      </c>
      <c r="F961" s="213"/>
      <c r="G961" s="27">
        <f>G962+G964</f>
        <v>20493.699999999997</v>
      </c>
      <c r="H961" s="27">
        <f>H962+H964</f>
        <v>251.9</v>
      </c>
      <c r="I961" s="27">
        <f aca="true" t="shared" si="1019" ref="I961:L961">I962+I964</f>
        <v>3493.7</v>
      </c>
      <c r="J961" s="27">
        <f t="shared" si="1019"/>
        <v>0</v>
      </c>
      <c r="K961" s="27">
        <f t="shared" si="1019"/>
        <v>0</v>
      </c>
      <c r="L961" s="27">
        <f t="shared" si="1019"/>
        <v>0</v>
      </c>
      <c r="M961" s="27">
        <f aca="true" t="shared" si="1020" ref="M961:N961">M962+M964</f>
        <v>10092.2</v>
      </c>
      <c r="N961" s="27">
        <f t="shared" si="1020"/>
        <v>0</v>
      </c>
      <c r="O961" s="27">
        <f t="shared" si="962"/>
        <v>0</v>
      </c>
    </row>
    <row r="962" spans="1:15" ht="31.5">
      <c r="A962" s="26" t="s">
        <v>183</v>
      </c>
      <c r="B962" s="215">
        <v>908</v>
      </c>
      <c r="C962" s="213" t="s">
        <v>286</v>
      </c>
      <c r="D962" s="213" t="s">
        <v>265</v>
      </c>
      <c r="E962" s="213" t="s">
        <v>591</v>
      </c>
      <c r="F962" s="213" t="s">
        <v>184</v>
      </c>
      <c r="G962" s="27">
        <f>G963</f>
        <v>20462.1</v>
      </c>
      <c r="H962" s="27">
        <f>H963</f>
        <v>251.9</v>
      </c>
      <c r="I962" s="27">
        <f aca="true" t="shared" si="1021" ref="I962:L962">I963</f>
        <v>3462.1</v>
      </c>
      <c r="J962" s="27">
        <f t="shared" si="1021"/>
        <v>0</v>
      </c>
      <c r="K962" s="27">
        <f t="shared" si="1021"/>
        <v>0</v>
      </c>
      <c r="L962" s="27">
        <f t="shared" si="1021"/>
        <v>0</v>
      </c>
      <c r="M962" s="27">
        <f aca="true" t="shared" si="1022" ref="M962:N962">M963</f>
        <v>10092.2</v>
      </c>
      <c r="N962" s="27">
        <f t="shared" si="1022"/>
        <v>0</v>
      </c>
      <c r="O962" s="27">
        <f t="shared" si="962"/>
        <v>0</v>
      </c>
    </row>
    <row r="963" spans="1:19" ht="45" customHeight="1">
      <c r="A963" s="26" t="s">
        <v>185</v>
      </c>
      <c r="B963" s="215">
        <v>908</v>
      </c>
      <c r="C963" s="213" t="s">
        <v>286</v>
      </c>
      <c r="D963" s="213" t="s">
        <v>265</v>
      </c>
      <c r="E963" s="213" t="s">
        <v>591</v>
      </c>
      <c r="F963" s="213" t="s">
        <v>186</v>
      </c>
      <c r="G963" s="27">
        <f>10880-5000-2230+172.1+16500+140</f>
        <v>20462.1</v>
      </c>
      <c r="H963" s="27">
        <v>251.9</v>
      </c>
      <c r="I963" s="27">
        <f>10880-5000-2230+172.1+140-500</f>
        <v>3462.1</v>
      </c>
      <c r="J963" s="27">
        <v>0</v>
      </c>
      <c r="K963" s="27">
        <v>0</v>
      </c>
      <c r="L963" s="27">
        <v>0</v>
      </c>
      <c r="M963" s="27">
        <f>17826-4117.5-515.3-40.6-1427.4-107.4-1525.6</f>
        <v>10092.2</v>
      </c>
      <c r="N963" s="27">
        <v>0</v>
      </c>
      <c r="O963" s="27">
        <f t="shared" si="962"/>
        <v>0</v>
      </c>
      <c r="Q963" s="132"/>
      <c r="R963" s="132"/>
      <c r="S963" s="132" t="s">
        <v>1019</v>
      </c>
    </row>
    <row r="964" spans="1:15" ht="15.75" hidden="1">
      <c r="A964" s="26" t="s">
        <v>187</v>
      </c>
      <c r="B964" s="215">
        <v>908</v>
      </c>
      <c r="C964" s="213" t="s">
        <v>286</v>
      </c>
      <c r="D964" s="213" t="s">
        <v>265</v>
      </c>
      <c r="E964" s="213" t="s">
        <v>591</v>
      </c>
      <c r="F964" s="213" t="s">
        <v>197</v>
      </c>
      <c r="G964" s="27">
        <f aca="true" t="shared" si="1023" ref="G964:L964">G965+G966</f>
        <v>31.6</v>
      </c>
      <c r="H964" s="27">
        <f t="shared" si="1023"/>
        <v>0</v>
      </c>
      <c r="I964" s="27">
        <f t="shared" si="1023"/>
        <v>31.6</v>
      </c>
      <c r="J964" s="27">
        <f t="shared" si="1023"/>
        <v>0</v>
      </c>
      <c r="K964" s="27">
        <f t="shared" si="1023"/>
        <v>0</v>
      </c>
      <c r="L964" s="27">
        <f t="shared" si="1023"/>
        <v>0</v>
      </c>
      <c r="M964" s="27">
        <f aca="true" t="shared" si="1024" ref="M964:N964">M965+M966</f>
        <v>0</v>
      </c>
      <c r="N964" s="27">
        <f t="shared" si="1024"/>
        <v>0</v>
      </c>
      <c r="O964" s="27" t="e">
        <f t="shared" si="962"/>
        <v>#DIV/0!</v>
      </c>
    </row>
    <row r="965" spans="1:15" ht="63" customHeight="1" hidden="1">
      <c r="A965" s="26" t="s">
        <v>236</v>
      </c>
      <c r="B965" s="215">
        <v>908</v>
      </c>
      <c r="C965" s="213" t="s">
        <v>286</v>
      </c>
      <c r="D965" s="213" t="s">
        <v>265</v>
      </c>
      <c r="E965" s="213" t="s">
        <v>591</v>
      </c>
      <c r="F965" s="213" t="s">
        <v>212</v>
      </c>
      <c r="G965" s="27">
        <v>0</v>
      </c>
      <c r="H965" s="27">
        <v>0</v>
      </c>
      <c r="I965" s="27">
        <v>0</v>
      </c>
      <c r="J965" s="27">
        <v>0</v>
      </c>
      <c r="K965" s="27">
        <v>0</v>
      </c>
      <c r="L965" s="27">
        <v>0</v>
      </c>
      <c r="M965" s="27">
        <v>0</v>
      </c>
      <c r="N965" s="27">
        <v>0</v>
      </c>
      <c r="O965" s="27" t="e">
        <f t="shared" si="962"/>
        <v>#DIV/0!</v>
      </c>
    </row>
    <row r="966" spans="1:15" ht="15.75" hidden="1">
      <c r="A966" s="26" t="s">
        <v>621</v>
      </c>
      <c r="B966" s="215">
        <v>908</v>
      </c>
      <c r="C966" s="213" t="s">
        <v>286</v>
      </c>
      <c r="D966" s="213" t="s">
        <v>265</v>
      </c>
      <c r="E966" s="213" t="s">
        <v>591</v>
      </c>
      <c r="F966" s="213" t="s">
        <v>190</v>
      </c>
      <c r="G966" s="27">
        <v>31.6</v>
      </c>
      <c r="H966" s="27">
        <v>0</v>
      </c>
      <c r="I966" s="27">
        <v>31.6</v>
      </c>
      <c r="J966" s="27">
        <v>0</v>
      </c>
      <c r="K966" s="27">
        <v>0</v>
      </c>
      <c r="L966" s="27">
        <v>0</v>
      </c>
      <c r="M966" s="27">
        <v>0</v>
      </c>
      <c r="N966" s="27">
        <v>0</v>
      </c>
      <c r="O966" s="27" t="e">
        <f t="shared" si="962"/>
        <v>#DIV/0!</v>
      </c>
    </row>
    <row r="967" spans="1:15" ht="15.75">
      <c r="A967" s="26" t="s">
        <v>592</v>
      </c>
      <c r="B967" s="215">
        <v>908</v>
      </c>
      <c r="C967" s="213" t="s">
        <v>286</v>
      </c>
      <c r="D967" s="213" t="s">
        <v>265</v>
      </c>
      <c r="E967" s="213" t="s">
        <v>593</v>
      </c>
      <c r="F967" s="213"/>
      <c r="G967" s="27">
        <f aca="true" t="shared" si="1025" ref="G967:L967">G970</f>
        <v>2678.3</v>
      </c>
      <c r="H967" s="27">
        <f t="shared" si="1025"/>
        <v>2678.3</v>
      </c>
      <c r="I967" s="27">
        <f t="shared" si="1025"/>
        <v>10318.6</v>
      </c>
      <c r="J967" s="27">
        <f t="shared" si="1025"/>
        <v>11416.3</v>
      </c>
      <c r="K967" s="27">
        <f t="shared" si="1025"/>
        <v>11416.3</v>
      </c>
      <c r="L967" s="27">
        <f t="shared" si="1025"/>
        <v>11416.3</v>
      </c>
      <c r="M967" s="27">
        <f>M970+M968</f>
        <v>6883.299999999999</v>
      </c>
      <c r="N967" s="27">
        <f aca="true" t="shared" si="1026" ref="N967">N970+N968</f>
        <v>861.1</v>
      </c>
      <c r="O967" s="27">
        <f t="shared" si="962"/>
        <v>12.509987941830229</v>
      </c>
    </row>
    <row r="968" spans="1:15" ht="31.5">
      <c r="A968" s="26" t="s">
        <v>183</v>
      </c>
      <c r="B968" s="215">
        <v>908</v>
      </c>
      <c r="C968" s="213" t="s">
        <v>286</v>
      </c>
      <c r="D968" s="213" t="s">
        <v>265</v>
      </c>
      <c r="E968" s="213" t="s">
        <v>593</v>
      </c>
      <c r="F968" s="213" t="s">
        <v>184</v>
      </c>
      <c r="G968" s="27"/>
      <c r="H968" s="27"/>
      <c r="I968" s="27"/>
      <c r="J968" s="27"/>
      <c r="K968" s="27"/>
      <c r="L968" s="27"/>
      <c r="M968" s="27">
        <f>M969</f>
        <v>5200</v>
      </c>
      <c r="N968" s="27">
        <f aca="true" t="shared" si="1027" ref="N968">N969</f>
        <v>861.1</v>
      </c>
      <c r="O968" s="27">
        <f t="shared" si="962"/>
        <v>16.559615384615384</v>
      </c>
    </row>
    <row r="969" spans="1:15" ht="47.25">
      <c r="A969" s="26" t="s">
        <v>185</v>
      </c>
      <c r="B969" s="215">
        <v>908</v>
      </c>
      <c r="C969" s="213" t="s">
        <v>286</v>
      </c>
      <c r="D969" s="213" t="s">
        <v>265</v>
      </c>
      <c r="E969" s="213" t="s">
        <v>593</v>
      </c>
      <c r="F969" s="213" t="s">
        <v>186</v>
      </c>
      <c r="G969" s="27"/>
      <c r="H969" s="27"/>
      <c r="I969" s="27"/>
      <c r="J969" s="27"/>
      <c r="K969" s="27"/>
      <c r="L969" s="27"/>
      <c r="M969" s="27">
        <f>5200</f>
        <v>5200</v>
      </c>
      <c r="N969" s="27">
        <v>861.1</v>
      </c>
      <c r="O969" s="27">
        <f t="shared" si="962"/>
        <v>16.559615384615384</v>
      </c>
    </row>
    <row r="970" spans="1:15" ht="15.75">
      <c r="A970" s="26" t="s">
        <v>187</v>
      </c>
      <c r="B970" s="215">
        <v>908</v>
      </c>
      <c r="C970" s="213" t="s">
        <v>286</v>
      </c>
      <c r="D970" s="213" t="s">
        <v>265</v>
      </c>
      <c r="E970" s="213" t="s">
        <v>593</v>
      </c>
      <c r="F970" s="213" t="s">
        <v>197</v>
      </c>
      <c r="G970" s="27">
        <f>G971</f>
        <v>2678.3</v>
      </c>
      <c r="H970" s="27">
        <f>H971</f>
        <v>2678.3</v>
      </c>
      <c r="I970" s="27">
        <f aca="true" t="shared" si="1028" ref="I970:L970">I971</f>
        <v>10318.6</v>
      </c>
      <c r="J970" s="27">
        <f t="shared" si="1028"/>
        <v>11416.3</v>
      </c>
      <c r="K970" s="27">
        <f t="shared" si="1028"/>
        <v>11416.3</v>
      </c>
      <c r="L970" s="27">
        <f t="shared" si="1028"/>
        <v>11416.3</v>
      </c>
      <c r="M970" s="27">
        <f aca="true" t="shared" si="1029" ref="M970:N970">M971</f>
        <v>1683.2999999999993</v>
      </c>
      <c r="N970" s="27">
        <f t="shared" si="1029"/>
        <v>0</v>
      </c>
      <c r="O970" s="27">
        <f t="shared" si="962"/>
        <v>0</v>
      </c>
    </row>
    <row r="971" spans="1:15" ht="15.75">
      <c r="A971" s="26" t="s">
        <v>198</v>
      </c>
      <c r="B971" s="215">
        <v>908</v>
      </c>
      <c r="C971" s="213" t="s">
        <v>286</v>
      </c>
      <c r="D971" s="213" t="s">
        <v>265</v>
      </c>
      <c r="E971" s="213" t="s">
        <v>593</v>
      </c>
      <c r="F971" s="213" t="s">
        <v>199</v>
      </c>
      <c r="G971" s="27">
        <v>2678.3</v>
      </c>
      <c r="H971" s="27">
        <v>2678.3</v>
      </c>
      <c r="I971" s="27">
        <v>10318.6</v>
      </c>
      <c r="J971" s="27">
        <v>11416.3</v>
      </c>
      <c r="K971" s="27">
        <f>J971</f>
        <v>11416.3</v>
      </c>
      <c r="L971" s="27">
        <f>K971</f>
        <v>11416.3</v>
      </c>
      <c r="M971" s="27">
        <f>4283.3+4000-6600</f>
        <v>1683.2999999999993</v>
      </c>
      <c r="N971" s="27">
        <v>0</v>
      </c>
      <c r="O971" s="27">
        <f t="shared" si="962"/>
        <v>0</v>
      </c>
    </row>
    <row r="972" spans="1:15" ht="80.25" customHeight="1">
      <c r="A972" s="26" t="s">
        <v>972</v>
      </c>
      <c r="B972" s="215">
        <v>908</v>
      </c>
      <c r="C972" s="213" t="s">
        <v>286</v>
      </c>
      <c r="D972" s="213" t="s">
        <v>265</v>
      </c>
      <c r="E972" s="213" t="s">
        <v>969</v>
      </c>
      <c r="F972" s="213"/>
      <c r="G972" s="27"/>
      <c r="H972" s="27"/>
      <c r="I972" s="27"/>
      <c r="J972" s="27"/>
      <c r="K972" s="27"/>
      <c r="L972" s="27"/>
      <c r="M972" s="27">
        <f>M973</f>
        <v>20000</v>
      </c>
      <c r="N972" s="27">
        <f aca="true" t="shared" si="1030" ref="N972:N973">N973</f>
        <v>0</v>
      </c>
      <c r="O972" s="27">
        <f t="shared" si="962"/>
        <v>0</v>
      </c>
    </row>
    <row r="973" spans="1:15" ht="31.5">
      <c r="A973" s="26" t="s">
        <v>183</v>
      </c>
      <c r="B973" s="215">
        <v>908</v>
      </c>
      <c r="C973" s="213" t="s">
        <v>286</v>
      </c>
      <c r="D973" s="213" t="s">
        <v>265</v>
      </c>
      <c r="E973" s="213" t="s">
        <v>969</v>
      </c>
      <c r="F973" s="213" t="s">
        <v>184</v>
      </c>
      <c r="G973" s="27"/>
      <c r="H973" s="27"/>
      <c r="I973" s="27"/>
      <c r="J973" s="27"/>
      <c r="K973" s="27"/>
      <c r="L973" s="27"/>
      <c r="M973" s="27">
        <f>M974</f>
        <v>20000</v>
      </c>
      <c r="N973" s="27">
        <f t="shared" si="1030"/>
        <v>0</v>
      </c>
      <c r="O973" s="27">
        <f aca="true" t="shared" si="1031" ref="O973:O1036">N973/M973*100</f>
        <v>0</v>
      </c>
    </row>
    <row r="974" spans="1:15" ht="47.25">
      <c r="A974" s="26" t="s">
        <v>185</v>
      </c>
      <c r="B974" s="215">
        <v>908</v>
      </c>
      <c r="C974" s="213" t="s">
        <v>286</v>
      </c>
      <c r="D974" s="213" t="s">
        <v>265</v>
      </c>
      <c r="E974" s="213" t="s">
        <v>969</v>
      </c>
      <c r="F974" s="213" t="s">
        <v>186</v>
      </c>
      <c r="G974" s="27"/>
      <c r="H974" s="27"/>
      <c r="I974" s="27"/>
      <c r="J974" s="27"/>
      <c r="K974" s="27"/>
      <c r="L974" s="27"/>
      <c r="M974" s="27">
        <v>20000</v>
      </c>
      <c r="N974" s="27">
        <v>0</v>
      </c>
      <c r="O974" s="27">
        <f t="shared" si="1031"/>
        <v>0</v>
      </c>
    </row>
    <row r="975" spans="1:15" ht="63">
      <c r="A975" s="26" t="s">
        <v>1018</v>
      </c>
      <c r="B975" s="215">
        <v>908</v>
      </c>
      <c r="C975" s="213" t="s">
        <v>286</v>
      </c>
      <c r="D975" s="213" t="s">
        <v>265</v>
      </c>
      <c r="E975" s="213" t="s">
        <v>998</v>
      </c>
      <c r="F975" s="213"/>
      <c r="G975" s="27"/>
      <c r="H975" s="27"/>
      <c r="I975" s="27"/>
      <c r="J975" s="27"/>
      <c r="K975" s="27"/>
      <c r="L975" s="27"/>
      <c r="M975" s="27">
        <f>M976</f>
        <v>2967.2</v>
      </c>
      <c r="N975" s="27">
        <f aca="true" t="shared" si="1032" ref="N975:N976">N976</f>
        <v>0</v>
      </c>
      <c r="O975" s="27">
        <f t="shared" si="1031"/>
        <v>0</v>
      </c>
    </row>
    <row r="976" spans="1:15" ht="31.5">
      <c r="A976" s="26" t="s">
        <v>183</v>
      </c>
      <c r="B976" s="215">
        <v>908</v>
      </c>
      <c r="C976" s="213" t="s">
        <v>286</v>
      </c>
      <c r="D976" s="213" t="s">
        <v>265</v>
      </c>
      <c r="E976" s="213" t="s">
        <v>998</v>
      </c>
      <c r="F976" s="213" t="s">
        <v>184</v>
      </c>
      <c r="G976" s="27"/>
      <c r="H976" s="27"/>
      <c r="I976" s="27"/>
      <c r="J976" s="27"/>
      <c r="K976" s="27"/>
      <c r="L976" s="27"/>
      <c r="M976" s="27">
        <f>M977</f>
        <v>2967.2</v>
      </c>
      <c r="N976" s="27">
        <f t="shared" si="1032"/>
        <v>0</v>
      </c>
      <c r="O976" s="27">
        <f t="shared" si="1031"/>
        <v>0</v>
      </c>
    </row>
    <row r="977" spans="1:15" ht="47.25">
      <c r="A977" s="26" t="s">
        <v>185</v>
      </c>
      <c r="B977" s="215">
        <v>908</v>
      </c>
      <c r="C977" s="213" t="s">
        <v>286</v>
      </c>
      <c r="D977" s="213" t="s">
        <v>265</v>
      </c>
      <c r="E977" s="213" t="s">
        <v>998</v>
      </c>
      <c r="F977" s="213" t="s">
        <v>186</v>
      </c>
      <c r="G977" s="27"/>
      <c r="H977" s="27"/>
      <c r="I977" s="27"/>
      <c r="J977" s="27"/>
      <c r="K977" s="27"/>
      <c r="L977" s="27"/>
      <c r="M977" s="27">
        <v>2967.2</v>
      </c>
      <c r="N977" s="27">
        <v>0</v>
      </c>
      <c r="O977" s="27">
        <f t="shared" si="1031"/>
        <v>0</v>
      </c>
    </row>
    <row r="978" spans="1:15" ht="15.75">
      <c r="A978" s="24" t="s">
        <v>594</v>
      </c>
      <c r="B978" s="212">
        <v>908</v>
      </c>
      <c r="C978" s="214" t="s">
        <v>286</v>
      </c>
      <c r="D978" s="214" t="s">
        <v>267</v>
      </c>
      <c r="E978" s="214"/>
      <c r="F978" s="214"/>
      <c r="G978" s="22">
        <f>G979++G1014+G1010</f>
        <v>25464.6</v>
      </c>
      <c r="H978" s="22">
        <f aca="true" t="shared" si="1033" ref="H978:L978">H979++H1014+H1010</f>
        <v>4826.6</v>
      </c>
      <c r="I978" s="22">
        <f t="shared" si="1033"/>
        <v>16228</v>
      </c>
      <c r="J978" s="22">
        <f t="shared" si="1033"/>
        <v>19935.4</v>
      </c>
      <c r="K978" s="22">
        <f t="shared" si="1033"/>
        <v>20104</v>
      </c>
      <c r="L978" s="22">
        <f t="shared" si="1033"/>
        <v>22018.100000000002</v>
      </c>
      <c r="M978" s="22">
        <f>M979++M1014+M1010</f>
        <v>26098.479999999996</v>
      </c>
      <c r="N978" s="22">
        <f aca="true" t="shared" si="1034" ref="N978">N979++N1014+N1010</f>
        <v>3206.2999999999997</v>
      </c>
      <c r="O978" s="22">
        <f t="shared" si="1031"/>
        <v>12.285389800478802</v>
      </c>
    </row>
    <row r="979" spans="1:16" ht="47.25">
      <c r="A979" s="26" t="s">
        <v>595</v>
      </c>
      <c r="B979" s="215">
        <v>908</v>
      </c>
      <c r="C979" s="213" t="s">
        <v>286</v>
      </c>
      <c r="D979" s="213" t="s">
        <v>267</v>
      </c>
      <c r="E979" s="213" t="s">
        <v>596</v>
      </c>
      <c r="F979" s="213"/>
      <c r="G979" s="27">
        <f>G980+G995</f>
        <v>12375.499999999998</v>
      </c>
      <c r="H979" s="27">
        <f>H980+H995</f>
        <v>1616.6000000000001</v>
      </c>
      <c r="I979" s="27">
        <f aca="true" t="shared" si="1035" ref="I979:L979">I980+I995</f>
        <v>3394.8</v>
      </c>
      <c r="J979" s="27">
        <f>J980+J995</f>
        <v>16123</v>
      </c>
      <c r="K979" s="27">
        <f t="shared" si="1035"/>
        <v>16291.599999999999</v>
      </c>
      <c r="L979" s="27">
        <f t="shared" si="1035"/>
        <v>18205.7</v>
      </c>
      <c r="M979" s="27">
        <f>M980+M995</f>
        <v>18293.899999999998</v>
      </c>
      <c r="N979" s="27">
        <f aca="true" t="shared" si="1036" ref="N979">N980+N995</f>
        <v>3077.2999999999997</v>
      </c>
      <c r="O979" s="27">
        <f t="shared" si="1031"/>
        <v>16.821454145917492</v>
      </c>
      <c r="P979" s="139"/>
    </row>
    <row r="980" spans="1:15" ht="47.25">
      <c r="A980" s="26" t="s">
        <v>597</v>
      </c>
      <c r="B980" s="215">
        <v>908</v>
      </c>
      <c r="C980" s="213" t="s">
        <v>286</v>
      </c>
      <c r="D980" s="213" t="s">
        <v>267</v>
      </c>
      <c r="E980" s="213" t="s">
        <v>598</v>
      </c>
      <c r="F980" s="213"/>
      <c r="G980" s="27">
        <f>G981+G984+G989</f>
        <v>8697.3</v>
      </c>
      <c r="H980" s="27">
        <f>H981+H984+H989</f>
        <v>695.3000000000001</v>
      </c>
      <c r="I980" s="27">
        <f aca="true" t="shared" si="1037" ref="I980:L980">I981+I984+I989</f>
        <v>1853.4</v>
      </c>
      <c r="J980" s="27">
        <f>J981+J984+J989</f>
        <v>11055.8</v>
      </c>
      <c r="K980" s="27">
        <f t="shared" si="1037"/>
        <v>10998</v>
      </c>
      <c r="L980" s="27">
        <f t="shared" si="1037"/>
        <v>12675.6</v>
      </c>
      <c r="M980" s="27">
        <f>M981+M984+M989+M992</f>
        <v>13226.699999999999</v>
      </c>
      <c r="N980" s="27">
        <f aca="true" t="shared" si="1038" ref="N980">N981+N984+N989+N992</f>
        <v>3062.2</v>
      </c>
      <c r="O980" s="27">
        <f t="shared" si="1031"/>
        <v>23.151655363771763</v>
      </c>
    </row>
    <row r="981" spans="1:15" ht="19.5" customHeight="1">
      <c r="A981" s="26" t="s">
        <v>599</v>
      </c>
      <c r="B981" s="215">
        <v>908</v>
      </c>
      <c r="C981" s="213" t="s">
        <v>286</v>
      </c>
      <c r="D981" s="213" t="s">
        <v>267</v>
      </c>
      <c r="E981" s="213" t="s">
        <v>600</v>
      </c>
      <c r="F981" s="213"/>
      <c r="G981" s="27">
        <f>G982</f>
        <v>253.4</v>
      </c>
      <c r="H981" s="27">
        <f>H982</f>
        <v>250</v>
      </c>
      <c r="I981" s="27">
        <f aca="true" t="shared" si="1039" ref="I981:L982">I982</f>
        <v>253.4</v>
      </c>
      <c r="J981" s="27">
        <f t="shared" si="1039"/>
        <v>356</v>
      </c>
      <c r="K981" s="27">
        <f t="shared" si="1039"/>
        <v>371</v>
      </c>
      <c r="L981" s="27">
        <f t="shared" si="1039"/>
        <v>378</v>
      </c>
      <c r="M981" s="27">
        <f aca="true" t="shared" si="1040" ref="M981:N982">M982</f>
        <v>356</v>
      </c>
      <c r="N981" s="27">
        <f t="shared" si="1040"/>
        <v>0</v>
      </c>
      <c r="O981" s="27">
        <f t="shared" si="1031"/>
        <v>0</v>
      </c>
    </row>
    <row r="982" spans="1:15" ht="31.5">
      <c r="A982" s="26" t="s">
        <v>183</v>
      </c>
      <c r="B982" s="215">
        <v>908</v>
      </c>
      <c r="C982" s="213" t="s">
        <v>286</v>
      </c>
      <c r="D982" s="213" t="s">
        <v>267</v>
      </c>
      <c r="E982" s="213" t="s">
        <v>600</v>
      </c>
      <c r="F982" s="213" t="s">
        <v>184</v>
      </c>
      <c r="G982" s="27">
        <f>G983</f>
        <v>253.4</v>
      </c>
      <c r="H982" s="27">
        <f>H983</f>
        <v>250</v>
      </c>
      <c r="I982" s="27">
        <f t="shared" si="1039"/>
        <v>253.4</v>
      </c>
      <c r="J982" s="27">
        <f t="shared" si="1039"/>
        <v>356</v>
      </c>
      <c r="K982" s="27">
        <f t="shared" si="1039"/>
        <v>371</v>
      </c>
      <c r="L982" s="27">
        <f t="shared" si="1039"/>
        <v>378</v>
      </c>
      <c r="M982" s="27">
        <f t="shared" si="1040"/>
        <v>356</v>
      </c>
      <c r="N982" s="27">
        <f t="shared" si="1040"/>
        <v>0</v>
      </c>
      <c r="O982" s="27">
        <f t="shared" si="1031"/>
        <v>0</v>
      </c>
    </row>
    <row r="983" spans="1:15" ht="47.25">
      <c r="A983" s="26" t="s">
        <v>185</v>
      </c>
      <c r="B983" s="215">
        <v>908</v>
      </c>
      <c r="C983" s="213" t="s">
        <v>286</v>
      </c>
      <c r="D983" s="213" t="s">
        <v>267</v>
      </c>
      <c r="E983" s="213" t="s">
        <v>600</v>
      </c>
      <c r="F983" s="213" t="s">
        <v>186</v>
      </c>
      <c r="G983" s="27">
        <v>253.4</v>
      </c>
      <c r="H983" s="27">
        <v>250</v>
      </c>
      <c r="I983" s="27">
        <v>253.4</v>
      </c>
      <c r="J983" s="27">
        <v>356</v>
      </c>
      <c r="K983" s="27">
        <v>371</v>
      </c>
      <c r="L983" s="27">
        <v>378</v>
      </c>
      <c r="M983" s="27">
        <v>356</v>
      </c>
      <c r="N983" s="27">
        <v>0</v>
      </c>
      <c r="O983" s="27">
        <f t="shared" si="1031"/>
        <v>0</v>
      </c>
    </row>
    <row r="984" spans="1:15" ht="15.75">
      <c r="A984" s="26" t="s">
        <v>601</v>
      </c>
      <c r="B984" s="215">
        <v>908</v>
      </c>
      <c r="C984" s="213" t="s">
        <v>286</v>
      </c>
      <c r="D984" s="213" t="s">
        <v>267</v>
      </c>
      <c r="E984" s="213" t="s">
        <v>602</v>
      </c>
      <c r="F984" s="213"/>
      <c r="G984" s="27">
        <f>G985</f>
        <v>5258.6</v>
      </c>
      <c r="H984" s="27">
        <f>H985</f>
        <v>441.6</v>
      </c>
      <c r="I984" s="27">
        <f aca="true" t="shared" si="1041" ref="I984:L985">I985</f>
        <v>1500</v>
      </c>
      <c r="J984" s="27">
        <f t="shared" si="1041"/>
        <v>6383</v>
      </c>
      <c r="K984" s="27">
        <f t="shared" si="1041"/>
        <v>6266.6</v>
      </c>
      <c r="L984" s="27">
        <f t="shared" si="1041"/>
        <v>6060</v>
      </c>
      <c r="M984" s="27">
        <f>M985+M987</f>
        <v>6383</v>
      </c>
      <c r="N984" s="27">
        <f aca="true" t="shared" si="1042" ref="N984">N985+N987</f>
        <v>891.3</v>
      </c>
      <c r="O984" s="27">
        <f t="shared" si="1031"/>
        <v>13.963653454488483</v>
      </c>
    </row>
    <row r="985" spans="1:15" ht="31.5">
      <c r="A985" s="26" t="s">
        <v>183</v>
      </c>
      <c r="B985" s="215">
        <v>908</v>
      </c>
      <c r="C985" s="213" t="s">
        <v>286</v>
      </c>
      <c r="D985" s="213" t="s">
        <v>267</v>
      </c>
      <c r="E985" s="213" t="s">
        <v>602</v>
      </c>
      <c r="F985" s="213" t="s">
        <v>184</v>
      </c>
      <c r="G985" s="27">
        <f>G986</f>
        <v>5258.6</v>
      </c>
      <c r="H985" s="27">
        <f>H986</f>
        <v>441.6</v>
      </c>
      <c r="I985" s="27">
        <f t="shared" si="1041"/>
        <v>1500</v>
      </c>
      <c r="J985" s="27">
        <f t="shared" si="1041"/>
        <v>6383</v>
      </c>
      <c r="K985" s="27">
        <f t="shared" si="1041"/>
        <v>6266.6</v>
      </c>
      <c r="L985" s="27">
        <f t="shared" si="1041"/>
        <v>6060</v>
      </c>
      <c r="M985" s="27">
        <f aca="true" t="shared" si="1043" ref="M985:N985">M986</f>
        <v>6342.1</v>
      </c>
      <c r="N985" s="27">
        <f t="shared" si="1043"/>
        <v>853.8</v>
      </c>
      <c r="O985" s="27">
        <f t="shared" si="1031"/>
        <v>13.462417811135111</v>
      </c>
    </row>
    <row r="986" spans="1:15" ht="47.25">
      <c r="A986" s="26" t="s">
        <v>185</v>
      </c>
      <c r="B986" s="215">
        <v>908</v>
      </c>
      <c r="C986" s="213" t="s">
        <v>286</v>
      </c>
      <c r="D986" s="213" t="s">
        <v>267</v>
      </c>
      <c r="E986" s="213" t="s">
        <v>602</v>
      </c>
      <c r="F986" s="213" t="s">
        <v>186</v>
      </c>
      <c r="G986" s="27">
        <v>5258.6</v>
      </c>
      <c r="H986" s="27">
        <v>441.6</v>
      </c>
      <c r="I986" s="27">
        <v>1500</v>
      </c>
      <c r="J986" s="27">
        <v>6383</v>
      </c>
      <c r="K986" s="27">
        <v>6266.6</v>
      </c>
      <c r="L986" s="27">
        <v>6060</v>
      </c>
      <c r="M986" s="27">
        <f>6383-3.4-37.5</f>
        <v>6342.1</v>
      </c>
      <c r="N986" s="27">
        <v>853.8</v>
      </c>
      <c r="O986" s="27">
        <f t="shared" si="1031"/>
        <v>13.462417811135111</v>
      </c>
    </row>
    <row r="987" spans="1:15" ht="15.75">
      <c r="A987" s="26" t="s">
        <v>187</v>
      </c>
      <c r="B987" s="215">
        <v>908</v>
      </c>
      <c r="C987" s="213" t="s">
        <v>286</v>
      </c>
      <c r="D987" s="213" t="s">
        <v>267</v>
      </c>
      <c r="E987" s="213" t="s">
        <v>602</v>
      </c>
      <c r="F987" s="213" t="s">
        <v>197</v>
      </c>
      <c r="G987" s="27"/>
      <c r="H987" s="27"/>
      <c r="I987" s="27"/>
      <c r="J987" s="27"/>
      <c r="K987" s="27"/>
      <c r="L987" s="27"/>
      <c r="M987" s="27">
        <f>M988</f>
        <v>40.9</v>
      </c>
      <c r="N987" s="27">
        <f aca="true" t="shared" si="1044" ref="N987">N988</f>
        <v>37.5</v>
      </c>
      <c r="O987" s="27">
        <f t="shared" si="1031"/>
        <v>91.68704156479218</v>
      </c>
    </row>
    <row r="988" spans="1:15" ht="15.75">
      <c r="A988" s="26" t="s">
        <v>621</v>
      </c>
      <c r="B988" s="215">
        <v>908</v>
      </c>
      <c r="C988" s="213" t="s">
        <v>286</v>
      </c>
      <c r="D988" s="213" t="s">
        <v>267</v>
      </c>
      <c r="E988" s="213" t="s">
        <v>602</v>
      </c>
      <c r="F988" s="213" t="s">
        <v>190</v>
      </c>
      <c r="G988" s="27"/>
      <c r="H988" s="27"/>
      <c r="I988" s="27"/>
      <c r="J988" s="27"/>
      <c r="K988" s="27"/>
      <c r="L988" s="27"/>
      <c r="M988" s="27">
        <f>3.4+37.5</f>
        <v>40.9</v>
      </c>
      <c r="N988" s="27">
        <v>37.5</v>
      </c>
      <c r="O988" s="27">
        <f t="shared" si="1031"/>
        <v>91.68704156479218</v>
      </c>
    </row>
    <row r="989" spans="1:15" ht="15.75">
      <c r="A989" s="26" t="s">
        <v>603</v>
      </c>
      <c r="B989" s="215">
        <v>908</v>
      </c>
      <c r="C989" s="213" t="s">
        <v>286</v>
      </c>
      <c r="D989" s="213" t="s">
        <v>267</v>
      </c>
      <c r="E989" s="213" t="s">
        <v>604</v>
      </c>
      <c r="F989" s="213"/>
      <c r="G989" s="27">
        <f>G990</f>
        <v>3185.3</v>
      </c>
      <c r="H989" s="27">
        <f>H990</f>
        <v>3.7</v>
      </c>
      <c r="I989" s="27">
        <f aca="true" t="shared" si="1045" ref="I989:L990">I990</f>
        <v>100</v>
      </c>
      <c r="J989" s="27">
        <f t="shared" si="1045"/>
        <v>4316.8</v>
      </c>
      <c r="K989" s="27">
        <f t="shared" si="1045"/>
        <v>4360.4</v>
      </c>
      <c r="L989" s="27">
        <f t="shared" si="1045"/>
        <v>6237.6</v>
      </c>
      <c r="M989" s="27">
        <f aca="true" t="shared" si="1046" ref="M989:N990">M990</f>
        <v>4316.8</v>
      </c>
      <c r="N989" s="27">
        <f t="shared" si="1046"/>
        <v>0</v>
      </c>
      <c r="O989" s="27">
        <f t="shared" si="1031"/>
        <v>0</v>
      </c>
    </row>
    <row r="990" spans="1:15" ht="31.5">
      <c r="A990" s="26" t="s">
        <v>183</v>
      </c>
      <c r="B990" s="215">
        <v>908</v>
      </c>
      <c r="C990" s="213" t="s">
        <v>286</v>
      </c>
      <c r="D990" s="213" t="s">
        <v>267</v>
      </c>
      <c r="E990" s="213" t="s">
        <v>604</v>
      </c>
      <c r="F990" s="213" t="s">
        <v>184</v>
      </c>
      <c r="G990" s="27">
        <f>G991</f>
        <v>3185.3</v>
      </c>
      <c r="H990" s="27">
        <f>H991</f>
        <v>3.7</v>
      </c>
      <c r="I990" s="27">
        <f t="shared" si="1045"/>
        <v>100</v>
      </c>
      <c r="J990" s="27">
        <f t="shared" si="1045"/>
        <v>4316.8</v>
      </c>
      <c r="K990" s="27">
        <f t="shared" si="1045"/>
        <v>4360.4</v>
      </c>
      <c r="L990" s="27">
        <f>L991</f>
        <v>6237.6</v>
      </c>
      <c r="M990" s="27">
        <f t="shared" si="1046"/>
        <v>4316.8</v>
      </c>
      <c r="N990" s="27">
        <f t="shared" si="1046"/>
        <v>0</v>
      </c>
      <c r="O990" s="27">
        <f t="shared" si="1031"/>
        <v>0</v>
      </c>
    </row>
    <row r="991" spans="1:15" ht="47.25">
      <c r="A991" s="26" t="s">
        <v>185</v>
      </c>
      <c r="B991" s="215">
        <v>908</v>
      </c>
      <c r="C991" s="213" t="s">
        <v>286</v>
      </c>
      <c r="D991" s="213" t="s">
        <v>267</v>
      </c>
      <c r="E991" s="213" t="s">
        <v>604</v>
      </c>
      <c r="F991" s="213" t="s">
        <v>186</v>
      </c>
      <c r="G991" s="27">
        <v>3185.3</v>
      </c>
      <c r="H991" s="27">
        <v>3.7</v>
      </c>
      <c r="I991" s="27">
        <v>100</v>
      </c>
      <c r="J991" s="27">
        <v>4316.8</v>
      </c>
      <c r="K991" s="27">
        <v>4360.4</v>
      </c>
      <c r="L991" s="27">
        <v>6237.6</v>
      </c>
      <c r="M991" s="27">
        <v>4316.8</v>
      </c>
      <c r="N991" s="27">
        <v>0</v>
      </c>
      <c r="O991" s="27">
        <f t="shared" si="1031"/>
        <v>0</v>
      </c>
    </row>
    <row r="992" spans="1:15" ht="31.5">
      <c r="A992" s="26" t="s">
        <v>614</v>
      </c>
      <c r="B992" s="215">
        <v>908</v>
      </c>
      <c r="C992" s="213" t="s">
        <v>286</v>
      </c>
      <c r="D992" s="213" t="s">
        <v>267</v>
      </c>
      <c r="E992" s="213" t="s">
        <v>978</v>
      </c>
      <c r="F992" s="213"/>
      <c r="G992" s="27"/>
      <c r="H992" s="27"/>
      <c r="I992" s="27"/>
      <c r="J992" s="27"/>
      <c r="K992" s="27"/>
      <c r="L992" s="27"/>
      <c r="M992" s="27">
        <f>M993</f>
        <v>2170.9</v>
      </c>
      <c r="N992" s="27">
        <f aca="true" t="shared" si="1047" ref="N992:N993">N993</f>
        <v>2170.9</v>
      </c>
      <c r="O992" s="27">
        <f t="shared" si="1031"/>
        <v>100</v>
      </c>
    </row>
    <row r="993" spans="1:15" ht="31.5">
      <c r="A993" s="26" t="s">
        <v>183</v>
      </c>
      <c r="B993" s="215">
        <v>908</v>
      </c>
      <c r="C993" s="213" t="s">
        <v>286</v>
      </c>
      <c r="D993" s="213" t="s">
        <v>267</v>
      </c>
      <c r="E993" s="213" t="s">
        <v>978</v>
      </c>
      <c r="F993" s="213" t="s">
        <v>184</v>
      </c>
      <c r="G993" s="27"/>
      <c r="H993" s="27"/>
      <c r="I993" s="27"/>
      <c r="J993" s="27"/>
      <c r="K993" s="27"/>
      <c r="L993" s="27"/>
      <c r="M993" s="27">
        <f>M994</f>
        <v>2170.9</v>
      </c>
      <c r="N993" s="27">
        <f t="shared" si="1047"/>
        <v>2170.9</v>
      </c>
      <c r="O993" s="27">
        <f t="shared" si="1031"/>
        <v>100</v>
      </c>
    </row>
    <row r="994" spans="1:15" ht="47.25">
      <c r="A994" s="26" t="s">
        <v>185</v>
      </c>
      <c r="B994" s="215">
        <v>908</v>
      </c>
      <c r="C994" s="213" t="s">
        <v>286</v>
      </c>
      <c r="D994" s="213" t="s">
        <v>267</v>
      </c>
      <c r="E994" s="213" t="s">
        <v>978</v>
      </c>
      <c r="F994" s="213" t="s">
        <v>186</v>
      </c>
      <c r="G994" s="27"/>
      <c r="H994" s="27"/>
      <c r="I994" s="27"/>
      <c r="J994" s="27"/>
      <c r="K994" s="27"/>
      <c r="L994" s="27"/>
      <c r="M994" s="27">
        <v>2170.9</v>
      </c>
      <c r="N994" s="27">
        <v>2170.9</v>
      </c>
      <c r="O994" s="27">
        <f t="shared" si="1031"/>
        <v>100</v>
      </c>
    </row>
    <row r="995" spans="1:15" ht="47.25">
      <c r="A995" s="26" t="s">
        <v>605</v>
      </c>
      <c r="B995" s="215">
        <v>908</v>
      </c>
      <c r="C995" s="213" t="s">
        <v>286</v>
      </c>
      <c r="D995" s="213" t="s">
        <v>267</v>
      </c>
      <c r="E995" s="213" t="s">
        <v>606</v>
      </c>
      <c r="F995" s="213"/>
      <c r="G995" s="27">
        <f>G996+G1001+G1004+G1007</f>
        <v>3678.1999999999994</v>
      </c>
      <c r="H995" s="27">
        <f>H996+H1001+H1004+H1007</f>
        <v>921.3000000000001</v>
      </c>
      <c r="I995" s="27">
        <f aca="true" t="shared" si="1048" ref="I995:L995">I996+I1001+I1004+I1007</f>
        <v>1541.4</v>
      </c>
      <c r="J995" s="27">
        <f>J996+J1001+J1004+J1007</f>
        <v>5067.2</v>
      </c>
      <c r="K995" s="27">
        <f t="shared" si="1048"/>
        <v>5293.599999999999</v>
      </c>
      <c r="L995" s="27">
        <f t="shared" si="1048"/>
        <v>5530.099999999999</v>
      </c>
      <c r="M995" s="27">
        <f aca="true" t="shared" si="1049" ref="M995:N995">M996+M1001+M1004+M1007</f>
        <v>5067.2</v>
      </c>
      <c r="N995" s="27">
        <f t="shared" si="1049"/>
        <v>15.1</v>
      </c>
      <c r="O995" s="27">
        <f t="shared" si="1031"/>
        <v>0.297994947900221</v>
      </c>
    </row>
    <row r="996" spans="1:15" ht="15.75">
      <c r="A996" s="26" t="s">
        <v>603</v>
      </c>
      <c r="B996" s="215">
        <v>908</v>
      </c>
      <c r="C996" s="213" t="s">
        <v>286</v>
      </c>
      <c r="D996" s="213" t="s">
        <v>267</v>
      </c>
      <c r="E996" s="213" t="s">
        <v>607</v>
      </c>
      <c r="F996" s="213"/>
      <c r="G996" s="27">
        <f>G997+G999</f>
        <v>1112.3999999999999</v>
      </c>
      <c r="H996" s="27">
        <f>H997+H999</f>
        <v>672.2</v>
      </c>
      <c r="I996" s="27">
        <f aca="true" t="shared" si="1050" ref="I996:L996">I997+I999</f>
        <v>992.8</v>
      </c>
      <c r="J996" s="27">
        <f t="shared" si="1050"/>
        <v>1364</v>
      </c>
      <c r="K996" s="27">
        <f t="shared" si="1050"/>
        <v>1430.3</v>
      </c>
      <c r="L996" s="27">
        <f t="shared" si="1050"/>
        <v>1500</v>
      </c>
      <c r="M996" s="27">
        <f aca="true" t="shared" si="1051" ref="M996:N996">M997+M999</f>
        <v>1364</v>
      </c>
      <c r="N996" s="27">
        <f t="shared" si="1051"/>
        <v>0</v>
      </c>
      <c r="O996" s="27">
        <f t="shared" si="1031"/>
        <v>0</v>
      </c>
    </row>
    <row r="997" spans="1:15" ht="94.5" hidden="1">
      <c r="A997" s="26" t="s">
        <v>179</v>
      </c>
      <c r="B997" s="215">
        <v>908</v>
      </c>
      <c r="C997" s="213" t="s">
        <v>286</v>
      </c>
      <c r="D997" s="213" t="s">
        <v>267</v>
      </c>
      <c r="E997" s="213" t="s">
        <v>607</v>
      </c>
      <c r="F997" s="213" t="s">
        <v>180</v>
      </c>
      <c r="G997" s="27">
        <f>G998</f>
        <v>892.8</v>
      </c>
      <c r="H997" s="27">
        <f>H998</f>
        <v>652.1</v>
      </c>
      <c r="I997" s="27">
        <f aca="true" t="shared" si="1052" ref="I997:L997">I998</f>
        <v>892.8</v>
      </c>
      <c r="J997" s="27">
        <f t="shared" si="1052"/>
        <v>0</v>
      </c>
      <c r="K997" s="27">
        <f t="shared" si="1052"/>
        <v>0</v>
      </c>
      <c r="L997" s="27">
        <f t="shared" si="1052"/>
        <v>0</v>
      </c>
      <c r="M997" s="27">
        <f aca="true" t="shared" si="1053" ref="M997:N997">M998</f>
        <v>0</v>
      </c>
      <c r="N997" s="27">
        <f t="shared" si="1053"/>
        <v>0</v>
      </c>
      <c r="O997" s="27" t="e">
        <f t="shared" si="1031"/>
        <v>#DIV/0!</v>
      </c>
    </row>
    <row r="998" spans="1:15" ht="31.5" hidden="1">
      <c r="A998" s="48" t="s">
        <v>394</v>
      </c>
      <c r="B998" s="215">
        <v>908</v>
      </c>
      <c r="C998" s="213" t="s">
        <v>286</v>
      </c>
      <c r="D998" s="213" t="s">
        <v>267</v>
      </c>
      <c r="E998" s="213" t="s">
        <v>607</v>
      </c>
      <c r="F998" s="213" t="s">
        <v>261</v>
      </c>
      <c r="G998" s="27">
        <f>801.5+91.3</f>
        <v>892.8</v>
      </c>
      <c r="H998" s="27">
        <v>652.1</v>
      </c>
      <c r="I998" s="27">
        <f aca="true" t="shared" si="1054" ref="I998">801.5+91.3</f>
        <v>892.8</v>
      </c>
      <c r="J998" s="27">
        <v>0</v>
      </c>
      <c r="K998" s="27">
        <v>0</v>
      </c>
      <c r="L998" s="27">
        <v>0</v>
      </c>
      <c r="M998" s="27">
        <v>0</v>
      </c>
      <c r="N998" s="27">
        <v>0</v>
      </c>
      <c r="O998" s="27" t="e">
        <f t="shared" si="1031"/>
        <v>#DIV/0!</v>
      </c>
    </row>
    <row r="999" spans="1:15" ht="31.5">
      <c r="A999" s="26" t="s">
        <v>183</v>
      </c>
      <c r="B999" s="215">
        <v>908</v>
      </c>
      <c r="C999" s="213" t="s">
        <v>286</v>
      </c>
      <c r="D999" s="213" t="s">
        <v>267</v>
      </c>
      <c r="E999" s="213" t="s">
        <v>607</v>
      </c>
      <c r="F999" s="213" t="s">
        <v>184</v>
      </c>
      <c r="G999" s="27">
        <f>G1000</f>
        <v>219.6</v>
      </c>
      <c r="H999" s="27">
        <f>H1000</f>
        <v>20.1</v>
      </c>
      <c r="I999" s="27">
        <f aca="true" t="shared" si="1055" ref="I999:L999">I1000</f>
        <v>100</v>
      </c>
      <c r="J999" s="27">
        <f t="shared" si="1055"/>
        <v>1364</v>
      </c>
      <c r="K999" s="27">
        <f t="shared" si="1055"/>
        <v>1430.3</v>
      </c>
      <c r="L999" s="27">
        <f t="shared" si="1055"/>
        <v>1500</v>
      </c>
      <c r="M999" s="27">
        <f aca="true" t="shared" si="1056" ref="M999:N999">M1000</f>
        <v>1364</v>
      </c>
      <c r="N999" s="27">
        <f t="shared" si="1056"/>
        <v>0</v>
      </c>
      <c r="O999" s="27">
        <f t="shared" si="1031"/>
        <v>0</v>
      </c>
    </row>
    <row r="1000" spans="1:15" ht="47.25">
      <c r="A1000" s="26" t="s">
        <v>185</v>
      </c>
      <c r="B1000" s="215">
        <v>908</v>
      </c>
      <c r="C1000" s="213" t="s">
        <v>286</v>
      </c>
      <c r="D1000" s="213" t="s">
        <v>267</v>
      </c>
      <c r="E1000" s="213" t="s">
        <v>607</v>
      </c>
      <c r="F1000" s="213" t="s">
        <v>186</v>
      </c>
      <c r="G1000" s="27">
        <v>219.6</v>
      </c>
      <c r="H1000" s="27">
        <v>20.1</v>
      </c>
      <c r="I1000" s="27">
        <v>100</v>
      </c>
      <c r="J1000" s="27">
        <v>1364</v>
      </c>
      <c r="K1000" s="27">
        <v>1430.3</v>
      </c>
      <c r="L1000" s="27">
        <v>1500</v>
      </c>
      <c r="M1000" s="27">
        <v>1364</v>
      </c>
      <c r="N1000" s="27">
        <v>0</v>
      </c>
      <c r="O1000" s="27">
        <f t="shared" si="1031"/>
        <v>0</v>
      </c>
    </row>
    <row r="1001" spans="1:15" ht="15.75">
      <c r="A1001" s="26" t="s">
        <v>608</v>
      </c>
      <c r="B1001" s="215">
        <v>908</v>
      </c>
      <c r="C1001" s="213" t="s">
        <v>286</v>
      </c>
      <c r="D1001" s="213" t="s">
        <v>267</v>
      </c>
      <c r="E1001" s="213" t="s">
        <v>609</v>
      </c>
      <c r="F1001" s="213"/>
      <c r="G1001" s="27">
        <f>G1002</f>
        <v>86.6</v>
      </c>
      <c r="H1001" s="27">
        <f>H1002</f>
        <v>0</v>
      </c>
      <c r="I1001" s="27">
        <f aca="true" t="shared" si="1057" ref="I1001:L1002">I1002</f>
        <v>0</v>
      </c>
      <c r="J1001" s="27">
        <f t="shared" si="1057"/>
        <v>115.8</v>
      </c>
      <c r="K1001" s="27">
        <f t="shared" si="1057"/>
        <v>121.6</v>
      </c>
      <c r="L1001" s="27">
        <f t="shared" si="1057"/>
        <v>127.6</v>
      </c>
      <c r="M1001" s="27">
        <f aca="true" t="shared" si="1058" ref="M1001:N1002">M1002</f>
        <v>115.8</v>
      </c>
      <c r="N1001" s="27">
        <f t="shared" si="1058"/>
        <v>0</v>
      </c>
      <c r="O1001" s="27">
        <f t="shared" si="1031"/>
        <v>0</v>
      </c>
    </row>
    <row r="1002" spans="1:15" ht="31.5">
      <c r="A1002" s="26" t="s">
        <v>183</v>
      </c>
      <c r="B1002" s="215">
        <v>908</v>
      </c>
      <c r="C1002" s="213" t="s">
        <v>286</v>
      </c>
      <c r="D1002" s="213" t="s">
        <v>267</v>
      </c>
      <c r="E1002" s="213" t="s">
        <v>609</v>
      </c>
      <c r="F1002" s="213" t="s">
        <v>184</v>
      </c>
      <c r="G1002" s="27">
        <f>G1003</f>
        <v>86.6</v>
      </c>
      <c r="H1002" s="27">
        <f>H1003</f>
        <v>0</v>
      </c>
      <c r="I1002" s="27">
        <f t="shared" si="1057"/>
        <v>0</v>
      </c>
      <c r="J1002" s="27">
        <f t="shared" si="1057"/>
        <v>115.8</v>
      </c>
      <c r="K1002" s="27">
        <f t="shared" si="1057"/>
        <v>121.6</v>
      </c>
      <c r="L1002" s="27">
        <f t="shared" si="1057"/>
        <v>127.6</v>
      </c>
      <c r="M1002" s="27">
        <f t="shared" si="1058"/>
        <v>115.8</v>
      </c>
      <c r="N1002" s="27">
        <f t="shared" si="1058"/>
        <v>0</v>
      </c>
      <c r="O1002" s="27">
        <f t="shared" si="1031"/>
        <v>0</v>
      </c>
    </row>
    <row r="1003" spans="1:15" ht="47.25">
      <c r="A1003" s="26" t="s">
        <v>185</v>
      </c>
      <c r="B1003" s="215">
        <v>908</v>
      </c>
      <c r="C1003" s="213" t="s">
        <v>286</v>
      </c>
      <c r="D1003" s="213" t="s">
        <v>267</v>
      </c>
      <c r="E1003" s="213" t="s">
        <v>609</v>
      </c>
      <c r="F1003" s="213" t="s">
        <v>186</v>
      </c>
      <c r="G1003" s="27">
        <v>86.6</v>
      </c>
      <c r="H1003" s="27">
        <v>0</v>
      </c>
      <c r="I1003" s="27">
        <v>0</v>
      </c>
      <c r="J1003" s="27">
        <v>115.8</v>
      </c>
      <c r="K1003" s="27">
        <v>121.6</v>
      </c>
      <c r="L1003" s="27">
        <v>127.6</v>
      </c>
      <c r="M1003" s="27">
        <v>115.8</v>
      </c>
      <c r="N1003" s="27">
        <v>0</v>
      </c>
      <c r="O1003" s="27">
        <f t="shared" si="1031"/>
        <v>0</v>
      </c>
    </row>
    <row r="1004" spans="1:15" ht="47.25">
      <c r="A1004" s="47" t="s">
        <v>610</v>
      </c>
      <c r="B1004" s="215">
        <v>908</v>
      </c>
      <c r="C1004" s="213" t="s">
        <v>286</v>
      </c>
      <c r="D1004" s="213" t="s">
        <v>267</v>
      </c>
      <c r="E1004" s="213" t="s">
        <v>611</v>
      </c>
      <c r="F1004" s="213"/>
      <c r="G1004" s="27">
        <f>G1005</f>
        <v>2130.6</v>
      </c>
      <c r="H1004" s="27">
        <f>H1005</f>
        <v>0</v>
      </c>
      <c r="I1004" s="27">
        <f aca="true" t="shared" si="1059" ref="I1004:L1005">I1005</f>
        <v>200</v>
      </c>
      <c r="J1004" s="27">
        <f t="shared" si="1059"/>
        <v>3124.2</v>
      </c>
      <c r="K1004" s="27">
        <f t="shared" si="1059"/>
        <v>3258.5</v>
      </c>
      <c r="L1004" s="27">
        <f t="shared" si="1059"/>
        <v>3398.6</v>
      </c>
      <c r="M1004" s="27">
        <f aca="true" t="shared" si="1060" ref="M1004:N1005">M1005</f>
        <v>3124.2</v>
      </c>
      <c r="N1004" s="27">
        <f t="shared" si="1060"/>
        <v>0</v>
      </c>
      <c r="O1004" s="27">
        <f t="shared" si="1031"/>
        <v>0</v>
      </c>
    </row>
    <row r="1005" spans="1:15" ht="31.5">
      <c r="A1005" s="26" t="s">
        <v>183</v>
      </c>
      <c r="B1005" s="215">
        <v>908</v>
      </c>
      <c r="C1005" s="213" t="s">
        <v>286</v>
      </c>
      <c r="D1005" s="213" t="s">
        <v>267</v>
      </c>
      <c r="E1005" s="213" t="s">
        <v>611</v>
      </c>
      <c r="F1005" s="213" t="s">
        <v>184</v>
      </c>
      <c r="G1005" s="27">
        <f>G1006</f>
        <v>2130.6</v>
      </c>
      <c r="H1005" s="27">
        <f>H1006</f>
        <v>0</v>
      </c>
      <c r="I1005" s="27">
        <f t="shared" si="1059"/>
        <v>200</v>
      </c>
      <c r="J1005" s="27">
        <f t="shared" si="1059"/>
        <v>3124.2</v>
      </c>
      <c r="K1005" s="27">
        <f t="shared" si="1059"/>
        <v>3258.5</v>
      </c>
      <c r="L1005" s="27">
        <f t="shared" si="1059"/>
        <v>3398.6</v>
      </c>
      <c r="M1005" s="27">
        <f t="shared" si="1060"/>
        <v>3124.2</v>
      </c>
      <c r="N1005" s="27">
        <f t="shared" si="1060"/>
        <v>0</v>
      </c>
      <c r="O1005" s="27">
        <f t="shared" si="1031"/>
        <v>0</v>
      </c>
    </row>
    <row r="1006" spans="1:15" ht="47.25">
      <c r="A1006" s="26" t="s">
        <v>185</v>
      </c>
      <c r="B1006" s="215">
        <v>908</v>
      </c>
      <c r="C1006" s="213" t="s">
        <v>286</v>
      </c>
      <c r="D1006" s="213" t="s">
        <v>267</v>
      </c>
      <c r="E1006" s="213" t="s">
        <v>611</v>
      </c>
      <c r="F1006" s="213" t="s">
        <v>186</v>
      </c>
      <c r="G1006" s="27">
        <v>2130.6</v>
      </c>
      <c r="H1006" s="27">
        <v>0</v>
      </c>
      <c r="I1006" s="27">
        <v>200</v>
      </c>
      <c r="J1006" s="27">
        <v>3124.2</v>
      </c>
      <c r="K1006" s="27">
        <v>3258.5</v>
      </c>
      <c r="L1006" s="27">
        <v>3398.6</v>
      </c>
      <c r="M1006" s="27">
        <v>3124.2</v>
      </c>
      <c r="N1006" s="27">
        <v>0</v>
      </c>
      <c r="O1006" s="27">
        <f t="shared" si="1031"/>
        <v>0</v>
      </c>
    </row>
    <row r="1007" spans="1:15" ht="31.5">
      <c r="A1007" s="47" t="s">
        <v>612</v>
      </c>
      <c r="B1007" s="215">
        <v>908</v>
      </c>
      <c r="C1007" s="213" t="s">
        <v>286</v>
      </c>
      <c r="D1007" s="213" t="s">
        <v>267</v>
      </c>
      <c r="E1007" s="213" t="s">
        <v>613</v>
      </c>
      <c r="F1007" s="213"/>
      <c r="G1007" s="27">
        <f>G1008</f>
        <v>348.6</v>
      </c>
      <c r="H1007" s="27">
        <f>H1008</f>
        <v>249.1</v>
      </c>
      <c r="I1007" s="27">
        <f aca="true" t="shared" si="1061" ref="I1007:L1008">I1008</f>
        <v>348.6</v>
      </c>
      <c r="J1007" s="27">
        <f t="shared" si="1061"/>
        <v>463.2</v>
      </c>
      <c r="K1007" s="27">
        <f t="shared" si="1061"/>
        <v>483.2</v>
      </c>
      <c r="L1007" s="27">
        <f t="shared" si="1061"/>
        <v>503.9</v>
      </c>
      <c r="M1007" s="27">
        <f aca="true" t="shared" si="1062" ref="M1007:N1008">M1008</f>
        <v>463.2</v>
      </c>
      <c r="N1007" s="27">
        <f t="shared" si="1062"/>
        <v>15.1</v>
      </c>
      <c r="O1007" s="27">
        <f t="shared" si="1031"/>
        <v>3.25993091537133</v>
      </c>
    </row>
    <row r="1008" spans="1:15" ht="31.5">
      <c r="A1008" s="26" t="s">
        <v>183</v>
      </c>
      <c r="B1008" s="215">
        <v>908</v>
      </c>
      <c r="C1008" s="213" t="s">
        <v>286</v>
      </c>
      <c r="D1008" s="213" t="s">
        <v>267</v>
      </c>
      <c r="E1008" s="213" t="s">
        <v>613</v>
      </c>
      <c r="F1008" s="213" t="s">
        <v>184</v>
      </c>
      <c r="G1008" s="27">
        <f>G1009</f>
        <v>348.6</v>
      </c>
      <c r="H1008" s="27">
        <f>H1009</f>
        <v>249.1</v>
      </c>
      <c r="I1008" s="27">
        <f t="shared" si="1061"/>
        <v>348.6</v>
      </c>
      <c r="J1008" s="27">
        <f t="shared" si="1061"/>
        <v>463.2</v>
      </c>
      <c r="K1008" s="27">
        <f t="shared" si="1061"/>
        <v>483.2</v>
      </c>
      <c r="L1008" s="27">
        <f t="shared" si="1061"/>
        <v>503.9</v>
      </c>
      <c r="M1008" s="27">
        <f t="shared" si="1062"/>
        <v>463.2</v>
      </c>
      <c r="N1008" s="27">
        <f t="shared" si="1062"/>
        <v>15.1</v>
      </c>
      <c r="O1008" s="27">
        <f t="shared" si="1031"/>
        <v>3.25993091537133</v>
      </c>
    </row>
    <row r="1009" spans="1:15" ht="47.25">
      <c r="A1009" s="26" t="s">
        <v>185</v>
      </c>
      <c r="B1009" s="215">
        <v>908</v>
      </c>
      <c r="C1009" s="213" t="s">
        <v>286</v>
      </c>
      <c r="D1009" s="213" t="s">
        <v>267</v>
      </c>
      <c r="E1009" s="213" t="s">
        <v>613</v>
      </c>
      <c r="F1009" s="213" t="s">
        <v>186</v>
      </c>
      <c r="G1009" s="27">
        <v>348.6</v>
      </c>
      <c r="H1009" s="27">
        <v>249.1</v>
      </c>
      <c r="I1009" s="27">
        <v>348.6</v>
      </c>
      <c r="J1009" s="27">
        <v>463.2</v>
      </c>
      <c r="K1009" s="27">
        <v>483.2</v>
      </c>
      <c r="L1009" s="27">
        <v>503.9</v>
      </c>
      <c r="M1009" s="27">
        <v>463.2</v>
      </c>
      <c r="N1009" s="27">
        <v>15.1</v>
      </c>
      <c r="O1009" s="27">
        <f t="shared" si="1031"/>
        <v>3.25993091537133</v>
      </c>
    </row>
    <row r="1010" spans="1:15" ht="63">
      <c r="A1010" s="26" t="s">
        <v>1017</v>
      </c>
      <c r="B1010" s="215">
        <v>908</v>
      </c>
      <c r="C1010" s="213" t="s">
        <v>286</v>
      </c>
      <c r="D1010" s="213" t="s">
        <v>267</v>
      </c>
      <c r="E1010" s="213" t="s">
        <v>809</v>
      </c>
      <c r="F1010" s="213"/>
      <c r="G1010" s="27">
        <f>G1011</f>
        <v>600</v>
      </c>
      <c r="H1010" s="27">
        <f aca="true" t="shared" si="1063" ref="H1010:H1012">H1011</f>
        <v>0</v>
      </c>
      <c r="I1010" s="27">
        <f aca="true" t="shared" si="1064" ref="I1010:L1012">I1011</f>
        <v>600</v>
      </c>
      <c r="J1010" s="27">
        <f t="shared" si="1064"/>
        <v>0</v>
      </c>
      <c r="K1010" s="27">
        <f t="shared" si="1064"/>
        <v>0</v>
      </c>
      <c r="L1010" s="27">
        <f t="shared" si="1064"/>
        <v>0</v>
      </c>
      <c r="M1010" s="27">
        <f aca="true" t="shared" si="1065" ref="M1010:N1012">M1011</f>
        <v>500</v>
      </c>
      <c r="N1010" s="27">
        <f t="shared" si="1065"/>
        <v>0</v>
      </c>
      <c r="O1010" s="27">
        <f t="shared" si="1031"/>
        <v>0</v>
      </c>
    </row>
    <row r="1011" spans="1:15" ht="31.5">
      <c r="A1011" s="94" t="s">
        <v>808</v>
      </c>
      <c r="B1011" s="215">
        <v>908</v>
      </c>
      <c r="C1011" s="213" t="s">
        <v>286</v>
      </c>
      <c r="D1011" s="213" t="s">
        <v>267</v>
      </c>
      <c r="E1011" s="213" t="s">
        <v>810</v>
      </c>
      <c r="F1011" s="213"/>
      <c r="G1011" s="27">
        <f>G1012</f>
        <v>600</v>
      </c>
      <c r="H1011" s="27">
        <f t="shared" si="1063"/>
        <v>0</v>
      </c>
      <c r="I1011" s="27">
        <f t="shared" si="1064"/>
        <v>600</v>
      </c>
      <c r="J1011" s="27">
        <f t="shared" si="1064"/>
        <v>0</v>
      </c>
      <c r="K1011" s="27">
        <f t="shared" si="1064"/>
        <v>0</v>
      </c>
      <c r="L1011" s="27">
        <f t="shared" si="1064"/>
        <v>0</v>
      </c>
      <c r="M1011" s="27">
        <f t="shared" si="1065"/>
        <v>500</v>
      </c>
      <c r="N1011" s="27">
        <f t="shared" si="1065"/>
        <v>0</v>
      </c>
      <c r="O1011" s="27">
        <f t="shared" si="1031"/>
        <v>0</v>
      </c>
    </row>
    <row r="1012" spans="1:15" ht="31.5">
      <c r="A1012" s="26" t="s">
        <v>183</v>
      </c>
      <c r="B1012" s="215">
        <v>908</v>
      </c>
      <c r="C1012" s="213" t="s">
        <v>286</v>
      </c>
      <c r="D1012" s="213" t="s">
        <v>267</v>
      </c>
      <c r="E1012" s="213" t="s">
        <v>810</v>
      </c>
      <c r="F1012" s="213" t="s">
        <v>184</v>
      </c>
      <c r="G1012" s="27">
        <f>G1013</f>
        <v>600</v>
      </c>
      <c r="H1012" s="27">
        <f t="shared" si="1063"/>
        <v>0</v>
      </c>
      <c r="I1012" s="27">
        <f t="shared" si="1064"/>
        <v>600</v>
      </c>
      <c r="J1012" s="27">
        <f t="shared" si="1064"/>
        <v>0</v>
      </c>
      <c r="K1012" s="27">
        <f t="shared" si="1064"/>
        <v>0</v>
      </c>
      <c r="L1012" s="27">
        <f t="shared" si="1064"/>
        <v>0</v>
      </c>
      <c r="M1012" s="27">
        <f t="shared" si="1065"/>
        <v>500</v>
      </c>
      <c r="N1012" s="27">
        <f t="shared" si="1065"/>
        <v>0</v>
      </c>
      <c r="O1012" s="27">
        <f t="shared" si="1031"/>
        <v>0</v>
      </c>
    </row>
    <row r="1013" spans="1:15" ht="47.25">
      <c r="A1013" s="26" t="s">
        <v>185</v>
      </c>
      <c r="B1013" s="215">
        <v>908</v>
      </c>
      <c r="C1013" s="213" t="s">
        <v>286</v>
      </c>
      <c r="D1013" s="213" t="s">
        <v>267</v>
      </c>
      <c r="E1013" s="213" t="s">
        <v>810</v>
      </c>
      <c r="F1013" s="213" t="s">
        <v>186</v>
      </c>
      <c r="G1013" s="27">
        <v>600</v>
      </c>
      <c r="H1013" s="27">
        <v>0</v>
      </c>
      <c r="I1013" s="27">
        <v>600</v>
      </c>
      <c r="J1013" s="27">
        <v>0</v>
      </c>
      <c r="K1013" s="27">
        <v>0</v>
      </c>
      <c r="L1013" s="27">
        <v>0</v>
      </c>
      <c r="M1013" s="27">
        <v>500</v>
      </c>
      <c r="N1013" s="27">
        <v>0</v>
      </c>
      <c r="O1013" s="27">
        <f t="shared" si="1031"/>
        <v>0</v>
      </c>
    </row>
    <row r="1014" spans="1:15" ht="15.75">
      <c r="A1014" s="26" t="s">
        <v>173</v>
      </c>
      <c r="B1014" s="215">
        <v>908</v>
      </c>
      <c r="C1014" s="213" t="s">
        <v>286</v>
      </c>
      <c r="D1014" s="213" t="s">
        <v>267</v>
      </c>
      <c r="E1014" s="213" t="s">
        <v>174</v>
      </c>
      <c r="F1014" s="213"/>
      <c r="G1014" s="27">
        <f>G1015+G1028</f>
        <v>12489.099999999999</v>
      </c>
      <c r="H1014" s="27">
        <f>H1015+H1028</f>
        <v>3210</v>
      </c>
      <c r="I1014" s="27">
        <f aca="true" t="shared" si="1066" ref="I1014:L1014">I1015+I1028</f>
        <v>12233.199999999999</v>
      </c>
      <c r="J1014" s="27">
        <f t="shared" si="1066"/>
        <v>3812.4</v>
      </c>
      <c r="K1014" s="27">
        <f t="shared" si="1066"/>
        <v>3812.4</v>
      </c>
      <c r="L1014" s="27">
        <f t="shared" si="1066"/>
        <v>3812.4</v>
      </c>
      <c r="M1014" s="27">
        <f aca="true" t="shared" si="1067" ref="M1014:N1014">M1015+M1028</f>
        <v>7304.58</v>
      </c>
      <c r="N1014" s="27">
        <f t="shared" si="1067"/>
        <v>129</v>
      </c>
      <c r="O1014" s="27">
        <f t="shared" si="1031"/>
        <v>1.7660152945138528</v>
      </c>
    </row>
    <row r="1015" spans="1:15" ht="31.5">
      <c r="A1015" s="26" t="s">
        <v>237</v>
      </c>
      <c r="B1015" s="215">
        <v>908</v>
      </c>
      <c r="C1015" s="213" t="s">
        <v>286</v>
      </c>
      <c r="D1015" s="213" t="s">
        <v>267</v>
      </c>
      <c r="E1015" s="213" t="s">
        <v>238</v>
      </c>
      <c r="F1015" s="213"/>
      <c r="G1015" s="27">
        <f>G1016+G1019+G1022+G1025</f>
        <v>12033.199999999999</v>
      </c>
      <c r="H1015" s="27">
        <f>H1016+H1019+H1022+H1025</f>
        <v>3210</v>
      </c>
      <c r="I1015" s="27">
        <f aca="true" t="shared" si="1068" ref="I1015:L1015">I1016+I1019+I1022+I1025</f>
        <v>12033.199999999999</v>
      </c>
      <c r="J1015" s="27">
        <f t="shared" si="1068"/>
        <v>0</v>
      </c>
      <c r="K1015" s="27">
        <f t="shared" si="1068"/>
        <v>0</v>
      </c>
      <c r="L1015" s="27">
        <f t="shared" si="1068"/>
        <v>0</v>
      </c>
      <c r="M1015" s="27">
        <f>M1016+M1019+M1022+M1025</f>
        <v>3809.08</v>
      </c>
      <c r="N1015" s="27">
        <f aca="true" t="shared" si="1069" ref="N1015">N1016+N1019+N1022+N1025</f>
        <v>129</v>
      </c>
      <c r="O1015" s="27">
        <f t="shared" si="1031"/>
        <v>3.3866445440893864</v>
      </c>
    </row>
    <row r="1016" spans="1:15" ht="31.5" hidden="1">
      <c r="A1016" s="26" t="s">
        <v>614</v>
      </c>
      <c r="B1016" s="215">
        <v>908</v>
      </c>
      <c r="C1016" s="213" t="s">
        <v>286</v>
      </c>
      <c r="D1016" s="213" t="s">
        <v>267</v>
      </c>
      <c r="E1016" s="213" t="s">
        <v>615</v>
      </c>
      <c r="F1016" s="213"/>
      <c r="G1016" s="27">
        <f>G1017</f>
        <v>6302.4</v>
      </c>
      <c r="H1016" s="27">
        <f>H1017</f>
        <v>3210</v>
      </c>
      <c r="I1016" s="27">
        <f aca="true" t="shared" si="1070" ref="I1016:L1017">I1017</f>
        <v>6302.4</v>
      </c>
      <c r="J1016" s="27">
        <f t="shared" si="1070"/>
        <v>0</v>
      </c>
      <c r="K1016" s="27">
        <f t="shared" si="1070"/>
        <v>0</v>
      </c>
      <c r="L1016" s="27">
        <f t="shared" si="1070"/>
        <v>0</v>
      </c>
      <c r="M1016" s="27">
        <f aca="true" t="shared" si="1071" ref="M1016:N1017">M1017</f>
        <v>0</v>
      </c>
      <c r="N1016" s="27">
        <f t="shared" si="1071"/>
        <v>0</v>
      </c>
      <c r="O1016" s="27" t="e">
        <f t="shared" si="1031"/>
        <v>#DIV/0!</v>
      </c>
    </row>
    <row r="1017" spans="1:15" ht="31.5" hidden="1">
      <c r="A1017" s="26" t="s">
        <v>183</v>
      </c>
      <c r="B1017" s="215">
        <v>908</v>
      </c>
      <c r="C1017" s="213" t="s">
        <v>286</v>
      </c>
      <c r="D1017" s="213" t="s">
        <v>267</v>
      </c>
      <c r="E1017" s="213" t="s">
        <v>615</v>
      </c>
      <c r="F1017" s="213" t="s">
        <v>184</v>
      </c>
      <c r="G1017" s="27">
        <f>G1018</f>
        <v>6302.4</v>
      </c>
      <c r="H1017" s="27">
        <f>H1018</f>
        <v>3210</v>
      </c>
      <c r="I1017" s="27">
        <f t="shared" si="1070"/>
        <v>6302.4</v>
      </c>
      <c r="J1017" s="27">
        <f t="shared" si="1070"/>
        <v>0</v>
      </c>
      <c r="K1017" s="27">
        <f t="shared" si="1070"/>
        <v>0</v>
      </c>
      <c r="L1017" s="27">
        <f t="shared" si="1070"/>
        <v>0</v>
      </c>
      <c r="M1017" s="27">
        <f t="shared" si="1071"/>
        <v>0</v>
      </c>
      <c r="N1017" s="27">
        <f t="shared" si="1071"/>
        <v>0</v>
      </c>
      <c r="O1017" s="27" t="e">
        <f t="shared" si="1031"/>
        <v>#DIV/0!</v>
      </c>
    </row>
    <row r="1018" spans="1:15" ht="47.25" hidden="1">
      <c r="A1018" s="26" t="s">
        <v>185</v>
      </c>
      <c r="B1018" s="215">
        <v>908</v>
      </c>
      <c r="C1018" s="213" t="s">
        <v>286</v>
      </c>
      <c r="D1018" s="213" t="s">
        <v>267</v>
      </c>
      <c r="E1018" s="213" t="s">
        <v>615</v>
      </c>
      <c r="F1018" s="213" t="s">
        <v>186</v>
      </c>
      <c r="G1018" s="27">
        <f>3907.3-814.9+3210</f>
        <v>6302.4</v>
      </c>
      <c r="H1018" s="27">
        <v>3210</v>
      </c>
      <c r="I1018" s="27">
        <f aca="true" t="shared" si="1072" ref="I1018">3907.3-814.9+3210</f>
        <v>6302.4</v>
      </c>
      <c r="J1018" s="27">
        <v>0</v>
      </c>
      <c r="K1018" s="27">
        <v>0</v>
      </c>
      <c r="L1018" s="27">
        <v>0</v>
      </c>
      <c r="M1018" s="27">
        <f>1915.9+2170.9-2170.9+255-2170.9</f>
        <v>0</v>
      </c>
      <c r="N1018" s="27">
        <f aca="true" t="shared" si="1073" ref="N1018">1915.9+2170.9-2170.9+255-2170.9</f>
        <v>0</v>
      </c>
      <c r="O1018" s="27" t="e">
        <f t="shared" si="1031"/>
        <v>#DIV/0!</v>
      </c>
    </row>
    <row r="1019" spans="1:15" ht="47.25">
      <c r="A1019" s="26" t="s">
        <v>773</v>
      </c>
      <c r="B1019" s="215">
        <v>908</v>
      </c>
      <c r="C1019" s="213" t="s">
        <v>286</v>
      </c>
      <c r="D1019" s="213" t="s">
        <v>267</v>
      </c>
      <c r="E1019" s="213" t="s">
        <v>774</v>
      </c>
      <c r="F1019" s="213"/>
      <c r="G1019" s="27">
        <f aca="true" t="shared" si="1074" ref="G1019:L1020">G1020</f>
        <v>2132</v>
      </c>
      <c r="H1019" s="27">
        <f t="shared" si="1074"/>
        <v>0</v>
      </c>
      <c r="I1019" s="27">
        <f t="shared" si="1074"/>
        <v>2132</v>
      </c>
      <c r="J1019" s="27">
        <f t="shared" si="1074"/>
        <v>0</v>
      </c>
      <c r="K1019" s="27">
        <f t="shared" si="1074"/>
        <v>0</v>
      </c>
      <c r="L1019" s="27">
        <f t="shared" si="1074"/>
        <v>0</v>
      </c>
      <c r="M1019" s="27">
        <f aca="true" t="shared" si="1075" ref="M1019:N1020">M1020</f>
        <v>2283.88</v>
      </c>
      <c r="N1019" s="27">
        <f t="shared" si="1075"/>
        <v>129</v>
      </c>
      <c r="O1019" s="27">
        <f t="shared" si="1031"/>
        <v>5.648282746904391</v>
      </c>
    </row>
    <row r="1020" spans="1:15" ht="31.5">
      <c r="A1020" s="26" t="s">
        <v>183</v>
      </c>
      <c r="B1020" s="215">
        <v>908</v>
      </c>
      <c r="C1020" s="213" t="s">
        <v>286</v>
      </c>
      <c r="D1020" s="213" t="s">
        <v>267</v>
      </c>
      <c r="E1020" s="213" t="s">
        <v>774</v>
      </c>
      <c r="F1020" s="213" t="s">
        <v>184</v>
      </c>
      <c r="G1020" s="27">
        <f t="shared" si="1074"/>
        <v>2132</v>
      </c>
      <c r="H1020" s="27">
        <f t="shared" si="1074"/>
        <v>0</v>
      </c>
      <c r="I1020" s="27">
        <f t="shared" si="1074"/>
        <v>2132</v>
      </c>
      <c r="J1020" s="27">
        <f t="shared" si="1074"/>
        <v>0</v>
      </c>
      <c r="K1020" s="27">
        <f t="shared" si="1074"/>
        <v>0</v>
      </c>
      <c r="L1020" s="27">
        <f t="shared" si="1074"/>
        <v>0</v>
      </c>
      <c r="M1020" s="27">
        <f t="shared" si="1075"/>
        <v>2283.88</v>
      </c>
      <c r="N1020" s="27">
        <f t="shared" si="1075"/>
        <v>129</v>
      </c>
      <c r="O1020" s="27">
        <f t="shared" si="1031"/>
        <v>5.648282746904391</v>
      </c>
    </row>
    <row r="1021" spans="1:15" ht="47.25">
      <c r="A1021" s="26" t="s">
        <v>185</v>
      </c>
      <c r="B1021" s="215">
        <v>908</v>
      </c>
      <c r="C1021" s="213" t="s">
        <v>286</v>
      </c>
      <c r="D1021" s="213" t="s">
        <v>267</v>
      </c>
      <c r="E1021" s="213" t="s">
        <v>774</v>
      </c>
      <c r="F1021" s="213" t="s">
        <v>186</v>
      </c>
      <c r="G1021" s="27">
        <v>2132</v>
      </c>
      <c r="H1021" s="27">
        <v>0</v>
      </c>
      <c r="I1021" s="27">
        <v>2132</v>
      </c>
      <c r="J1021" s="27">
        <v>0</v>
      </c>
      <c r="K1021" s="27">
        <v>0</v>
      </c>
      <c r="L1021" s="27">
        <v>0</v>
      </c>
      <c r="M1021" s="27">
        <f>976+1307.88</f>
        <v>2283.88</v>
      </c>
      <c r="N1021" s="27">
        <v>129</v>
      </c>
      <c r="O1021" s="27">
        <f t="shared" si="1031"/>
        <v>5.648282746904391</v>
      </c>
    </row>
    <row r="1022" spans="1:15" ht="47.25" hidden="1">
      <c r="A1022" s="26" t="s">
        <v>775</v>
      </c>
      <c r="B1022" s="215">
        <v>908</v>
      </c>
      <c r="C1022" s="213" t="s">
        <v>286</v>
      </c>
      <c r="D1022" s="213" t="s">
        <v>267</v>
      </c>
      <c r="E1022" s="213" t="s">
        <v>616</v>
      </c>
      <c r="F1022" s="213"/>
      <c r="G1022" s="27">
        <f aca="true" t="shared" si="1076" ref="G1022:L1023">G1023</f>
        <v>2000</v>
      </c>
      <c r="H1022" s="27">
        <f t="shared" si="1076"/>
        <v>0</v>
      </c>
      <c r="I1022" s="27">
        <f t="shared" si="1076"/>
        <v>2000</v>
      </c>
      <c r="J1022" s="27">
        <f t="shared" si="1076"/>
        <v>0</v>
      </c>
      <c r="K1022" s="27">
        <f t="shared" si="1076"/>
        <v>0</v>
      </c>
      <c r="L1022" s="27">
        <f t="shared" si="1076"/>
        <v>0</v>
      </c>
      <c r="M1022" s="27">
        <f aca="true" t="shared" si="1077" ref="M1022:N1023">M1023</f>
        <v>0</v>
      </c>
      <c r="N1022" s="27">
        <f t="shared" si="1077"/>
        <v>0</v>
      </c>
      <c r="O1022" s="27" t="e">
        <f t="shared" si="1031"/>
        <v>#DIV/0!</v>
      </c>
    </row>
    <row r="1023" spans="1:15" ht="31.5" hidden="1">
      <c r="A1023" s="26" t="s">
        <v>183</v>
      </c>
      <c r="B1023" s="215">
        <v>908</v>
      </c>
      <c r="C1023" s="213" t="s">
        <v>286</v>
      </c>
      <c r="D1023" s="213" t="s">
        <v>267</v>
      </c>
      <c r="E1023" s="213" t="s">
        <v>616</v>
      </c>
      <c r="F1023" s="213" t="s">
        <v>184</v>
      </c>
      <c r="G1023" s="27">
        <f t="shared" si="1076"/>
        <v>2000</v>
      </c>
      <c r="H1023" s="27">
        <f t="shared" si="1076"/>
        <v>0</v>
      </c>
      <c r="I1023" s="27">
        <f t="shared" si="1076"/>
        <v>2000</v>
      </c>
      <c r="J1023" s="27">
        <f t="shared" si="1076"/>
        <v>0</v>
      </c>
      <c r="K1023" s="27">
        <f t="shared" si="1076"/>
        <v>0</v>
      </c>
      <c r="L1023" s="27">
        <f t="shared" si="1076"/>
        <v>0</v>
      </c>
      <c r="M1023" s="27">
        <f t="shared" si="1077"/>
        <v>0</v>
      </c>
      <c r="N1023" s="27">
        <f t="shared" si="1077"/>
        <v>0</v>
      </c>
      <c r="O1023" s="27" t="e">
        <f t="shared" si="1031"/>
        <v>#DIV/0!</v>
      </c>
    </row>
    <row r="1024" spans="1:15" ht="47.25" hidden="1">
      <c r="A1024" s="26" t="s">
        <v>185</v>
      </c>
      <c r="B1024" s="215">
        <v>908</v>
      </c>
      <c r="C1024" s="213" t="s">
        <v>286</v>
      </c>
      <c r="D1024" s="213" t="s">
        <v>267</v>
      </c>
      <c r="E1024" s="213" t="s">
        <v>616</v>
      </c>
      <c r="F1024" s="213" t="s">
        <v>186</v>
      </c>
      <c r="G1024" s="27">
        <v>2000</v>
      </c>
      <c r="H1024" s="27">
        <v>0</v>
      </c>
      <c r="I1024" s="27">
        <v>2000</v>
      </c>
      <c r="J1024" s="27">
        <v>0</v>
      </c>
      <c r="K1024" s="27">
        <v>0</v>
      </c>
      <c r="L1024" s="27">
        <v>0</v>
      </c>
      <c r="M1024" s="27">
        <v>0</v>
      </c>
      <c r="N1024" s="27">
        <v>0</v>
      </c>
      <c r="O1024" s="27" t="e">
        <f t="shared" si="1031"/>
        <v>#DIV/0!</v>
      </c>
    </row>
    <row r="1025" spans="1:15" ht="63">
      <c r="A1025" s="26" t="s">
        <v>776</v>
      </c>
      <c r="B1025" s="215">
        <v>908</v>
      </c>
      <c r="C1025" s="213" t="s">
        <v>286</v>
      </c>
      <c r="D1025" s="213" t="s">
        <v>267</v>
      </c>
      <c r="E1025" s="213" t="s">
        <v>777</v>
      </c>
      <c r="F1025" s="213"/>
      <c r="G1025" s="27">
        <f>G1026</f>
        <v>1598.8</v>
      </c>
      <c r="H1025" s="27">
        <f>H1026</f>
        <v>0</v>
      </c>
      <c r="I1025" s="27">
        <f aca="true" t="shared" si="1078" ref="I1025:L1026">I1026</f>
        <v>1598.8</v>
      </c>
      <c r="J1025" s="27">
        <f t="shared" si="1078"/>
        <v>0</v>
      </c>
      <c r="K1025" s="27">
        <f t="shared" si="1078"/>
        <v>0</v>
      </c>
      <c r="L1025" s="27">
        <f t="shared" si="1078"/>
        <v>0</v>
      </c>
      <c r="M1025" s="27">
        <f aca="true" t="shared" si="1079" ref="M1025:N1026">M1026</f>
        <v>1525.2</v>
      </c>
      <c r="N1025" s="27">
        <f t="shared" si="1079"/>
        <v>0</v>
      </c>
      <c r="O1025" s="27">
        <f t="shared" si="1031"/>
        <v>0</v>
      </c>
    </row>
    <row r="1026" spans="1:15" ht="31.5">
      <c r="A1026" s="26" t="s">
        <v>183</v>
      </c>
      <c r="B1026" s="215">
        <v>908</v>
      </c>
      <c r="C1026" s="213" t="s">
        <v>286</v>
      </c>
      <c r="D1026" s="213" t="s">
        <v>267</v>
      </c>
      <c r="E1026" s="213" t="s">
        <v>777</v>
      </c>
      <c r="F1026" s="213" t="s">
        <v>184</v>
      </c>
      <c r="G1026" s="27">
        <f>G1027</f>
        <v>1598.8</v>
      </c>
      <c r="H1026" s="27">
        <f>H1027</f>
        <v>0</v>
      </c>
      <c r="I1026" s="27">
        <f t="shared" si="1078"/>
        <v>1598.8</v>
      </c>
      <c r="J1026" s="27">
        <f t="shared" si="1078"/>
        <v>0</v>
      </c>
      <c r="K1026" s="27">
        <f t="shared" si="1078"/>
        <v>0</v>
      </c>
      <c r="L1026" s="27">
        <f t="shared" si="1078"/>
        <v>0</v>
      </c>
      <c r="M1026" s="27">
        <f t="shared" si="1079"/>
        <v>1525.2</v>
      </c>
      <c r="N1026" s="27">
        <f t="shared" si="1079"/>
        <v>0</v>
      </c>
      <c r="O1026" s="27">
        <f t="shared" si="1031"/>
        <v>0</v>
      </c>
    </row>
    <row r="1027" spans="1:15" ht="47.25">
      <c r="A1027" s="26" t="s">
        <v>185</v>
      </c>
      <c r="B1027" s="215">
        <v>908</v>
      </c>
      <c r="C1027" s="213" t="s">
        <v>286</v>
      </c>
      <c r="D1027" s="213" t="s">
        <v>267</v>
      </c>
      <c r="E1027" s="213" t="s">
        <v>777</v>
      </c>
      <c r="F1027" s="213" t="s">
        <v>186</v>
      </c>
      <c r="G1027" s="27">
        <v>1598.8</v>
      </c>
      <c r="H1027" s="27">
        <v>0</v>
      </c>
      <c r="I1027" s="27">
        <v>1598.8</v>
      </c>
      <c r="J1027" s="27">
        <v>0</v>
      </c>
      <c r="K1027" s="27">
        <v>0</v>
      </c>
      <c r="L1027" s="27">
        <v>0</v>
      </c>
      <c r="M1027" s="27">
        <f>'прил.№1 доходы'!I107</f>
        <v>1525.2</v>
      </c>
      <c r="N1027" s="27">
        <v>0</v>
      </c>
      <c r="O1027" s="27">
        <f t="shared" si="1031"/>
        <v>0</v>
      </c>
    </row>
    <row r="1028" spans="1:15" ht="15.75">
      <c r="A1028" s="26" t="s">
        <v>193</v>
      </c>
      <c r="B1028" s="215">
        <v>908</v>
      </c>
      <c r="C1028" s="213" t="s">
        <v>286</v>
      </c>
      <c r="D1028" s="213" t="s">
        <v>267</v>
      </c>
      <c r="E1028" s="213" t="s">
        <v>194</v>
      </c>
      <c r="F1028" s="213"/>
      <c r="G1028" s="27">
        <f>G1029+G1032</f>
        <v>455.9</v>
      </c>
      <c r="H1028" s="27">
        <f aca="true" t="shared" si="1080" ref="H1028:H1030">H1029</f>
        <v>0</v>
      </c>
      <c r="I1028" s="27">
        <f aca="true" t="shared" si="1081" ref="I1028:L1028">I1029+I1032</f>
        <v>200</v>
      </c>
      <c r="J1028" s="27">
        <f>J1029+J1032</f>
        <v>3812.4</v>
      </c>
      <c r="K1028" s="27">
        <f t="shared" si="1081"/>
        <v>3812.4</v>
      </c>
      <c r="L1028" s="27">
        <f t="shared" si="1081"/>
        <v>3812.4</v>
      </c>
      <c r="M1028" s="27">
        <f>M1029+M1032+M1035</f>
        <v>3495.5</v>
      </c>
      <c r="N1028" s="27">
        <f aca="true" t="shared" si="1082" ref="N1028">N1029+N1032+N1035</f>
        <v>0</v>
      </c>
      <c r="O1028" s="27">
        <f t="shared" si="1031"/>
        <v>0</v>
      </c>
    </row>
    <row r="1029" spans="1:15" ht="15.75">
      <c r="A1029" s="26" t="s">
        <v>617</v>
      </c>
      <c r="B1029" s="215">
        <v>908</v>
      </c>
      <c r="C1029" s="213" t="s">
        <v>286</v>
      </c>
      <c r="D1029" s="213" t="s">
        <v>267</v>
      </c>
      <c r="E1029" s="213" t="s">
        <v>618</v>
      </c>
      <c r="F1029" s="213"/>
      <c r="G1029" s="27">
        <f>G1030</f>
        <v>455.9</v>
      </c>
      <c r="H1029" s="27">
        <f t="shared" si="1080"/>
        <v>0</v>
      </c>
      <c r="I1029" s="27">
        <f aca="true" t="shared" si="1083" ref="I1029:L1030">I1030</f>
        <v>200</v>
      </c>
      <c r="J1029" s="27">
        <f t="shared" si="1083"/>
        <v>462.1</v>
      </c>
      <c r="K1029" s="27">
        <f t="shared" si="1083"/>
        <v>462.1</v>
      </c>
      <c r="L1029" s="27">
        <f t="shared" si="1083"/>
        <v>462.1</v>
      </c>
      <c r="M1029" s="27">
        <f aca="true" t="shared" si="1084" ref="M1029:N1030">M1030</f>
        <v>390</v>
      </c>
      <c r="N1029" s="27">
        <f t="shared" si="1084"/>
        <v>0</v>
      </c>
      <c r="O1029" s="27">
        <f t="shared" si="1031"/>
        <v>0</v>
      </c>
    </row>
    <row r="1030" spans="1:15" ht="31.5">
      <c r="A1030" s="26" t="s">
        <v>183</v>
      </c>
      <c r="B1030" s="215">
        <v>908</v>
      </c>
      <c r="C1030" s="213" t="s">
        <v>286</v>
      </c>
      <c r="D1030" s="213" t="s">
        <v>267</v>
      </c>
      <c r="E1030" s="213" t="s">
        <v>618</v>
      </c>
      <c r="F1030" s="213" t="s">
        <v>184</v>
      </c>
      <c r="G1030" s="27">
        <f>G1031</f>
        <v>455.9</v>
      </c>
      <c r="H1030" s="27">
        <f t="shared" si="1080"/>
        <v>0</v>
      </c>
      <c r="I1030" s="27">
        <f t="shared" si="1083"/>
        <v>200</v>
      </c>
      <c r="J1030" s="27">
        <f t="shared" si="1083"/>
        <v>462.1</v>
      </c>
      <c r="K1030" s="27">
        <f t="shared" si="1083"/>
        <v>462.1</v>
      </c>
      <c r="L1030" s="27">
        <f t="shared" si="1083"/>
        <v>462.1</v>
      </c>
      <c r="M1030" s="27">
        <f t="shared" si="1084"/>
        <v>390</v>
      </c>
      <c r="N1030" s="27">
        <f t="shared" si="1084"/>
        <v>0</v>
      </c>
      <c r="O1030" s="27">
        <f t="shared" si="1031"/>
        <v>0</v>
      </c>
    </row>
    <row r="1031" spans="1:15" ht="47.25">
      <c r="A1031" s="26" t="s">
        <v>185</v>
      </c>
      <c r="B1031" s="215">
        <v>908</v>
      </c>
      <c r="C1031" s="213" t="s">
        <v>286</v>
      </c>
      <c r="D1031" s="213" t="s">
        <v>267</v>
      </c>
      <c r="E1031" s="213" t="s">
        <v>618</v>
      </c>
      <c r="F1031" s="213" t="s">
        <v>186</v>
      </c>
      <c r="G1031" s="28">
        <v>455.9</v>
      </c>
      <c r="H1031" s="28">
        <v>0</v>
      </c>
      <c r="I1031" s="28">
        <v>200</v>
      </c>
      <c r="J1031" s="28">
        <v>462.1</v>
      </c>
      <c r="K1031" s="28">
        <v>462.1</v>
      </c>
      <c r="L1031" s="28">
        <v>462.1</v>
      </c>
      <c r="M1031" s="28">
        <v>390</v>
      </c>
      <c r="N1031" s="28">
        <v>0</v>
      </c>
      <c r="O1031" s="27">
        <f t="shared" si="1031"/>
        <v>0</v>
      </c>
    </row>
    <row r="1032" spans="1:15" ht="15.75" customHeight="1" hidden="1">
      <c r="A1032" s="26" t="s">
        <v>619</v>
      </c>
      <c r="B1032" s="215">
        <v>908</v>
      </c>
      <c r="C1032" s="213" t="s">
        <v>286</v>
      </c>
      <c r="D1032" s="213" t="s">
        <v>267</v>
      </c>
      <c r="E1032" s="213" t="s">
        <v>620</v>
      </c>
      <c r="F1032" s="213"/>
      <c r="G1032" s="28">
        <f aca="true" t="shared" si="1085" ref="G1032:L1033">G1033</f>
        <v>0</v>
      </c>
      <c r="H1032" s="28">
        <v>0</v>
      </c>
      <c r="I1032" s="28">
        <f t="shared" si="1085"/>
        <v>0</v>
      </c>
      <c r="J1032" s="28">
        <f t="shared" si="1085"/>
        <v>3350.3</v>
      </c>
      <c r="K1032" s="28">
        <f t="shared" si="1085"/>
        <v>3350.3</v>
      </c>
      <c r="L1032" s="28">
        <f t="shared" si="1085"/>
        <v>3350.3</v>
      </c>
      <c r="M1032" s="28">
        <f aca="true" t="shared" si="1086" ref="M1032:N1033">M1033</f>
        <v>0</v>
      </c>
      <c r="N1032" s="28">
        <f t="shared" si="1086"/>
        <v>0</v>
      </c>
      <c r="O1032" s="27" t="e">
        <f t="shared" si="1031"/>
        <v>#DIV/0!</v>
      </c>
    </row>
    <row r="1033" spans="1:15" ht="15.75" customHeight="1" hidden="1">
      <c r="A1033" s="26" t="s">
        <v>187</v>
      </c>
      <c r="B1033" s="215">
        <v>908</v>
      </c>
      <c r="C1033" s="213" t="s">
        <v>286</v>
      </c>
      <c r="D1033" s="213" t="s">
        <v>267</v>
      </c>
      <c r="E1033" s="213" t="s">
        <v>620</v>
      </c>
      <c r="F1033" s="213" t="s">
        <v>197</v>
      </c>
      <c r="G1033" s="28">
        <f t="shared" si="1085"/>
        <v>0</v>
      </c>
      <c r="H1033" s="28">
        <v>0</v>
      </c>
      <c r="I1033" s="28">
        <f t="shared" si="1085"/>
        <v>0</v>
      </c>
      <c r="J1033" s="28">
        <f t="shared" si="1085"/>
        <v>3350.3</v>
      </c>
      <c r="K1033" s="28">
        <f t="shared" si="1085"/>
        <v>3350.3</v>
      </c>
      <c r="L1033" s="28">
        <f t="shared" si="1085"/>
        <v>3350.3</v>
      </c>
      <c r="M1033" s="28">
        <f t="shared" si="1086"/>
        <v>0</v>
      </c>
      <c r="N1033" s="28">
        <f t="shared" si="1086"/>
        <v>0</v>
      </c>
      <c r="O1033" s="27" t="e">
        <f t="shared" si="1031"/>
        <v>#DIV/0!</v>
      </c>
    </row>
    <row r="1034" spans="1:15" ht="15.75" customHeight="1" hidden="1">
      <c r="A1034" s="26" t="s">
        <v>621</v>
      </c>
      <c r="B1034" s="215">
        <v>908</v>
      </c>
      <c r="C1034" s="213" t="s">
        <v>286</v>
      </c>
      <c r="D1034" s="213" t="s">
        <v>267</v>
      </c>
      <c r="E1034" s="213" t="s">
        <v>620</v>
      </c>
      <c r="F1034" s="213" t="s">
        <v>190</v>
      </c>
      <c r="G1034" s="28">
        <v>0</v>
      </c>
      <c r="H1034" s="28">
        <v>0</v>
      </c>
      <c r="I1034" s="28">
        <v>0</v>
      </c>
      <c r="J1034" s="28">
        <v>3350.3</v>
      </c>
      <c r="K1034" s="28">
        <v>3350.3</v>
      </c>
      <c r="L1034" s="28">
        <v>3350.3</v>
      </c>
      <c r="M1034" s="28">
        <v>0</v>
      </c>
      <c r="N1034" s="28">
        <v>0</v>
      </c>
      <c r="O1034" s="27" t="e">
        <f t="shared" si="1031"/>
        <v>#DIV/0!</v>
      </c>
    </row>
    <row r="1035" spans="1:15" ht="60.75" customHeight="1">
      <c r="A1035" s="26" t="s">
        <v>1007</v>
      </c>
      <c r="B1035" s="215">
        <v>908</v>
      </c>
      <c r="C1035" s="213" t="s">
        <v>286</v>
      </c>
      <c r="D1035" s="213" t="s">
        <v>267</v>
      </c>
      <c r="E1035" s="213" t="s">
        <v>1008</v>
      </c>
      <c r="F1035" s="213"/>
      <c r="G1035" s="28"/>
      <c r="H1035" s="28"/>
      <c r="I1035" s="28"/>
      <c r="J1035" s="28"/>
      <c r="K1035" s="28"/>
      <c r="L1035" s="28"/>
      <c r="M1035" s="28">
        <f>M1036</f>
        <v>3105.5</v>
      </c>
      <c r="N1035" s="28">
        <f aca="true" t="shared" si="1087" ref="N1035:N1036">N1036</f>
        <v>0</v>
      </c>
      <c r="O1035" s="27">
        <f t="shared" si="1031"/>
        <v>0</v>
      </c>
    </row>
    <row r="1036" spans="1:15" ht="31.5">
      <c r="A1036" s="26" t="s">
        <v>183</v>
      </c>
      <c r="B1036" s="215">
        <v>908</v>
      </c>
      <c r="C1036" s="213" t="s">
        <v>286</v>
      </c>
      <c r="D1036" s="213" t="s">
        <v>267</v>
      </c>
      <c r="E1036" s="213" t="s">
        <v>1008</v>
      </c>
      <c r="F1036" s="213" t="s">
        <v>184</v>
      </c>
      <c r="G1036" s="28"/>
      <c r="H1036" s="28"/>
      <c r="I1036" s="28"/>
      <c r="J1036" s="28"/>
      <c r="K1036" s="28"/>
      <c r="L1036" s="28"/>
      <c r="M1036" s="28">
        <f>M1037</f>
        <v>3105.5</v>
      </c>
      <c r="N1036" s="28">
        <f t="shared" si="1087"/>
        <v>0</v>
      </c>
      <c r="O1036" s="27">
        <f t="shared" si="1031"/>
        <v>0</v>
      </c>
    </row>
    <row r="1037" spans="1:15" ht="47.25">
      <c r="A1037" s="26" t="s">
        <v>185</v>
      </c>
      <c r="B1037" s="215">
        <v>908</v>
      </c>
      <c r="C1037" s="213" t="s">
        <v>286</v>
      </c>
      <c r="D1037" s="213" t="s">
        <v>267</v>
      </c>
      <c r="E1037" s="213" t="s">
        <v>1008</v>
      </c>
      <c r="F1037" s="213" t="s">
        <v>186</v>
      </c>
      <c r="G1037" s="28"/>
      <c r="H1037" s="28"/>
      <c r="I1037" s="28"/>
      <c r="J1037" s="28"/>
      <c r="K1037" s="28"/>
      <c r="L1037" s="28"/>
      <c r="M1037" s="28">
        <v>3105.5</v>
      </c>
      <c r="N1037" s="28">
        <v>0</v>
      </c>
      <c r="O1037" s="27">
        <f aca="true" t="shared" si="1088" ref="O1037:O1100">N1037/M1037*100</f>
        <v>0</v>
      </c>
    </row>
    <row r="1038" spans="1:15" ht="31.5">
      <c r="A1038" s="24" t="s">
        <v>622</v>
      </c>
      <c r="B1038" s="212">
        <v>908</v>
      </c>
      <c r="C1038" s="214" t="s">
        <v>286</v>
      </c>
      <c r="D1038" s="214" t="s">
        <v>286</v>
      </c>
      <c r="E1038" s="214"/>
      <c r="F1038" s="214"/>
      <c r="G1038" s="22">
        <f>G1039</f>
        <v>21124.699999999997</v>
      </c>
      <c r="H1038" s="22">
        <f aca="true" t="shared" si="1089" ref="H1038:L1038">H1039</f>
        <v>15751.599999999999</v>
      </c>
      <c r="I1038" s="22">
        <f t="shared" si="1089"/>
        <v>21588.805882352943</v>
      </c>
      <c r="J1038" s="22">
        <f t="shared" si="1089"/>
        <v>24391.9</v>
      </c>
      <c r="K1038" s="22">
        <f t="shared" si="1089"/>
        <v>24520.199999999997</v>
      </c>
      <c r="L1038" s="22">
        <f t="shared" si="1089"/>
        <v>24626.1</v>
      </c>
      <c r="M1038" s="22">
        <f aca="true" t="shared" si="1090" ref="M1038:N1038">M1039</f>
        <v>20413.8</v>
      </c>
      <c r="N1038" s="22">
        <f t="shared" si="1090"/>
        <v>10636.6</v>
      </c>
      <c r="O1038" s="22">
        <f t="shared" si="1088"/>
        <v>52.10494861319304</v>
      </c>
    </row>
    <row r="1039" spans="1:15" ht="15.75">
      <c r="A1039" s="26" t="s">
        <v>173</v>
      </c>
      <c r="B1039" s="215">
        <v>908</v>
      </c>
      <c r="C1039" s="213" t="s">
        <v>286</v>
      </c>
      <c r="D1039" s="213" t="s">
        <v>286</v>
      </c>
      <c r="E1039" s="213" t="s">
        <v>174</v>
      </c>
      <c r="F1039" s="213"/>
      <c r="G1039" s="27">
        <f>G1040+G1048</f>
        <v>21124.699999999997</v>
      </c>
      <c r="H1039" s="27">
        <f>H1040+H1048</f>
        <v>15751.599999999999</v>
      </c>
      <c r="I1039" s="27">
        <f aca="true" t="shared" si="1091" ref="I1039:L1039">I1040+I1048</f>
        <v>21588.805882352943</v>
      </c>
      <c r="J1039" s="27">
        <f>J1040+J1048</f>
        <v>24391.9</v>
      </c>
      <c r="K1039" s="27">
        <f t="shared" si="1091"/>
        <v>24520.199999999997</v>
      </c>
      <c r="L1039" s="27">
        <f t="shared" si="1091"/>
        <v>24626.1</v>
      </c>
      <c r="M1039" s="27">
        <f aca="true" t="shared" si="1092" ref="M1039:N1039">M1040+M1048</f>
        <v>20413.8</v>
      </c>
      <c r="N1039" s="27">
        <f t="shared" si="1092"/>
        <v>10636.6</v>
      </c>
      <c r="O1039" s="27">
        <f t="shared" si="1088"/>
        <v>52.10494861319304</v>
      </c>
    </row>
    <row r="1040" spans="1:15" ht="31.5">
      <c r="A1040" s="26" t="s">
        <v>175</v>
      </c>
      <c r="B1040" s="215">
        <v>908</v>
      </c>
      <c r="C1040" s="213" t="s">
        <v>286</v>
      </c>
      <c r="D1040" s="213" t="s">
        <v>286</v>
      </c>
      <c r="E1040" s="213" t="s">
        <v>176</v>
      </c>
      <c r="F1040" s="213"/>
      <c r="G1040" s="27">
        <f>G1041</f>
        <v>12441.3</v>
      </c>
      <c r="H1040" s="27">
        <f>H1041</f>
        <v>9088.5</v>
      </c>
      <c r="I1040" s="27">
        <f aca="true" t="shared" si="1093" ref="I1040:L1040">I1041</f>
        <v>12947.405882352941</v>
      </c>
      <c r="J1040" s="27">
        <f>J1041</f>
        <v>15665.4</v>
      </c>
      <c r="K1040" s="27">
        <f t="shared" si="1093"/>
        <v>15665.4</v>
      </c>
      <c r="L1040" s="27">
        <f t="shared" si="1093"/>
        <v>15665.4</v>
      </c>
      <c r="M1040" s="27">
        <f aca="true" t="shared" si="1094" ref="M1040:N1040">M1041</f>
        <v>12626.9</v>
      </c>
      <c r="N1040" s="27">
        <f t="shared" si="1094"/>
        <v>6556.099999999999</v>
      </c>
      <c r="O1040" s="27">
        <f t="shared" si="1088"/>
        <v>51.92169099303867</v>
      </c>
    </row>
    <row r="1041" spans="1:15" ht="47.25">
      <c r="A1041" s="26" t="s">
        <v>177</v>
      </c>
      <c r="B1041" s="215">
        <v>908</v>
      </c>
      <c r="C1041" s="213" t="s">
        <v>286</v>
      </c>
      <c r="D1041" s="213" t="s">
        <v>286</v>
      </c>
      <c r="E1041" s="213" t="s">
        <v>178</v>
      </c>
      <c r="F1041" s="213"/>
      <c r="G1041" s="27">
        <f>G1042+G1046+G1044</f>
        <v>12441.3</v>
      </c>
      <c r="H1041" s="27">
        <f>H1042+H1046+H1044</f>
        <v>9088.5</v>
      </c>
      <c r="I1041" s="27">
        <f aca="true" t="shared" si="1095" ref="I1041:L1041">I1042+I1046+I1044</f>
        <v>12947.405882352941</v>
      </c>
      <c r="J1041" s="27">
        <f>J1042+J1046+J1044</f>
        <v>15665.4</v>
      </c>
      <c r="K1041" s="27">
        <f t="shared" si="1095"/>
        <v>15665.4</v>
      </c>
      <c r="L1041" s="27">
        <f t="shared" si="1095"/>
        <v>15665.4</v>
      </c>
      <c r="M1041" s="27">
        <f aca="true" t="shared" si="1096" ref="M1041:N1041">M1042+M1046+M1044</f>
        <v>12626.9</v>
      </c>
      <c r="N1041" s="27">
        <f t="shared" si="1096"/>
        <v>6556.099999999999</v>
      </c>
      <c r="O1041" s="27">
        <f t="shared" si="1088"/>
        <v>51.92169099303867</v>
      </c>
    </row>
    <row r="1042" spans="1:15" ht="94.5">
      <c r="A1042" s="26" t="s">
        <v>179</v>
      </c>
      <c r="B1042" s="215">
        <v>908</v>
      </c>
      <c r="C1042" s="213" t="s">
        <v>286</v>
      </c>
      <c r="D1042" s="213" t="s">
        <v>286</v>
      </c>
      <c r="E1042" s="213" t="s">
        <v>178</v>
      </c>
      <c r="F1042" s="213" t="s">
        <v>180</v>
      </c>
      <c r="G1042" s="27">
        <f>G1043</f>
        <v>12267.4</v>
      </c>
      <c r="H1042" s="27">
        <f>H1043</f>
        <v>9047.9</v>
      </c>
      <c r="I1042" s="27">
        <f aca="true" t="shared" si="1097" ref="I1042:L1042">I1043</f>
        <v>12773.505882352942</v>
      </c>
      <c r="J1042" s="27">
        <f t="shared" si="1097"/>
        <v>15284</v>
      </c>
      <c r="K1042" s="27">
        <f t="shared" si="1097"/>
        <v>15284</v>
      </c>
      <c r="L1042" s="27">
        <f t="shared" si="1097"/>
        <v>15284</v>
      </c>
      <c r="M1042" s="27">
        <f aca="true" t="shared" si="1098" ref="M1042:N1042">M1043</f>
        <v>12500.4</v>
      </c>
      <c r="N1042" s="27">
        <f t="shared" si="1098"/>
        <v>6540.7</v>
      </c>
      <c r="O1042" s="27">
        <f t="shared" si="1088"/>
        <v>52.3239256343797</v>
      </c>
    </row>
    <row r="1043" spans="1:15" ht="31.5">
      <c r="A1043" s="26" t="s">
        <v>181</v>
      </c>
      <c r="B1043" s="215">
        <v>908</v>
      </c>
      <c r="C1043" s="213" t="s">
        <v>286</v>
      </c>
      <c r="D1043" s="213" t="s">
        <v>286</v>
      </c>
      <c r="E1043" s="213" t="s">
        <v>178</v>
      </c>
      <c r="F1043" s="213" t="s">
        <v>182</v>
      </c>
      <c r="G1043" s="28">
        <v>12267.4</v>
      </c>
      <c r="H1043" s="28">
        <v>9047.9</v>
      </c>
      <c r="I1043" s="28">
        <f>H1043/8.5*12</f>
        <v>12773.505882352942</v>
      </c>
      <c r="J1043" s="28">
        <v>15284</v>
      </c>
      <c r="K1043" s="28">
        <v>15284</v>
      </c>
      <c r="L1043" s="28">
        <v>15284</v>
      </c>
      <c r="M1043" s="28">
        <v>12500.4</v>
      </c>
      <c r="N1043" s="28">
        <v>6540.7</v>
      </c>
      <c r="O1043" s="27">
        <f t="shared" si="1088"/>
        <v>52.3239256343797</v>
      </c>
    </row>
    <row r="1044" spans="1:15" ht="31.5">
      <c r="A1044" s="26" t="s">
        <v>183</v>
      </c>
      <c r="B1044" s="215">
        <v>908</v>
      </c>
      <c r="C1044" s="213" t="s">
        <v>286</v>
      </c>
      <c r="D1044" s="213" t="s">
        <v>286</v>
      </c>
      <c r="E1044" s="213" t="s">
        <v>178</v>
      </c>
      <c r="F1044" s="213" t="s">
        <v>184</v>
      </c>
      <c r="G1044" s="27">
        <f aca="true" t="shared" si="1099" ref="G1044:L1044">G1045</f>
        <v>25</v>
      </c>
      <c r="H1044" s="27">
        <f t="shared" si="1099"/>
        <v>25</v>
      </c>
      <c r="I1044" s="27">
        <f t="shared" si="1099"/>
        <v>25</v>
      </c>
      <c r="J1044" s="27">
        <f t="shared" si="1099"/>
        <v>232.49999999999997</v>
      </c>
      <c r="K1044" s="27">
        <f t="shared" si="1099"/>
        <v>232.49999999999997</v>
      </c>
      <c r="L1044" s="27">
        <f t="shared" si="1099"/>
        <v>232.49999999999997</v>
      </c>
      <c r="M1044" s="27">
        <f aca="true" t="shared" si="1100" ref="M1044">M1045</f>
        <v>25</v>
      </c>
      <c r="N1044" s="27">
        <f>N1045</f>
        <v>0</v>
      </c>
      <c r="O1044" s="27">
        <f t="shared" si="1088"/>
        <v>0</v>
      </c>
    </row>
    <row r="1045" spans="1:15" ht="47.25">
      <c r="A1045" s="26" t="s">
        <v>185</v>
      </c>
      <c r="B1045" s="215">
        <v>908</v>
      </c>
      <c r="C1045" s="213" t="s">
        <v>286</v>
      </c>
      <c r="D1045" s="213" t="s">
        <v>286</v>
      </c>
      <c r="E1045" s="213" t="s">
        <v>178</v>
      </c>
      <c r="F1045" s="213" t="s">
        <v>186</v>
      </c>
      <c r="G1045" s="28">
        <v>25</v>
      </c>
      <c r="H1045" s="28">
        <v>25</v>
      </c>
      <c r="I1045" s="28">
        <v>25</v>
      </c>
      <c r="J1045" s="28">
        <f>381.4-J1047</f>
        <v>232.49999999999997</v>
      </c>
      <c r="K1045" s="28">
        <f>J1045</f>
        <v>232.49999999999997</v>
      </c>
      <c r="L1045" s="28">
        <f>K1045</f>
        <v>232.49999999999997</v>
      </c>
      <c r="M1045" s="28">
        <v>25</v>
      </c>
      <c r="N1045" s="28">
        <v>0</v>
      </c>
      <c r="O1045" s="27">
        <f t="shared" si="1088"/>
        <v>0</v>
      </c>
    </row>
    <row r="1046" spans="1:15" ht="15.75">
      <c r="A1046" s="26" t="s">
        <v>187</v>
      </c>
      <c r="B1046" s="215">
        <v>908</v>
      </c>
      <c r="C1046" s="213" t="s">
        <v>286</v>
      </c>
      <c r="D1046" s="213" t="s">
        <v>286</v>
      </c>
      <c r="E1046" s="213" t="s">
        <v>178</v>
      </c>
      <c r="F1046" s="213" t="s">
        <v>197</v>
      </c>
      <c r="G1046" s="27">
        <f>G1047</f>
        <v>148.9</v>
      </c>
      <c r="H1046" s="27">
        <f>H1047</f>
        <v>15.6</v>
      </c>
      <c r="I1046" s="27">
        <f aca="true" t="shared" si="1101" ref="I1046:L1046">I1047</f>
        <v>148.9</v>
      </c>
      <c r="J1046" s="27">
        <f t="shared" si="1101"/>
        <v>148.9</v>
      </c>
      <c r="K1046" s="27">
        <f t="shared" si="1101"/>
        <v>148.9</v>
      </c>
      <c r="L1046" s="27">
        <f t="shared" si="1101"/>
        <v>148.9</v>
      </c>
      <c r="M1046" s="27">
        <f aca="true" t="shared" si="1102" ref="M1046:N1046">M1047</f>
        <v>101.5</v>
      </c>
      <c r="N1046" s="27">
        <f t="shared" si="1102"/>
        <v>15.4</v>
      </c>
      <c r="O1046" s="27">
        <f t="shared" si="1088"/>
        <v>15.172413793103448</v>
      </c>
    </row>
    <row r="1047" spans="1:15" ht="15.75">
      <c r="A1047" s="26" t="s">
        <v>621</v>
      </c>
      <c r="B1047" s="215">
        <v>908</v>
      </c>
      <c r="C1047" s="213" t="s">
        <v>286</v>
      </c>
      <c r="D1047" s="213" t="s">
        <v>286</v>
      </c>
      <c r="E1047" s="213" t="s">
        <v>178</v>
      </c>
      <c r="F1047" s="213" t="s">
        <v>190</v>
      </c>
      <c r="G1047" s="27">
        <f>89+59.9</f>
        <v>148.9</v>
      </c>
      <c r="H1047" s="27">
        <v>15.6</v>
      </c>
      <c r="I1047" s="27">
        <f aca="true" t="shared" si="1103" ref="I1047:L1047">89+59.9</f>
        <v>148.9</v>
      </c>
      <c r="J1047" s="27">
        <f t="shared" si="1103"/>
        <v>148.9</v>
      </c>
      <c r="K1047" s="27">
        <f t="shared" si="1103"/>
        <v>148.9</v>
      </c>
      <c r="L1047" s="27">
        <f t="shared" si="1103"/>
        <v>148.9</v>
      </c>
      <c r="M1047" s="27">
        <f>89+59.9+39.8-47.2-40</f>
        <v>101.5</v>
      </c>
      <c r="N1047" s="27">
        <v>15.4</v>
      </c>
      <c r="O1047" s="27">
        <f t="shared" si="1088"/>
        <v>15.172413793103448</v>
      </c>
    </row>
    <row r="1048" spans="1:15" ht="15.75">
      <c r="A1048" s="26" t="s">
        <v>193</v>
      </c>
      <c r="B1048" s="215">
        <v>908</v>
      </c>
      <c r="C1048" s="213" t="s">
        <v>286</v>
      </c>
      <c r="D1048" s="213" t="s">
        <v>286</v>
      </c>
      <c r="E1048" s="213" t="s">
        <v>194</v>
      </c>
      <c r="F1048" s="213"/>
      <c r="G1048" s="27">
        <f>G1052+G1049</f>
        <v>8683.4</v>
      </c>
      <c r="H1048" s="27">
        <f>H1052+H1049</f>
        <v>6663.099999999999</v>
      </c>
      <c r="I1048" s="27">
        <f aca="true" t="shared" si="1104" ref="I1048:L1048">I1052+I1049</f>
        <v>8641.4</v>
      </c>
      <c r="J1048" s="27">
        <f>J1052+J1049</f>
        <v>8726.5</v>
      </c>
      <c r="K1048" s="27">
        <f t="shared" si="1104"/>
        <v>8854.8</v>
      </c>
      <c r="L1048" s="27">
        <f t="shared" si="1104"/>
        <v>8960.7</v>
      </c>
      <c r="M1048" s="27">
        <f aca="true" t="shared" si="1105" ref="M1048:N1048">M1052+M1049</f>
        <v>7786.9</v>
      </c>
      <c r="N1048" s="27">
        <f t="shared" si="1105"/>
        <v>4080.5000000000005</v>
      </c>
      <c r="O1048" s="27">
        <f t="shared" si="1088"/>
        <v>52.40211123810503</v>
      </c>
    </row>
    <row r="1049" spans="1:15" ht="31.5">
      <c r="A1049" s="26" t="s">
        <v>623</v>
      </c>
      <c r="B1049" s="215">
        <v>908</v>
      </c>
      <c r="C1049" s="213" t="s">
        <v>286</v>
      </c>
      <c r="D1049" s="213" t="s">
        <v>286</v>
      </c>
      <c r="E1049" s="213" t="s">
        <v>624</v>
      </c>
      <c r="F1049" s="213"/>
      <c r="G1049" s="28">
        <f>G1050</f>
        <v>1461</v>
      </c>
      <c r="H1049" s="28">
        <f>H1050</f>
        <v>262.5</v>
      </c>
      <c r="I1049" s="28">
        <f aca="true" t="shared" si="1106" ref="I1049:L1050">I1050</f>
        <v>700</v>
      </c>
      <c r="J1049" s="28">
        <f t="shared" si="1106"/>
        <v>1541</v>
      </c>
      <c r="K1049" s="28">
        <f t="shared" si="1106"/>
        <v>1541</v>
      </c>
      <c r="L1049" s="28">
        <f t="shared" si="1106"/>
        <v>1541</v>
      </c>
      <c r="M1049" s="28">
        <f aca="true" t="shared" si="1107" ref="M1049:N1050">M1050</f>
        <v>982.2</v>
      </c>
      <c r="N1049" s="28">
        <f t="shared" si="1107"/>
        <v>340.3</v>
      </c>
      <c r="O1049" s="27">
        <f t="shared" si="1088"/>
        <v>34.64671146406027</v>
      </c>
    </row>
    <row r="1050" spans="1:15" ht="15.75">
      <c r="A1050" s="26" t="s">
        <v>187</v>
      </c>
      <c r="B1050" s="215">
        <v>908</v>
      </c>
      <c r="C1050" s="213" t="s">
        <v>286</v>
      </c>
      <c r="D1050" s="213" t="s">
        <v>286</v>
      </c>
      <c r="E1050" s="213" t="s">
        <v>624</v>
      </c>
      <c r="F1050" s="213" t="s">
        <v>197</v>
      </c>
      <c r="G1050" s="28">
        <f>G1051</f>
        <v>1461</v>
      </c>
      <c r="H1050" s="28">
        <f>H1051</f>
        <v>262.5</v>
      </c>
      <c r="I1050" s="28">
        <f t="shared" si="1106"/>
        <v>700</v>
      </c>
      <c r="J1050" s="28">
        <f t="shared" si="1106"/>
        <v>1541</v>
      </c>
      <c r="K1050" s="28">
        <f t="shared" si="1106"/>
        <v>1541</v>
      </c>
      <c r="L1050" s="28">
        <f t="shared" si="1106"/>
        <v>1541</v>
      </c>
      <c r="M1050" s="28">
        <f t="shared" si="1107"/>
        <v>982.2</v>
      </c>
      <c r="N1050" s="28">
        <f t="shared" si="1107"/>
        <v>340.3</v>
      </c>
      <c r="O1050" s="27">
        <f t="shared" si="1088"/>
        <v>34.64671146406027</v>
      </c>
    </row>
    <row r="1051" spans="1:15" ht="47.25" customHeight="1">
      <c r="A1051" s="26" t="s">
        <v>236</v>
      </c>
      <c r="B1051" s="215">
        <v>908</v>
      </c>
      <c r="C1051" s="213" t="s">
        <v>286</v>
      </c>
      <c r="D1051" s="213" t="s">
        <v>286</v>
      </c>
      <c r="E1051" s="213" t="s">
        <v>624</v>
      </c>
      <c r="F1051" s="213" t="s">
        <v>212</v>
      </c>
      <c r="G1051" s="28">
        <v>1461</v>
      </c>
      <c r="H1051" s="28">
        <v>262.5</v>
      </c>
      <c r="I1051" s="28">
        <v>700</v>
      </c>
      <c r="J1051" s="28">
        <f>1541</f>
        <v>1541</v>
      </c>
      <c r="K1051" s="28">
        <v>1541</v>
      </c>
      <c r="L1051" s="28">
        <v>1541</v>
      </c>
      <c r="M1051" s="28">
        <v>982.2</v>
      </c>
      <c r="N1051" s="28">
        <v>340.3</v>
      </c>
      <c r="O1051" s="27">
        <f t="shared" si="1088"/>
        <v>34.64671146406027</v>
      </c>
    </row>
    <row r="1052" spans="1:15" ht="31.5">
      <c r="A1052" s="26" t="s">
        <v>392</v>
      </c>
      <c r="B1052" s="215">
        <v>908</v>
      </c>
      <c r="C1052" s="213" t="s">
        <v>286</v>
      </c>
      <c r="D1052" s="213" t="s">
        <v>286</v>
      </c>
      <c r="E1052" s="213" t="s">
        <v>393</v>
      </c>
      <c r="F1052" s="213"/>
      <c r="G1052" s="27">
        <f>G1053+G1055</f>
        <v>7222.4</v>
      </c>
      <c r="H1052" s="27">
        <f>H1053+H1055</f>
        <v>6400.599999999999</v>
      </c>
      <c r="I1052" s="27">
        <f aca="true" t="shared" si="1108" ref="I1052:L1052">I1053+I1055</f>
        <v>7941.4</v>
      </c>
      <c r="J1052" s="27">
        <f>J1053+J1055</f>
        <v>7185.5</v>
      </c>
      <c r="K1052" s="27">
        <f t="shared" si="1108"/>
        <v>7313.799999999999</v>
      </c>
      <c r="L1052" s="27">
        <f t="shared" si="1108"/>
        <v>7419.7</v>
      </c>
      <c r="M1052" s="27">
        <f aca="true" t="shared" si="1109" ref="M1052">M1053+M1055</f>
        <v>6804.7</v>
      </c>
      <c r="N1052" s="27">
        <f>N1053+N1055</f>
        <v>3740.2000000000003</v>
      </c>
      <c r="O1052" s="27">
        <f t="shared" si="1088"/>
        <v>54.96495069584258</v>
      </c>
    </row>
    <row r="1053" spans="1:15" ht="94.5">
      <c r="A1053" s="26" t="s">
        <v>179</v>
      </c>
      <c r="B1053" s="215">
        <v>908</v>
      </c>
      <c r="C1053" s="213" t="s">
        <v>286</v>
      </c>
      <c r="D1053" s="213" t="s">
        <v>286</v>
      </c>
      <c r="E1053" s="213" t="s">
        <v>393</v>
      </c>
      <c r="F1053" s="213" t="s">
        <v>180</v>
      </c>
      <c r="G1053" s="27">
        <f>G1054</f>
        <v>5565.9</v>
      </c>
      <c r="H1053" s="27">
        <f>H1054</f>
        <v>5406.2</v>
      </c>
      <c r="I1053" s="27">
        <f aca="true" t="shared" si="1110" ref="I1053:L1053">I1054</f>
        <v>6615.5</v>
      </c>
      <c r="J1053" s="27">
        <f t="shared" si="1110"/>
        <v>4547.3</v>
      </c>
      <c r="K1053" s="27">
        <f t="shared" si="1110"/>
        <v>4592.7</v>
      </c>
      <c r="L1053" s="27">
        <f t="shared" si="1110"/>
        <v>4638.7</v>
      </c>
      <c r="M1053" s="27">
        <f aca="true" t="shared" si="1111" ref="M1053:N1053">M1054</f>
        <v>4826.2</v>
      </c>
      <c r="N1053" s="27">
        <f t="shared" si="1111"/>
        <v>2910.8</v>
      </c>
      <c r="O1053" s="27">
        <f t="shared" si="1088"/>
        <v>60.31246114955866</v>
      </c>
    </row>
    <row r="1054" spans="1:15" ht="31.5">
      <c r="A1054" s="26" t="s">
        <v>394</v>
      </c>
      <c r="B1054" s="215">
        <v>908</v>
      </c>
      <c r="C1054" s="213" t="s">
        <v>286</v>
      </c>
      <c r="D1054" s="213" t="s">
        <v>286</v>
      </c>
      <c r="E1054" s="213" t="s">
        <v>393</v>
      </c>
      <c r="F1054" s="213" t="s">
        <v>261</v>
      </c>
      <c r="G1054" s="28">
        <v>5565.9</v>
      </c>
      <c r="H1054" s="28">
        <v>5406.2</v>
      </c>
      <c r="I1054" s="28">
        <v>6615.5</v>
      </c>
      <c r="J1054" s="28">
        <v>4547.3</v>
      </c>
      <c r="K1054" s="28">
        <v>4592.7</v>
      </c>
      <c r="L1054" s="28">
        <v>4638.7</v>
      </c>
      <c r="M1054" s="28">
        <v>4826.2</v>
      </c>
      <c r="N1054" s="28">
        <v>2910.8</v>
      </c>
      <c r="O1054" s="27">
        <f t="shared" si="1088"/>
        <v>60.31246114955866</v>
      </c>
    </row>
    <row r="1055" spans="1:15" ht="31.5">
      <c r="A1055" s="26" t="s">
        <v>183</v>
      </c>
      <c r="B1055" s="215">
        <v>908</v>
      </c>
      <c r="C1055" s="213" t="s">
        <v>286</v>
      </c>
      <c r="D1055" s="213" t="s">
        <v>286</v>
      </c>
      <c r="E1055" s="213" t="s">
        <v>393</v>
      </c>
      <c r="F1055" s="213" t="s">
        <v>184</v>
      </c>
      <c r="G1055" s="27">
        <f>G1056</f>
        <v>1656.5</v>
      </c>
      <c r="H1055" s="27">
        <f>H1056</f>
        <v>994.4</v>
      </c>
      <c r="I1055" s="27">
        <f aca="true" t="shared" si="1112" ref="I1055:L1055">I1056</f>
        <v>1325.9</v>
      </c>
      <c r="J1055" s="27">
        <f t="shared" si="1112"/>
        <v>2638.2</v>
      </c>
      <c r="K1055" s="27">
        <f t="shared" si="1112"/>
        <v>2721.1</v>
      </c>
      <c r="L1055" s="27">
        <f t="shared" si="1112"/>
        <v>2781</v>
      </c>
      <c r="M1055" s="27">
        <f aca="true" t="shared" si="1113" ref="M1055:N1055">M1056</f>
        <v>1978.5</v>
      </c>
      <c r="N1055" s="27">
        <f t="shared" si="1113"/>
        <v>829.4</v>
      </c>
      <c r="O1055" s="27">
        <f t="shared" si="1088"/>
        <v>41.920646954763704</v>
      </c>
    </row>
    <row r="1056" spans="1:15" ht="47.25">
      <c r="A1056" s="26" t="s">
        <v>185</v>
      </c>
      <c r="B1056" s="215">
        <v>908</v>
      </c>
      <c r="C1056" s="213" t="s">
        <v>286</v>
      </c>
      <c r="D1056" s="213" t="s">
        <v>286</v>
      </c>
      <c r="E1056" s="213" t="s">
        <v>393</v>
      </c>
      <c r="F1056" s="213" t="s">
        <v>186</v>
      </c>
      <c r="G1056" s="28">
        <f>1341.9+928.5-198.8-595.1+180</f>
        <v>1656.5</v>
      </c>
      <c r="H1056" s="28">
        <v>994.4</v>
      </c>
      <c r="I1056" s="28">
        <v>1325.9</v>
      </c>
      <c r="J1056" s="28">
        <v>2638.2</v>
      </c>
      <c r="K1056" s="28">
        <v>2721.1</v>
      </c>
      <c r="L1056" s="28">
        <v>2781</v>
      </c>
      <c r="M1056" s="28">
        <v>1978.5</v>
      </c>
      <c r="N1056" s="28">
        <v>829.4</v>
      </c>
      <c r="O1056" s="27">
        <f t="shared" si="1088"/>
        <v>41.920646954763704</v>
      </c>
    </row>
    <row r="1057" spans="1:15" ht="15.75">
      <c r="A1057" s="24" t="s">
        <v>295</v>
      </c>
      <c r="B1057" s="212">
        <v>908</v>
      </c>
      <c r="C1057" s="214" t="s">
        <v>296</v>
      </c>
      <c r="D1057" s="214"/>
      <c r="E1057" s="214"/>
      <c r="F1057" s="214"/>
      <c r="G1057" s="22">
        <f aca="true" t="shared" si="1114" ref="G1057:L1062">G1058</f>
        <v>87.1</v>
      </c>
      <c r="H1057" s="22">
        <f t="shared" si="1114"/>
        <v>0</v>
      </c>
      <c r="I1057" s="22">
        <f t="shared" si="1114"/>
        <v>87.1</v>
      </c>
      <c r="J1057" s="22">
        <f t="shared" si="1114"/>
        <v>107.8</v>
      </c>
      <c r="K1057" s="22">
        <f t="shared" si="1114"/>
        <v>107.8</v>
      </c>
      <c r="L1057" s="22">
        <f t="shared" si="1114"/>
        <v>107.8</v>
      </c>
      <c r="M1057" s="22">
        <f aca="true" t="shared" si="1115" ref="M1057:N1062">M1058</f>
        <v>87.1</v>
      </c>
      <c r="N1057" s="22">
        <f t="shared" si="1115"/>
        <v>36.1</v>
      </c>
      <c r="O1057" s="22">
        <f t="shared" si="1088"/>
        <v>41.446613088404135</v>
      </c>
    </row>
    <row r="1058" spans="1:15" ht="31.5">
      <c r="A1058" s="24" t="s">
        <v>310</v>
      </c>
      <c r="B1058" s="212">
        <v>908</v>
      </c>
      <c r="C1058" s="214" t="s">
        <v>296</v>
      </c>
      <c r="D1058" s="214" t="s">
        <v>172</v>
      </c>
      <c r="E1058" s="214"/>
      <c r="F1058" s="214"/>
      <c r="G1058" s="22">
        <f t="shared" si="1114"/>
        <v>87.1</v>
      </c>
      <c r="H1058" s="22">
        <f t="shared" si="1114"/>
        <v>0</v>
      </c>
      <c r="I1058" s="22">
        <f t="shared" si="1114"/>
        <v>87.1</v>
      </c>
      <c r="J1058" s="22">
        <f t="shared" si="1114"/>
        <v>107.8</v>
      </c>
      <c r="K1058" s="22">
        <f t="shared" si="1114"/>
        <v>107.8</v>
      </c>
      <c r="L1058" s="22">
        <f t="shared" si="1114"/>
        <v>107.8</v>
      </c>
      <c r="M1058" s="22">
        <f t="shared" si="1115"/>
        <v>87.1</v>
      </c>
      <c r="N1058" s="22">
        <f t="shared" si="1115"/>
        <v>36.1</v>
      </c>
      <c r="O1058" s="22">
        <f t="shared" si="1088"/>
        <v>41.446613088404135</v>
      </c>
    </row>
    <row r="1059" spans="1:15" ht="15.75">
      <c r="A1059" s="26" t="s">
        <v>173</v>
      </c>
      <c r="B1059" s="215">
        <v>908</v>
      </c>
      <c r="C1059" s="213" t="s">
        <v>296</v>
      </c>
      <c r="D1059" s="213" t="s">
        <v>172</v>
      </c>
      <c r="E1059" s="213" t="s">
        <v>174</v>
      </c>
      <c r="F1059" s="213"/>
      <c r="G1059" s="22">
        <f t="shared" si="1114"/>
        <v>87.1</v>
      </c>
      <c r="H1059" s="22">
        <f t="shared" si="1114"/>
        <v>0</v>
      </c>
      <c r="I1059" s="22">
        <f t="shared" si="1114"/>
        <v>87.1</v>
      </c>
      <c r="J1059" s="22">
        <f t="shared" si="1114"/>
        <v>107.8</v>
      </c>
      <c r="K1059" s="22">
        <f t="shared" si="1114"/>
        <v>107.8</v>
      </c>
      <c r="L1059" s="22">
        <f t="shared" si="1114"/>
        <v>107.8</v>
      </c>
      <c r="M1059" s="22">
        <f t="shared" si="1115"/>
        <v>87.1</v>
      </c>
      <c r="N1059" s="22">
        <f t="shared" si="1115"/>
        <v>36.1</v>
      </c>
      <c r="O1059" s="22">
        <f t="shared" si="1088"/>
        <v>41.446613088404135</v>
      </c>
    </row>
    <row r="1060" spans="1:15" ht="15.75">
      <c r="A1060" s="26" t="s">
        <v>193</v>
      </c>
      <c r="B1060" s="215">
        <v>908</v>
      </c>
      <c r="C1060" s="213" t="s">
        <v>296</v>
      </c>
      <c r="D1060" s="213" t="s">
        <v>172</v>
      </c>
      <c r="E1060" s="213" t="s">
        <v>194</v>
      </c>
      <c r="F1060" s="213"/>
      <c r="G1060" s="27">
        <f t="shared" si="1114"/>
        <v>87.1</v>
      </c>
      <c r="H1060" s="27">
        <f t="shared" si="1114"/>
        <v>0</v>
      </c>
      <c r="I1060" s="27">
        <f t="shared" si="1114"/>
        <v>87.1</v>
      </c>
      <c r="J1060" s="27">
        <f t="shared" si="1114"/>
        <v>107.8</v>
      </c>
      <c r="K1060" s="27">
        <f t="shared" si="1114"/>
        <v>107.8</v>
      </c>
      <c r="L1060" s="27">
        <f t="shared" si="1114"/>
        <v>107.8</v>
      </c>
      <c r="M1060" s="27">
        <f t="shared" si="1115"/>
        <v>87.1</v>
      </c>
      <c r="N1060" s="27">
        <f t="shared" si="1115"/>
        <v>36.1</v>
      </c>
      <c r="O1060" s="27">
        <f t="shared" si="1088"/>
        <v>41.446613088404135</v>
      </c>
    </row>
    <row r="1061" spans="1:15" ht="15.75">
      <c r="A1061" s="26" t="s">
        <v>625</v>
      </c>
      <c r="B1061" s="215">
        <v>908</v>
      </c>
      <c r="C1061" s="213" t="s">
        <v>296</v>
      </c>
      <c r="D1061" s="213" t="s">
        <v>172</v>
      </c>
      <c r="E1061" s="213" t="s">
        <v>626</v>
      </c>
      <c r="F1061" s="213"/>
      <c r="G1061" s="27">
        <f t="shared" si="1114"/>
        <v>87.1</v>
      </c>
      <c r="H1061" s="27">
        <f t="shared" si="1114"/>
        <v>0</v>
      </c>
      <c r="I1061" s="27">
        <f t="shared" si="1114"/>
        <v>87.1</v>
      </c>
      <c r="J1061" s="27">
        <f t="shared" si="1114"/>
        <v>107.8</v>
      </c>
      <c r="K1061" s="27">
        <f t="shared" si="1114"/>
        <v>107.8</v>
      </c>
      <c r="L1061" s="27">
        <f t="shared" si="1114"/>
        <v>107.8</v>
      </c>
      <c r="M1061" s="27">
        <f t="shared" si="1115"/>
        <v>87.1</v>
      </c>
      <c r="N1061" s="27">
        <f t="shared" si="1115"/>
        <v>36.1</v>
      </c>
      <c r="O1061" s="27">
        <f t="shared" si="1088"/>
        <v>41.446613088404135</v>
      </c>
    </row>
    <row r="1062" spans="1:15" ht="15.75">
      <c r="A1062" s="26" t="s">
        <v>187</v>
      </c>
      <c r="B1062" s="215">
        <v>908</v>
      </c>
      <c r="C1062" s="213" t="s">
        <v>296</v>
      </c>
      <c r="D1062" s="213" t="s">
        <v>172</v>
      </c>
      <c r="E1062" s="213" t="s">
        <v>626</v>
      </c>
      <c r="F1062" s="213" t="s">
        <v>197</v>
      </c>
      <c r="G1062" s="27">
        <f t="shared" si="1114"/>
        <v>87.1</v>
      </c>
      <c r="H1062" s="27">
        <f t="shared" si="1114"/>
        <v>0</v>
      </c>
      <c r="I1062" s="27">
        <f t="shared" si="1114"/>
        <v>87.1</v>
      </c>
      <c r="J1062" s="27">
        <f t="shared" si="1114"/>
        <v>107.8</v>
      </c>
      <c r="K1062" s="27">
        <f t="shared" si="1114"/>
        <v>107.8</v>
      </c>
      <c r="L1062" s="27">
        <f t="shared" si="1114"/>
        <v>107.8</v>
      </c>
      <c r="M1062" s="27">
        <f t="shared" si="1115"/>
        <v>87.1</v>
      </c>
      <c r="N1062" s="27">
        <f t="shared" si="1115"/>
        <v>36.1</v>
      </c>
      <c r="O1062" s="27">
        <f t="shared" si="1088"/>
        <v>41.446613088404135</v>
      </c>
    </row>
    <row r="1063" spans="1:15" ht="54.75" customHeight="1">
      <c r="A1063" s="26" t="s">
        <v>236</v>
      </c>
      <c r="B1063" s="215">
        <v>908</v>
      </c>
      <c r="C1063" s="213" t="s">
        <v>296</v>
      </c>
      <c r="D1063" s="213" t="s">
        <v>172</v>
      </c>
      <c r="E1063" s="213" t="s">
        <v>626</v>
      </c>
      <c r="F1063" s="213" t="s">
        <v>212</v>
      </c>
      <c r="G1063" s="27">
        <v>87.1</v>
      </c>
      <c r="H1063" s="27">
        <v>0</v>
      </c>
      <c r="I1063" s="27">
        <v>87.1</v>
      </c>
      <c r="J1063" s="27">
        <v>107.8</v>
      </c>
      <c r="K1063" s="27">
        <v>107.8</v>
      </c>
      <c r="L1063" s="27">
        <v>107.8</v>
      </c>
      <c r="M1063" s="27">
        <v>87.1</v>
      </c>
      <c r="N1063" s="27">
        <v>36.1</v>
      </c>
      <c r="O1063" s="27">
        <f t="shared" si="1088"/>
        <v>41.446613088404135</v>
      </c>
    </row>
    <row r="1064" spans="1:15" ht="31.5">
      <c r="A1064" s="20" t="s">
        <v>627</v>
      </c>
      <c r="B1064" s="212">
        <v>910</v>
      </c>
      <c r="C1064" s="223"/>
      <c r="D1064" s="223"/>
      <c r="E1064" s="223"/>
      <c r="F1064" s="223"/>
      <c r="G1064" s="22">
        <f>G1065</f>
        <v>7042.5</v>
      </c>
      <c r="H1064" s="22">
        <f aca="true" t="shared" si="1116" ref="H1064:L1064">H1065</f>
        <v>5729.2</v>
      </c>
      <c r="I1064" s="22">
        <f t="shared" si="1116"/>
        <v>7830.5</v>
      </c>
      <c r="J1064" s="22">
        <f t="shared" si="1116"/>
        <v>8460</v>
      </c>
      <c r="K1064" s="22">
        <f t="shared" si="1116"/>
        <v>8460</v>
      </c>
      <c r="L1064" s="22">
        <f t="shared" si="1116"/>
        <v>8460</v>
      </c>
      <c r="M1064" s="22">
        <f aca="true" t="shared" si="1117" ref="M1064:N1064">M1065</f>
        <v>7014.5</v>
      </c>
      <c r="N1064" s="22">
        <f t="shared" si="1117"/>
        <v>4750</v>
      </c>
      <c r="O1064" s="22">
        <f t="shared" si="1088"/>
        <v>67.71687219331385</v>
      </c>
    </row>
    <row r="1065" spans="1:15" ht="15.75">
      <c r="A1065" s="24" t="s">
        <v>169</v>
      </c>
      <c r="B1065" s="212">
        <v>910</v>
      </c>
      <c r="C1065" s="214" t="s">
        <v>170</v>
      </c>
      <c r="D1065" s="214"/>
      <c r="E1065" s="214"/>
      <c r="F1065" s="214"/>
      <c r="G1065" s="22">
        <f>G1066+G1074+G1084+G1092</f>
        <v>7042.5</v>
      </c>
      <c r="H1065" s="22">
        <f>H1066+H1074+H1084+H1092</f>
        <v>5729.2</v>
      </c>
      <c r="I1065" s="22">
        <f aca="true" t="shared" si="1118" ref="I1065:L1065">I1066+I1074+I1084+I1092</f>
        <v>7830.5</v>
      </c>
      <c r="J1065" s="22">
        <f t="shared" si="1118"/>
        <v>8460</v>
      </c>
      <c r="K1065" s="22">
        <f t="shared" si="1118"/>
        <v>8460</v>
      </c>
      <c r="L1065" s="22">
        <f t="shared" si="1118"/>
        <v>8460</v>
      </c>
      <c r="M1065" s="22">
        <f aca="true" t="shared" si="1119" ref="M1065:N1065">M1066+M1074+M1084+M1092</f>
        <v>7014.5</v>
      </c>
      <c r="N1065" s="22">
        <f t="shared" si="1119"/>
        <v>4750</v>
      </c>
      <c r="O1065" s="22">
        <f t="shared" si="1088"/>
        <v>67.71687219331385</v>
      </c>
    </row>
    <row r="1066" spans="1:15" ht="47.25">
      <c r="A1066" s="24" t="s">
        <v>628</v>
      </c>
      <c r="B1066" s="212">
        <v>910</v>
      </c>
      <c r="C1066" s="214" t="s">
        <v>170</v>
      </c>
      <c r="D1066" s="214" t="s">
        <v>265</v>
      </c>
      <c r="E1066" s="214"/>
      <c r="F1066" s="214"/>
      <c r="G1066" s="22">
        <f>G1067</f>
        <v>4133.6</v>
      </c>
      <c r="H1066" s="22">
        <f>H1067</f>
        <v>3195</v>
      </c>
      <c r="I1066" s="22">
        <f aca="true" t="shared" si="1120" ref="I1066:L1066">I1067</f>
        <v>4411.6</v>
      </c>
      <c r="J1066" s="22">
        <f t="shared" si="1120"/>
        <v>4342.8</v>
      </c>
      <c r="K1066" s="22">
        <f t="shared" si="1120"/>
        <v>4342.8</v>
      </c>
      <c r="L1066" s="22">
        <f t="shared" si="1120"/>
        <v>4342.8</v>
      </c>
      <c r="M1066" s="22">
        <f aca="true" t="shared" si="1121" ref="M1066:N1068">M1067</f>
        <v>4342.8</v>
      </c>
      <c r="N1066" s="22">
        <f t="shared" si="1121"/>
        <v>2836.4</v>
      </c>
      <c r="O1066" s="22">
        <f t="shared" si="1088"/>
        <v>65.31270148291425</v>
      </c>
    </row>
    <row r="1067" spans="1:15" ht="15.75">
      <c r="A1067" s="26" t="s">
        <v>173</v>
      </c>
      <c r="B1067" s="215">
        <v>910</v>
      </c>
      <c r="C1067" s="213" t="s">
        <v>170</v>
      </c>
      <c r="D1067" s="213" t="s">
        <v>265</v>
      </c>
      <c r="E1067" s="213" t="s">
        <v>174</v>
      </c>
      <c r="F1067" s="213"/>
      <c r="G1067" s="27">
        <f aca="true" t="shared" si="1122" ref="G1067:L1068">G1068</f>
        <v>4133.6</v>
      </c>
      <c r="H1067" s="27">
        <f t="shared" si="1122"/>
        <v>3195</v>
      </c>
      <c r="I1067" s="27">
        <f t="shared" si="1122"/>
        <v>4411.6</v>
      </c>
      <c r="J1067" s="27">
        <f t="shared" si="1122"/>
        <v>4342.8</v>
      </c>
      <c r="K1067" s="27">
        <f t="shared" si="1122"/>
        <v>4342.8</v>
      </c>
      <c r="L1067" s="27">
        <f t="shared" si="1122"/>
        <v>4342.8</v>
      </c>
      <c r="M1067" s="27">
        <f t="shared" si="1121"/>
        <v>4342.8</v>
      </c>
      <c r="N1067" s="27">
        <f t="shared" si="1121"/>
        <v>2836.4</v>
      </c>
      <c r="O1067" s="27">
        <f t="shared" si="1088"/>
        <v>65.31270148291425</v>
      </c>
    </row>
    <row r="1068" spans="1:15" ht="31.5">
      <c r="A1068" s="26" t="s">
        <v>175</v>
      </c>
      <c r="B1068" s="215">
        <v>910</v>
      </c>
      <c r="C1068" s="213" t="s">
        <v>170</v>
      </c>
      <c r="D1068" s="213" t="s">
        <v>265</v>
      </c>
      <c r="E1068" s="213" t="s">
        <v>176</v>
      </c>
      <c r="F1068" s="213"/>
      <c r="G1068" s="27">
        <f>G1069</f>
        <v>4133.6</v>
      </c>
      <c r="H1068" s="27">
        <f>H1069</f>
        <v>3195</v>
      </c>
      <c r="I1068" s="27">
        <f t="shared" si="1122"/>
        <v>4411.6</v>
      </c>
      <c r="J1068" s="27">
        <f t="shared" si="1122"/>
        <v>4342.8</v>
      </c>
      <c r="K1068" s="27">
        <f t="shared" si="1122"/>
        <v>4342.8</v>
      </c>
      <c r="L1068" s="27">
        <f t="shared" si="1122"/>
        <v>4342.8</v>
      </c>
      <c r="M1068" s="27">
        <f t="shared" si="1121"/>
        <v>4342.8</v>
      </c>
      <c r="N1068" s="27">
        <f t="shared" si="1121"/>
        <v>2836.4</v>
      </c>
      <c r="O1068" s="27">
        <f t="shared" si="1088"/>
        <v>65.31270148291425</v>
      </c>
    </row>
    <row r="1069" spans="1:15" ht="47.25">
      <c r="A1069" s="26" t="s">
        <v>629</v>
      </c>
      <c r="B1069" s="215">
        <v>910</v>
      </c>
      <c r="C1069" s="213" t="s">
        <v>170</v>
      </c>
      <c r="D1069" s="213" t="s">
        <v>265</v>
      </c>
      <c r="E1069" s="213" t="s">
        <v>630</v>
      </c>
      <c r="F1069" s="213"/>
      <c r="G1069" s="27">
        <f aca="true" t="shared" si="1123" ref="G1069:L1069">G1070+G1072</f>
        <v>4133.6</v>
      </c>
      <c r="H1069" s="27">
        <f t="shared" si="1123"/>
        <v>3195</v>
      </c>
      <c r="I1069" s="27">
        <f t="shared" si="1123"/>
        <v>4411.6</v>
      </c>
      <c r="J1069" s="27">
        <f t="shared" si="1123"/>
        <v>4342.8</v>
      </c>
      <c r="K1069" s="27">
        <f t="shared" si="1123"/>
        <v>4342.8</v>
      </c>
      <c r="L1069" s="27">
        <f t="shared" si="1123"/>
        <v>4342.8</v>
      </c>
      <c r="M1069" s="27">
        <f aca="true" t="shared" si="1124" ref="M1069:N1069">M1070+M1072</f>
        <v>4342.8</v>
      </c>
      <c r="N1069" s="27">
        <f t="shared" si="1124"/>
        <v>2836.4</v>
      </c>
      <c r="O1069" s="27">
        <f t="shared" si="1088"/>
        <v>65.31270148291425</v>
      </c>
    </row>
    <row r="1070" spans="1:15" ht="94.5">
      <c r="A1070" s="26" t="s">
        <v>179</v>
      </c>
      <c r="B1070" s="215">
        <v>910</v>
      </c>
      <c r="C1070" s="213" t="s">
        <v>170</v>
      </c>
      <c r="D1070" s="213" t="s">
        <v>265</v>
      </c>
      <c r="E1070" s="213" t="s">
        <v>630</v>
      </c>
      <c r="F1070" s="213" t="s">
        <v>180</v>
      </c>
      <c r="G1070" s="27">
        <f aca="true" t="shared" si="1125" ref="G1070:L1070">G1071</f>
        <v>4100.6</v>
      </c>
      <c r="H1070" s="27">
        <f t="shared" si="1125"/>
        <v>3162</v>
      </c>
      <c r="I1070" s="27">
        <f t="shared" si="1125"/>
        <v>4378.6</v>
      </c>
      <c r="J1070" s="27">
        <f t="shared" si="1125"/>
        <v>3873.8</v>
      </c>
      <c r="K1070" s="27">
        <f t="shared" si="1125"/>
        <v>3873.8</v>
      </c>
      <c r="L1070" s="27">
        <f t="shared" si="1125"/>
        <v>3873.8</v>
      </c>
      <c r="M1070" s="27">
        <f aca="true" t="shared" si="1126" ref="M1070:N1070">M1071+M1072</f>
        <v>4342.8</v>
      </c>
      <c r="N1070" s="27">
        <f t="shared" si="1126"/>
        <v>2836.4</v>
      </c>
      <c r="O1070" s="27">
        <f t="shared" si="1088"/>
        <v>65.31270148291425</v>
      </c>
    </row>
    <row r="1071" spans="1:15" ht="31.5">
      <c r="A1071" s="26" t="s">
        <v>181</v>
      </c>
      <c r="B1071" s="215">
        <v>910</v>
      </c>
      <c r="C1071" s="213" t="s">
        <v>170</v>
      </c>
      <c r="D1071" s="213" t="s">
        <v>265</v>
      </c>
      <c r="E1071" s="213" t="s">
        <v>630</v>
      </c>
      <c r="F1071" s="213" t="s">
        <v>182</v>
      </c>
      <c r="G1071" s="28">
        <f>4188.8-55.2-33</f>
        <v>4100.6</v>
      </c>
      <c r="H1071" s="28">
        <v>3162</v>
      </c>
      <c r="I1071" s="28">
        <f>4378.6</f>
        <v>4378.6</v>
      </c>
      <c r="J1071" s="28">
        <v>3873.8</v>
      </c>
      <c r="K1071" s="28">
        <v>3873.8</v>
      </c>
      <c r="L1071" s="28">
        <v>3873.8</v>
      </c>
      <c r="M1071" s="28">
        <v>4342.8</v>
      </c>
      <c r="N1071" s="28">
        <v>2836.4</v>
      </c>
      <c r="O1071" s="27">
        <f t="shared" si="1088"/>
        <v>65.31270148291425</v>
      </c>
    </row>
    <row r="1072" spans="1:15" ht="47.25" customHeight="1" hidden="1">
      <c r="A1072" s="26" t="s">
        <v>250</v>
      </c>
      <c r="B1072" s="215">
        <v>910</v>
      </c>
      <c r="C1072" s="213" t="s">
        <v>170</v>
      </c>
      <c r="D1072" s="213" t="s">
        <v>265</v>
      </c>
      <c r="E1072" s="213" t="s">
        <v>630</v>
      </c>
      <c r="F1072" s="213" t="s">
        <v>184</v>
      </c>
      <c r="G1072" s="27">
        <f aca="true" t="shared" si="1127" ref="G1072:L1072">G1073</f>
        <v>33</v>
      </c>
      <c r="H1072" s="27">
        <f t="shared" si="1127"/>
        <v>33</v>
      </c>
      <c r="I1072" s="27">
        <f t="shared" si="1127"/>
        <v>33</v>
      </c>
      <c r="J1072" s="27">
        <f t="shared" si="1127"/>
        <v>469</v>
      </c>
      <c r="K1072" s="27">
        <f t="shared" si="1127"/>
        <v>469</v>
      </c>
      <c r="L1072" s="27">
        <f t="shared" si="1127"/>
        <v>469</v>
      </c>
      <c r="M1072" s="27">
        <f aca="true" t="shared" si="1128" ref="M1072:N1072">M1073</f>
        <v>0</v>
      </c>
      <c r="N1072" s="27">
        <f t="shared" si="1128"/>
        <v>0</v>
      </c>
      <c r="O1072" s="22" t="e">
        <f t="shared" si="1088"/>
        <v>#DIV/0!</v>
      </c>
    </row>
    <row r="1073" spans="1:15" ht="47.25" customHeight="1" hidden="1">
      <c r="A1073" s="26" t="s">
        <v>185</v>
      </c>
      <c r="B1073" s="215">
        <v>910</v>
      </c>
      <c r="C1073" s="213" t="s">
        <v>170</v>
      </c>
      <c r="D1073" s="213" t="s">
        <v>265</v>
      </c>
      <c r="E1073" s="213" t="s">
        <v>630</v>
      </c>
      <c r="F1073" s="213" t="s">
        <v>186</v>
      </c>
      <c r="G1073" s="27">
        <v>33</v>
      </c>
      <c r="H1073" s="27">
        <v>33</v>
      </c>
      <c r="I1073" s="27">
        <f>H1073</f>
        <v>33</v>
      </c>
      <c r="J1073" s="27">
        <v>469</v>
      </c>
      <c r="K1073" s="27">
        <v>469</v>
      </c>
      <c r="L1073" s="27">
        <v>469</v>
      </c>
      <c r="M1073" s="27">
        <v>0</v>
      </c>
      <c r="N1073" s="27">
        <v>0</v>
      </c>
      <c r="O1073" s="22" t="e">
        <f t="shared" si="1088"/>
        <v>#DIV/0!</v>
      </c>
    </row>
    <row r="1074" spans="1:15" ht="78.75">
      <c r="A1074" s="24" t="s">
        <v>631</v>
      </c>
      <c r="B1074" s="212">
        <v>910</v>
      </c>
      <c r="C1074" s="214" t="s">
        <v>170</v>
      </c>
      <c r="D1074" s="214" t="s">
        <v>267</v>
      </c>
      <c r="E1074" s="214"/>
      <c r="F1074" s="214"/>
      <c r="G1074" s="22">
        <f>G1075</f>
        <v>1138.7</v>
      </c>
      <c r="H1074" s="22">
        <f>H1075</f>
        <v>874.7</v>
      </c>
      <c r="I1074" s="22">
        <f aca="true" t="shared" si="1129" ref="I1074:L1074">I1075</f>
        <v>1302.7</v>
      </c>
      <c r="J1074" s="22">
        <f t="shared" si="1129"/>
        <v>1049.5</v>
      </c>
      <c r="K1074" s="22">
        <f t="shared" si="1129"/>
        <v>1049.5</v>
      </c>
      <c r="L1074" s="22">
        <f t="shared" si="1129"/>
        <v>1049.5</v>
      </c>
      <c r="M1074" s="22">
        <f aca="true" t="shared" si="1130" ref="M1074:N1076">M1075</f>
        <v>1049.5</v>
      </c>
      <c r="N1074" s="22">
        <f t="shared" si="1130"/>
        <v>779</v>
      </c>
      <c r="O1074" s="22">
        <f t="shared" si="1088"/>
        <v>74.22582181991424</v>
      </c>
    </row>
    <row r="1075" spans="1:15" ht="15.75">
      <c r="A1075" s="26" t="s">
        <v>173</v>
      </c>
      <c r="B1075" s="215">
        <v>910</v>
      </c>
      <c r="C1075" s="213" t="s">
        <v>170</v>
      </c>
      <c r="D1075" s="213" t="s">
        <v>267</v>
      </c>
      <c r="E1075" s="213" t="s">
        <v>174</v>
      </c>
      <c r="F1075" s="214"/>
      <c r="G1075" s="27">
        <f aca="true" t="shared" si="1131" ref="G1075:L1076">G1076</f>
        <v>1138.7</v>
      </c>
      <c r="H1075" s="27">
        <f t="shared" si="1131"/>
        <v>874.7</v>
      </c>
      <c r="I1075" s="27">
        <f t="shared" si="1131"/>
        <v>1302.7</v>
      </c>
      <c r="J1075" s="27">
        <f t="shared" si="1131"/>
        <v>1049.5</v>
      </c>
      <c r="K1075" s="27">
        <f t="shared" si="1131"/>
        <v>1049.5</v>
      </c>
      <c r="L1075" s="27">
        <f t="shared" si="1131"/>
        <v>1049.5</v>
      </c>
      <c r="M1075" s="27">
        <f t="shared" si="1130"/>
        <v>1049.5</v>
      </c>
      <c r="N1075" s="27">
        <f t="shared" si="1130"/>
        <v>779</v>
      </c>
      <c r="O1075" s="27">
        <f t="shared" si="1088"/>
        <v>74.22582181991424</v>
      </c>
    </row>
    <row r="1076" spans="1:15" ht="31.5">
      <c r="A1076" s="26" t="s">
        <v>175</v>
      </c>
      <c r="B1076" s="215">
        <v>910</v>
      </c>
      <c r="C1076" s="213" t="s">
        <v>170</v>
      </c>
      <c r="D1076" s="213" t="s">
        <v>267</v>
      </c>
      <c r="E1076" s="213" t="s">
        <v>176</v>
      </c>
      <c r="F1076" s="214"/>
      <c r="G1076" s="27">
        <f>G1077</f>
        <v>1138.7</v>
      </c>
      <c r="H1076" s="27">
        <f>H1077</f>
        <v>874.7</v>
      </c>
      <c r="I1076" s="27">
        <f t="shared" si="1131"/>
        <v>1302.7</v>
      </c>
      <c r="J1076" s="27">
        <f t="shared" si="1131"/>
        <v>1049.5</v>
      </c>
      <c r="K1076" s="27">
        <f t="shared" si="1131"/>
        <v>1049.5</v>
      </c>
      <c r="L1076" s="27">
        <f t="shared" si="1131"/>
        <v>1049.5</v>
      </c>
      <c r="M1076" s="27">
        <f t="shared" si="1130"/>
        <v>1049.5</v>
      </c>
      <c r="N1076" s="27">
        <f t="shared" si="1130"/>
        <v>779</v>
      </c>
      <c r="O1076" s="27">
        <f t="shared" si="1088"/>
        <v>74.22582181991424</v>
      </c>
    </row>
    <row r="1077" spans="1:15" ht="47.25">
      <c r="A1077" s="26" t="s">
        <v>632</v>
      </c>
      <c r="B1077" s="215">
        <v>910</v>
      </c>
      <c r="C1077" s="213" t="s">
        <v>170</v>
      </c>
      <c r="D1077" s="213" t="s">
        <v>267</v>
      </c>
      <c r="E1077" s="213" t="s">
        <v>633</v>
      </c>
      <c r="F1077" s="213"/>
      <c r="G1077" s="27">
        <f aca="true" t="shared" si="1132" ref="G1077:L1077">G1078+G1080+G1082</f>
        <v>1138.7</v>
      </c>
      <c r="H1077" s="27">
        <f t="shared" si="1132"/>
        <v>874.7</v>
      </c>
      <c r="I1077" s="27">
        <f t="shared" si="1132"/>
        <v>1302.7</v>
      </c>
      <c r="J1077" s="27">
        <f t="shared" si="1132"/>
        <v>1049.5</v>
      </c>
      <c r="K1077" s="27">
        <f t="shared" si="1132"/>
        <v>1049.5</v>
      </c>
      <c r="L1077" s="27">
        <f t="shared" si="1132"/>
        <v>1049.5</v>
      </c>
      <c r="M1077" s="27">
        <f aca="true" t="shared" si="1133" ref="M1077:N1077">M1078+M1080+M1082</f>
        <v>1049.5</v>
      </c>
      <c r="N1077" s="27">
        <f t="shared" si="1133"/>
        <v>779</v>
      </c>
      <c r="O1077" s="27">
        <f t="shared" si="1088"/>
        <v>74.22582181991424</v>
      </c>
    </row>
    <row r="1078" spans="1:15" ht="94.5">
      <c r="A1078" s="26" t="s">
        <v>179</v>
      </c>
      <c r="B1078" s="215">
        <v>910</v>
      </c>
      <c r="C1078" s="213" t="s">
        <v>170</v>
      </c>
      <c r="D1078" s="213" t="s">
        <v>267</v>
      </c>
      <c r="E1078" s="213" t="s">
        <v>633</v>
      </c>
      <c r="F1078" s="213" t="s">
        <v>180</v>
      </c>
      <c r="G1078" s="27">
        <f>G1079</f>
        <v>1003.7</v>
      </c>
      <c r="H1078" s="27">
        <f>H1079</f>
        <v>816.7</v>
      </c>
      <c r="I1078" s="27">
        <f aca="true" t="shared" si="1134" ref="I1078:L1078">I1079</f>
        <v>1164.7</v>
      </c>
      <c r="J1078" s="27">
        <f t="shared" si="1134"/>
        <v>956.5</v>
      </c>
      <c r="K1078" s="27">
        <f t="shared" si="1134"/>
        <v>956.5</v>
      </c>
      <c r="L1078" s="27">
        <f t="shared" si="1134"/>
        <v>956.5</v>
      </c>
      <c r="M1078" s="27">
        <f aca="true" t="shared" si="1135" ref="M1078:N1078">M1079</f>
        <v>956.5</v>
      </c>
      <c r="N1078" s="27">
        <f t="shared" si="1135"/>
        <v>733.5</v>
      </c>
      <c r="O1078" s="27">
        <f t="shared" si="1088"/>
        <v>76.6858337689493</v>
      </c>
    </row>
    <row r="1079" spans="1:15" ht="31.5">
      <c r="A1079" s="26" t="s">
        <v>181</v>
      </c>
      <c r="B1079" s="215">
        <v>910</v>
      </c>
      <c r="C1079" s="213" t="s">
        <v>170</v>
      </c>
      <c r="D1079" s="213" t="s">
        <v>267</v>
      </c>
      <c r="E1079" s="213" t="s">
        <v>633</v>
      </c>
      <c r="F1079" s="213" t="s">
        <v>182</v>
      </c>
      <c r="G1079" s="27">
        <v>1003.7</v>
      </c>
      <c r="H1079" s="27">
        <v>816.7</v>
      </c>
      <c r="I1079" s="27">
        <v>1164.7</v>
      </c>
      <c r="J1079" s="27">
        <v>956.5</v>
      </c>
      <c r="K1079" s="27">
        <v>956.5</v>
      </c>
      <c r="L1079" s="27">
        <v>956.5</v>
      </c>
      <c r="M1079" s="27">
        <v>956.5</v>
      </c>
      <c r="N1079" s="27">
        <v>733.5</v>
      </c>
      <c r="O1079" s="27">
        <f t="shared" si="1088"/>
        <v>76.6858337689493</v>
      </c>
    </row>
    <row r="1080" spans="1:15" ht="47.25">
      <c r="A1080" s="26" t="s">
        <v>250</v>
      </c>
      <c r="B1080" s="215">
        <v>910</v>
      </c>
      <c r="C1080" s="213" t="s">
        <v>170</v>
      </c>
      <c r="D1080" s="213" t="s">
        <v>267</v>
      </c>
      <c r="E1080" s="213" t="s">
        <v>633</v>
      </c>
      <c r="F1080" s="213" t="s">
        <v>184</v>
      </c>
      <c r="G1080" s="27">
        <f>G1081</f>
        <v>135</v>
      </c>
      <c r="H1080" s="27">
        <f>H1081</f>
        <v>58</v>
      </c>
      <c r="I1080" s="27">
        <f aca="true" t="shared" si="1136" ref="I1080:L1080">I1081</f>
        <v>138</v>
      </c>
      <c r="J1080" s="27">
        <f t="shared" si="1136"/>
        <v>93</v>
      </c>
      <c r="K1080" s="27">
        <f t="shared" si="1136"/>
        <v>93</v>
      </c>
      <c r="L1080" s="27">
        <f t="shared" si="1136"/>
        <v>93</v>
      </c>
      <c r="M1080" s="27">
        <f aca="true" t="shared" si="1137" ref="M1080:N1080">M1081</f>
        <v>93</v>
      </c>
      <c r="N1080" s="27">
        <f t="shared" si="1137"/>
        <v>45.5</v>
      </c>
      <c r="O1080" s="27">
        <f t="shared" si="1088"/>
        <v>48.924731182795696</v>
      </c>
    </row>
    <row r="1081" spans="1:15" ht="47.25">
      <c r="A1081" s="26" t="s">
        <v>185</v>
      </c>
      <c r="B1081" s="215">
        <v>910</v>
      </c>
      <c r="C1081" s="213" t="s">
        <v>170</v>
      </c>
      <c r="D1081" s="213" t="s">
        <v>267</v>
      </c>
      <c r="E1081" s="213" t="s">
        <v>633</v>
      </c>
      <c r="F1081" s="213" t="s">
        <v>186</v>
      </c>
      <c r="G1081" s="27">
        <v>135</v>
      </c>
      <c r="H1081" s="27">
        <v>58</v>
      </c>
      <c r="I1081" s="27">
        <v>138</v>
      </c>
      <c r="J1081" s="27">
        <v>93</v>
      </c>
      <c r="K1081" s="27">
        <v>93</v>
      </c>
      <c r="L1081" s="27">
        <v>93</v>
      </c>
      <c r="M1081" s="27">
        <v>93</v>
      </c>
      <c r="N1081" s="27">
        <v>45.5</v>
      </c>
      <c r="O1081" s="27">
        <f t="shared" si="1088"/>
        <v>48.924731182795696</v>
      </c>
    </row>
    <row r="1082" spans="1:15" ht="15.75" customHeight="1" hidden="1">
      <c r="A1082" s="26" t="s">
        <v>187</v>
      </c>
      <c r="B1082" s="215">
        <v>910</v>
      </c>
      <c r="C1082" s="213" t="s">
        <v>170</v>
      </c>
      <c r="D1082" s="213" t="s">
        <v>267</v>
      </c>
      <c r="E1082" s="213" t="s">
        <v>633</v>
      </c>
      <c r="F1082" s="213" t="s">
        <v>197</v>
      </c>
      <c r="G1082" s="27">
        <f aca="true" t="shared" si="1138" ref="G1082:L1082">G1083</f>
        <v>0</v>
      </c>
      <c r="H1082" s="27">
        <f t="shared" si="1138"/>
        <v>0</v>
      </c>
      <c r="I1082" s="27">
        <f t="shared" si="1138"/>
        <v>0</v>
      </c>
      <c r="J1082" s="27">
        <f t="shared" si="1138"/>
        <v>0</v>
      </c>
      <c r="K1082" s="27">
        <f t="shared" si="1138"/>
        <v>0</v>
      </c>
      <c r="L1082" s="27">
        <f t="shared" si="1138"/>
        <v>0</v>
      </c>
      <c r="M1082" s="27">
        <f aca="true" t="shared" si="1139" ref="M1082:N1082">M1083</f>
        <v>0</v>
      </c>
      <c r="N1082" s="27">
        <f t="shared" si="1139"/>
        <v>0</v>
      </c>
      <c r="O1082" s="22" t="e">
        <f t="shared" si="1088"/>
        <v>#DIV/0!</v>
      </c>
    </row>
    <row r="1083" spans="1:15" ht="15.75" customHeight="1" hidden="1">
      <c r="A1083" s="26" t="s">
        <v>621</v>
      </c>
      <c r="B1083" s="215">
        <v>910</v>
      </c>
      <c r="C1083" s="213" t="s">
        <v>170</v>
      </c>
      <c r="D1083" s="213" t="s">
        <v>267</v>
      </c>
      <c r="E1083" s="213" t="s">
        <v>633</v>
      </c>
      <c r="F1083" s="213" t="s">
        <v>190</v>
      </c>
      <c r="G1083" s="27">
        <v>0</v>
      </c>
      <c r="H1083" s="27">
        <v>0</v>
      </c>
      <c r="I1083" s="27">
        <v>0</v>
      </c>
      <c r="J1083" s="27">
        <v>0</v>
      </c>
      <c r="K1083" s="27">
        <v>0</v>
      </c>
      <c r="L1083" s="27">
        <v>0</v>
      </c>
      <c r="M1083" s="27">
        <v>0</v>
      </c>
      <c r="N1083" s="27">
        <v>0</v>
      </c>
      <c r="O1083" s="22" t="e">
        <f t="shared" si="1088"/>
        <v>#DIV/0!</v>
      </c>
    </row>
    <row r="1084" spans="1:15" ht="63">
      <c r="A1084" s="24" t="s">
        <v>171</v>
      </c>
      <c r="B1084" s="212">
        <v>910</v>
      </c>
      <c r="C1084" s="214" t="s">
        <v>170</v>
      </c>
      <c r="D1084" s="214" t="s">
        <v>172</v>
      </c>
      <c r="E1084" s="214"/>
      <c r="F1084" s="214"/>
      <c r="G1084" s="22">
        <f>G1085</f>
        <v>1737.7</v>
      </c>
      <c r="H1084" s="22">
        <f aca="true" t="shared" si="1140" ref="H1084:H1086">H1085</f>
        <v>1659.5</v>
      </c>
      <c r="I1084" s="22">
        <f aca="true" t="shared" si="1141" ref="I1084:L1086">I1085</f>
        <v>2083.7000000000003</v>
      </c>
      <c r="J1084" s="22">
        <f t="shared" si="1141"/>
        <v>3035.2000000000003</v>
      </c>
      <c r="K1084" s="22">
        <f t="shared" si="1141"/>
        <v>3035.2000000000003</v>
      </c>
      <c r="L1084" s="22">
        <f t="shared" si="1141"/>
        <v>3035.2000000000003</v>
      </c>
      <c r="M1084" s="22">
        <f aca="true" t="shared" si="1142" ref="M1084:N1086">M1085</f>
        <v>1571.7</v>
      </c>
      <c r="N1084" s="22">
        <f t="shared" si="1142"/>
        <v>1134.6</v>
      </c>
      <c r="O1084" s="22">
        <f t="shared" si="1088"/>
        <v>72.18934911242603</v>
      </c>
    </row>
    <row r="1085" spans="1:15" s="135" customFormat="1" ht="15.75">
      <c r="A1085" s="26" t="s">
        <v>173</v>
      </c>
      <c r="B1085" s="215">
        <v>910</v>
      </c>
      <c r="C1085" s="213" t="s">
        <v>170</v>
      </c>
      <c r="D1085" s="213" t="s">
        <v>172</v>
      </c>
      <c r="E1085" s="213" t="s">
        <v>174</v>
      </c>
      <c r="F1085" s="213"/>
      <c r="G1085" s="27">
        <f>G1086</f>
        <v>1737.7</v>
      </c>
      <c r="H1085" s="27">
        <f t="shared" si="1140"/>
        <v>1659.5</v>
      </c>
      <c r="I1085" s="27">
        <f t="shared" si="1141"/>
        <v>2083.7000000000003</v>
      </c>
      <c r="J1085" s="27">
        <f t="shared" si="1141"/>
        <v>3035.2000000000003</v>
      </c>
      <c r="K1085" s="27">
        <f t="shared" si="1141"/>
        <v>3035.2000000000003</v>
      </c>
      <c r="L1085" s="27">
        <f t="shared" si="1141"/>
        <v>3035.2000000000003</v>
      </c>
      <c r="M1085" s="27">
        <f t="shared" si="1142"/>
        <v>1571.7</v>
      </c>
      <c r="N1085" s="27">
        <f t="shared" si="1142"/>
        <v>1134.6</v>
      </c>
      <c r="O1085" s="27">
        <f t="shared" si="1088"/>
        <v>72.18934911242603</v>
      </c>
    </row>
    <row r="1086" spans="1:15" s="135" customFormat="1" ht="31.5">
      <c r="A1086" s="26" t="s">
        <v>175</v>
      </c>
      <c r="B1086" s="215">
        <v>910</v>
      </c>
      <c r="C1086" s="213" t="s">
        <v>170</v>
      </c>
      <c r="D1086" s="213" t="s">
        <v>172</v>
      </c>
      <c r="E1086" s="213" t="s">
        <v>176</v>
      </c>
      <c r="F1086" s="213"/>
      <c r="G1086" s="27">
        <f>G1087</f>
        <v>1737.7</v>
      </c>
      <c r="H1086" s="27">
        <f t="shared" si="1140"/>
        <v>1659.5</v>
      </c>
      <c r="I1086" s="27">
        <f t="shared" si="1141"/>
        <v>2083.7000000000003</v>
      </c>
      <c r="J1086" s="27">
        <f t="shared" si="1141"/>
        <v>3035.2000000000003</v>
      </c>
      <c r="K1086" s="27">
        <f t="shared" si="1141"/>
        <v>3035.2000000000003</v>
      </c>
      <c r="L1086" s="27">
        <f t="shared" si="1141"/>
        <v>3035.2000000000003</v>
      </c>
      <c r="M1086" s="27">
        <f t="shared" si="1142"/>
        <v>1571.7</v>
      </c>
      <c r="N1086" s="27">
        <f t="shared" si="1142"/>
        <v>1134.6</v>
      </c>
      <c r="O1086" s="27">
        <f t="shared" si="1088"/>
        <v>72.18934911242603</v>
      </c>
    </row>
    <row r="1087" spans="1:15" s="135" customFormat="1" ht="47.25">
      <c r="A1087" s="26" t="s">
        <v>177</v>
      </c>
      <c r="B1087" s="215">
        <v>910</v>
      </c>
      <c r="C1087" s="213" t="s">
        <v>170</v>
      </c>
      <c r="D1087" s="213" t="s">
        <v>172</v>
      </c>
      <c r="E1087" s="213" t="s">
        <v>178</v>
      </c>
      <c r="F1087" s="213"/>
      <c r="G1087" s="27">
        <f>G1088+G1090</f>
        <v>1737.7</v>
      </c>
      <c r="H1087" s="27">
        <f>H1088+H1090</f>
        <v>1659.5</v>
      </c>
      <c r="I1087" s="27">
        <f aca="true" t="shared" si="1143" ref="I1087:L1087">I1088+I1090</f>
        <v>2083.7000000000003</v>
      </c>
      <c r="J1087" s="27">
        <f t="shared" si="1143"/>
        <v>3035.2000000000003</v>
      </c>
      <c r="K1087" s="27">
        <f t="shared" si="1143"/>
        <v>3035.2000000000003</v>
      </c>
      <c r="L1087" s="27">
        <f t="shared" si="1143"/>
        <v>3035.2000000000003</v>
      </c>
      <c r="M1087" s="27">
        <f aca="true" t="shared" si="1144" ref="M1087:N1087">M1088+M1090</f>
        <v>1571.7</v>
      </c>
      <c r="N1087" s="27">
        <f t="shared" si="1144"/>
        <v>1134.6</v>
      </c>
      <c r="O1087" s="27">
        <f t="shared" si="1088"/>
        <v>72.18934911242603</v>
      </c>
    </row>
    <row r="1088" spans="1:15" ht="94.5">
      <c r="A1088" s="26" t="s">
        <v>179</v>
      </c>
      <c r="B1088" s="215">
        <v>910</v>
      </c>
      <c r="C1088" s="213" t="s">
        <v>170</v>
      </c>
      <c r="D1088" s="213" t="s">
        <v>172</v>
      </c>
      <c r="E1088" s="213" t="s">
        <v>178</v>
      </c>
      <c r="F1088" s="213" t="s">
        <v>180</v>
      </c>
      <c r="G1088" s="27">
        <f>G1089</f>
        <v>1719.4</v>
      </c>
      <c r="H1088" s="27">
        <f>H1089</f>
        <v>1659.5</v>
      </c>
      <c r="I1088" s="27">
        <f aca="true" t="shared" si="1145" ref="I1088:L1088">I1089</f>
        <v>2065.4</v>
      </c>
      <c r="J1088" s="27">
        <f t="shared" si="1145"/>
        <v>2807.9</v>
      </c>
      <c r="K1088" s="27">
        <f t="shared" si="1145"/>
        <v>2807.9</v>
      </c>
      <c r="L1088" s="27">
        <f t="shared" si="1145"/>
        <v>2807.9</v>
      </c>
      <c r="M1088" s="27">
        <f aca="true" t="shared" si="1146" ref="M1088:N1088">M1089</f>
        <v>1553.4</v>
      </c>
      <c r="N1088" s="27">
        <f t="shared" si="1146"/>
        <v>1134.6</v>
      </c>
      <c r="O1088" s="27">
        <f t="shared" si="1088"/>
        <v>73.03978370027036</v>
      </c>
    </row>
    <row r="1089" spans="1:15" ht="31.5">
      <c r="A1089" s="26" t="s">
        <v>181</v>
      </c>
      <c r="B1089" s="215">
        <v>910</v>
      </c>
      <c r="C1089" s="213" t="s">
        <v>170</v>
      </c>
      <c r="D1089" s="213" t="s">
        <v>172</v>
      </c>
      <c r="E1089" s="213" t="s">
        <v>178</v>
      </c>
      <c r="F1089" s="213" t="s">
        <v>182</v>
      </c>
      <c r="G1089" s="27">
        <f>1664.2+55.2</f>
        <v>1719.4</v>
      </c>
      <c r="H1089" s="27">
        <v>1659.5</v>
      </c>
      <c r="I1089" s="27">
        <v>2065.4</v>
      </c>
      <c r="J1089" s="27">
        <v>2807.9</v>
      </c>
      <c r="K1089" s="27">
        <f>J1089</f>
        <v>2807.9</v>
      </c>
      <c r="L1089" s="27">
        <f>K1089</f>
        <v>2807.9</v>
      </c>
      <c r="M1089" s="27">
        <v>1553.4</v>
      </c>
      <c r="N1089" s="27">
        <v>1134.6</v>
      </c>
      <c r="O1089" s="27">
        <f t="shared" si="1088"/>
        <v>73.03978370027036</v>
      </c>
    </row>
    <row r="1090" spans="1:15" ht="47.25">
      <c r="A1090" s="26" t="s">
        <v>250</v>
      </c>
      <c r="B1090" s="215">
        <v>910</v>
      </c>
      <c r="C1090" s="213" t="s">
        <v>170</v>
      </c>
      <c r="D1090" s="213" t="s">
        <v>172</v>
      </c>
      <c r="E1090" s="213" t="s">
        <v>178</v>
      </c>
      <c r="F1090" s="213" t="s">
        <v>184</v>
      </c>
      <c r="G1090" s="27">
        <f>G1091</f>
        <v>18.3</v>
      </c>
      <c r="H1090" s="27">
        <f>H1091</f>
        <v>0</v>
      </c>
      <c r="I1090" s="27">
        <f aca="true" t="shared" si="1147" ref="I1090:L1090">I1091</f>
        <v>18.3</v>
      </c>
      <c r="J1090" s="27">
        <f t="shared" si="1147"/>
        <v>227.3</v>
      </c>
      <c r="K1090" s="27">
        <f t="shared" si="1147"/>
        <v>227.3</v>
      </c>
      <c r="L1090" s="27">
        <f t="shared" si="1147"/>
        <v>227.3</v>
      </c>
      <c r="M1090" s="27">
        <f aca="true" t="shared" si="1148" ref="M1090:N1090">M1091</f>
        <v>18.3</v>
      </c>
      <c r="N1090" s="27">
        <f t="shared" si="1148"/>
        <v>0</v>
      </c>
      <c r="O1090" s="27">
        <f t="shared" si="1088"/>
        <v>0</v>
      </c>
    </row>
    <row r="1091" spans="1:15" ht="47.25">
      <c r="A1091" s="26" t="s">
        <v>185</v>
      </c>
      <c r="B1091" s="215">
        <v>910</v>
      </c>
      <c r="C1091" s="213" t="s">
        <v>170</v>
      </c>
      <c r="D1091" s="213" t="s">
        <v>172</v>
      </c>
      <c r="E1091" s="213" t="s">
        <v>178</v>
      </c>
      <c r="F1091" s="213" t="s">
        <v>186</v>
      </c>
      <c r="G1091" s="27">
        <v>18.3</v>
      </c>
      <c r="H1091" s="27">
        <v>0</v>
      </c>
      <c r="I1091" s="27">
        <v>18.3</v>
      </c>
      <c r="J1091" s="27">
        <v>227.3</v>
      </c>
      <c r="K1091" s="27">
        <f>J1091</f>
        <v>227.3</v>
      </c>
      <c r="L1091" s="27">
        <f>K1091</f>
        <v>227.3</v>
      </c>
      <c r="M1091" s="27">
        <v>18.3</v>
      </c>
      <c r="N1091" s="27"/>
      <c r="O1091" s="27">
        <f t="shared" si="1088"/>
        <v>0</v>
      </c>
    </row>
    <row r="1092" spans="1:15" ht="15.75">
      <c r="A1092" s="24" t="s">
        <v>191</v>
      </c>
      <c r="B1092" s="212">
        <v>910</v>
      </c>
      <c r="C1092" s="214" t="s">
        <v>170</v>
      </c>
      <c r="D1092" s="214" t="s">
        <v>192</v>
      </c>
      <c r="E1092" s="214"/>
      <c r="F1092" s="213"/>
      <c r="G1092" s="22">
        <f>G1093+G1097</f>
        <v>32.5</v>
      </c>
      <c r="H1092" s="22">
        <f>H1093+H1097</f>
        <v>0</v>
      </c>
      <c r="I1092" s="22">
        <f aca="true" t="shared" si="1149" ref="I1092:L1092">I1093+I1097</f>
        <v>32.5</v>
      </c>
      <c r="J1092" s="22">
        <f t="shared" si="1149"/>
        <v>32.5</v>
      </c>
      <c r="K1092" s="22">
        <f t="shared" si="1149"/>
        <v>32.5</v>
      </c>
      <c r="L1092" s="22">
        <f t="shared" si="1149"/>
        <v>32.5</v>
      </c>
      <c r="M1092" s="22">
        <f aca="true" t="shared" si="1150" ref="M1092:N1092">M1093+M1097</f>
        <v>50.5</v>
      </c>
      <c r="N1092" s="22">
        <f t="shared" si="1150"/>
        <v>0</v>
      </c>
      <c r="O1092" s="22">
        <f t="shared" si="1088"/>
        <v>0</v>
      </c>
    </row>
    <row r="1093" spans="1:15" ht="47.25">
      <c r="A1093" s="26" t="s">
        <v>213</v>
      </c>
      <c r="B1093" s="215">
        <v>910</v>
      </c>
      <c r="C1093" s="213" t="s">
        <v>170</v>
      </c>
      <c r="D1093" s="213" t="s">
        <v>192</v>
      </c>
      <c r="E1093" s="213" t="s">
        <v>214</v>
      </c>
      <c r="F1093" s="213"/>
      <c r="G1093" s="27">
        <f>G1094</f>
        <v>0.5</v>
      </c>
      <c r="H1093" s="27">
        <f aca="true" t="shared" si="1151" ref="H1093:H1095">H1094</f>
        <v>0</v>
      </c>
      <c r="I1093" s="27">
        <f aca="true" t="shared" si="1152" ref="I1093:L1095">I1094</f>
        <v>0.5</v>
      </c>
      <c r="J1093" s="27">
        <f t="shared" si="1152"/>
        <v>0.5</v>
      </c>
      <c r="K1093" s="27">
        <f t="shared" si="1152"/>
        <v>0.5</v>
      </c>
      <c r="L1093" s="27">
        <f t="shared" si="1152"/>
        <v>0.5</v>
      </c>
      <c r="M1093" s="27">
        <f aca="true" t="shared" si="1153" ref="M1093:N1095">M1094</f>
        <v>0.5</v>
      </c>
      <c r="N1093" s="27">
        <f t="shared" si="1153"/>
        <v>0</v>
      </c>
      <c r="O1093" s="27">
        <f t="shared" si="1088"/>
        <v>0</v>
      </c>
    </row>
    <row r="1094" spans="1:15" ht="63">
      <c r="A1094" s="33" t="s">
        <v>778</v>
      </c>
      <c r="B1094" s="215">
        <v>910</v>
      </c>
      <c r="C1094" s="213" t="s">
        <v>170</v>
      </c>
      <c r="D1094" s="213" t="s">
        <v>192</v>
      </c>
      <c r="E1094" s="216" t="s">
        <v>779</v>
      </c>
      <c r="F1094" s="213"/>
      <c r="G1094" s="27">
        <f>G1095</f>
        <v>0.5</v>
      </c>
      <c r="H1094" s="27">
        <f t="shared" si="1151"/>
        <v>0</v>
      </c>
      <c r="I1094" s="27">
        <f t="shared" si="1152"/>
        <v>0.5</v>
      </c>
      <c r="J1094" s="27">
        <f t="shared" si="1152"/>
        <v>0.5</v>
      </c>
      <c r="K1094" s="27">
        <f t="shared" si="1152"/>
        <v>0.5</v>
      </c>
      <c r="L1094" s="27">
        <f t="shared" si="1152"/>
        <v>0.5</v>
      </c>
      <c r="M1094" s="27">
        <f t="shared" si="1153"/>
        <v>0.5</v>
      </c>
      <c r="N1094" s="27">
        <f t="shared" si="1153"/>
        <v>0</v>
      </c>
      <c r="O1094" s="27">
        <f t="shared" si="1088"/>
        <v>0</v>
      </c>
    </row>
    <row r="1095" spans="1:15" ht="31.5">
      <c r="A1095" s="26" t="s">
        <v>183</v>
      </c>
      <c r="B1095" s="215">
        <v>910</v>
      </c>
      <c r="C1095" s="213" t="s">
        <v>170</v>
      </c>
      <c r="D1095" s="213" t="s">
        <v>192</v>
      </c>
      <c r="E1095" s="216" t="s">
        <v>779</v>
      </c>
      <c r="F1095" s="213" t="s">
        <v>184</v>
      </c>
      <c r="G1095" s="27">
        <f>G1096</f>
        <v>0.5</v>
      </c>
      <c r="H1095" s="27">
        <f t="shared" si="1151"/>
        <v>0</v>
      </c>
      <c r="I1095" s="27">
        <f t="shared" si="1152"/>
        <v>0.5</v>
      </c>
      <c r="J1095" s="27">
        <f t="shared" si="1152"/>
        <v>0.5</v>
      </c>
      <c r="K1095" s="27">
        <f t="shared" si="1152"/>
        <v>0.5</v>
      </c>
      <c r="L1095" s="27">
        <f t="shared" si="1152"/>
        <v>0.5</v>
      </c>
      <c r="M1095" s="27">
        <f t="shared" si="1153"/>
        <v>0.5</v>
      </c>
      <c r="N1095" s="27">
        <f t="shared" si="1153"/>
        <v>0</v>
      </c>
      <c r="O1095" s="27">
        <f t="shared" si="1088"/>
        <v>0</v>
      </c>
    </row>
    <row r="1096" spans="1:15" ht="47.25">
      <c r="A1096" s="26" t="s">
        <v>185</v>
      </c>
      <c r="B1096" s="215">
        <v>910</v>
      </c>
      <c r="C1096" s="213" t="s">
        <v>170</v>
      </c>
      <c r="D1096" s="213" t="s">
        <v>192</v>
      </c>
      <c r="E1096" s="216" t="s">
        <v>779</v>
      </c>
      <c r="F1096" s="213" t="s">
        <v>186</v>
      </c>
      <c r="G1096" s="27">
        <v>0.5</v>
      </c>
      <c r="H1096" s="27">
        <v>0</v>
      </c>
      <c r="I1096" s="27">
        <v>0.5</v>
      </c>
      <c r="J1096" s="27">
        <v>0.5</v>
      </c>
      <c r="K1096" s="27">
        <v>0.5</v>
      </c>
      <c r="L1096" s="27">
        <v>0.5</v>
      </c>
      <c r="M1096" s="27">
        <v>0.5</v>
      </c>
      <c r="N1096" s="27"/>
      <c r="O1096" s="27">
        <f t="shared" si="1088"/>
        <v>0</v>
      </c>
    </row>
    <row r="1097" spans="1:15" ht="15.75">
      <c r="A1097" s="33" t="s">
        <v>173</v>
      </c>
      <c r="B1097" s="215">
        <v>910</v>
      </c>
      <c r="C1097" s="213" t="s">
        <v>170</v>
      </c>
      <c r="D1097" s="213" t="s">
        <v>192</v>
      </c>
      <c r="E1097" s="213" t="s">
        <v>174</v>
      </c>
      <c r="F1097" s="213"/>
      <c r="G1097" s="27">
        <f>G1098</f>
        <v>32</v>
      </c>
      <c r="H1097" s="27">
        <f aca="true" t="shared" si="1154" ref="H1097:H1100">H1098</f>
        <v>0</v>
      </c>
      <c r="I1097" s="27">
        <f aca="true" t="shared" si="1155" ref="I1097:L1100">I1098</f>
        <v>32</v>
      </c>
      <c r="J1097" s="27">
        <f t="shared" si="1155"/>
        <v>32</v>
      </c>
      <c r="K1097" s="27">
        <f t="shared" si="1155"/>
        <v>32</v>
      </c>
      <c r="L1097" s="27">
        <f t="shared" si="1155"/>
        <v>32</v>
      </c>
      <c r="M1097" s="27">
        <f aca="true" t="shared" si="1156" ref="M1097:N1100">M1098</f>
        <v>50</v>
      </c>
      <c r="N1097" s="27">
        <f t="shared" si="1156"/>
        <v>0</v>
      </c>
      <c r="O1097" s="27">
        <f t="shared" si="1088"/>
        <v>0</v>
      </c>
    </row>
    <row r="1098" spans="1:15" ht="31.5">
      <c r="A1098" s="33" t="s">
        <v>237</v>
      </c>
      <c r="B1098" s="215">
        <v>910</v>
      </c>
      <c r="C1098" s="213" t="s">
        <v>170</v>
      </c>
      <c r="D1098" s="213" t="s">
        <v>192</v>
      </c>
      <c r="E1098" s="213" t="s">
        <v>238</v>
      </c>
      <c r="F1098" s="213"/>
      <c r="G1098" s="27">
        <f>G1099</f>
        <v>32</v>
      </c>
      <c r="H1098" s="27">
        <f t="shared" si="1154"/>
        <v>0</v>
      </c>
      <c r="I1098" s="27">
        <f t="shared" si="1155"/>
        <v>32</v>
      </c>
      <c r="J1098" s="27">
        <f t="shared" si="1155"/>
        <v>32</v>
      </c>
      <c r="K1098" s="27">
        <f t="shared" si="1155"/>
        <v>32</v>
      </c>
      <c r="L1098" s="27">
        <f t="shared" si="1155"/>
        <v>32</v>
      </c>
      <c r="M1098" s="27">
        <f t="shared" si="1156"/>
        <v>50</v>
      </c>
      <c r="N1098" s="27">
        <f t="shared" si="1156"/>
        <v>0</v>
      </c>
      <c r="O1098" s="27">
        <f t="shared" si="1088"/>
        <v>0</v>
      </c>
    </row>
    <row r="1099" spans="1:15" ht="63">
      <c r="A1099" s="33" t="s">
        <v>778</v>
      </c>
      <c r="B1099" s="215">
        <v>910</v>
      </c>
      <c r="C1099" s="213" t="s">
        <v>170</v>
      </c>
      <c r="D1099" s="213" t="s">
        <v>192</v>
      </c>
      <c r="E1099" s="213" t="s">
        <v>780</v>
      </c>
      <c r="F1099" s="213"/>
      <c r="G1099" s="27">
        <f>G1100</f>
        <v>32</v>
      </c>
      <c r="H1099" s="27">
        <f t="shared" si="1154"/>
        <v>0</v>
      </c>
      <c r="I1099" s="27">
        <f t="shared" si="1155"/>
        <v>32</v>
      </c>
      <c r="J1099" s="27">
        <f t="shared" si="1155"/>
        <v>32</v>
      </c>
      <c r="K1099" s="27">
        <f t="shared" si="1155"/>
        <v>32</v>
      </c>
      <c r="L1099" s="27">
        <f t="shared" si="1155"/>
        <v>32</v>
      </c>
      <c r="M1099" s="27">
        <f t="shared" si="1156"/>
        <v>50</v>
      </c>
      <c r="N1099" s="27">
        <f t="shared" si="1156"/>
        <v>0</v>
      </c>
      <c r="O1099" s="27">
        <f t="shared" si="1088"/>
        <v>0</v>
      </c>
    </row>
    <row r="1100" spans="1:15" ht="31.5">
      <c r="A1100" s="26" t="s">
        <v>183</v>
      </c>
      <c r="B1100" s="215">
        <v>910</v>
      </c>
      <c r="C1100" s="213" t="s">
        <v>170</v>
      </c>
      <c r="D1100" s="213" t="s">
        <v>192</v>
      </c>
      <c r="E1100" s="213" t="s">
        <v>780</v>
      </c>
      <c r="F1100" s="213" t="s">
        <v>184</v>
      </c>
      <c r="G1100" s="27">
        <f>G1101</f>
        <v>32</v>
      </c>
      <c r="H1100" s="27">
        <f t="shared" si="1154"/>
        <v>0</v>
      </c>
      <c r="I1100" s="27">
        <f t="shared" si="1155"/>
        <v>32</v>
      </c>
      <c r="J1100" s="27">
        <f t="shared" si="1155"/>
        <v>32</v>
      </c>
      <c r="K1100" s="27">
        <f t="shared" si="1155"/>
        <v>32</v>
      </c>
      <c r="L1100" s="27">
        <f t="shared" si="1155"/>
        <v>32</v>
      </c>
      <c r="M1100" s="27">
        <f t="shared" si="1156"/>
        <v>50</v>
      </c>
      <c r="N1100" s="27">
        <f t="shared" si="1156"/>
        <v>0</v>
      </c>
      <c r="O1100" s="27">
        <f t="shared" si="1088"/>
        <v>0</v>
      </c>
    </row>
    <row r="1101" spans="1:15" ht="47.25">
      <c r="A1101" s="26" t="s">
        <v>185</v>
      </c>
      <c r="B1101" s="215">
        <v>910</v>
      </c>
      <c r="C1101" s="213" t="s">
        <v>170</v>
      </c>
      <c r="D1101" s="213" t="s">
        <v>192</v>
      </c>
      <c r="E1101" s="213" t="s">
        <v>780</v>
      </c>
      <c r="F1101" s="213" t="s">
        <v>186</v>
      </c>
      <c r="G1101" s="27">
        <v>32</v>
      </c>
      <c r="H1101" s="27">
        <v>0</v>
      </c>
      <c r="I1101" s="27">
        <v>32</v>
      </c>
      <c r="J1101" s="27">
        <v>32</v>
      </c>
      <c r="K1101" s="27">
        <v>32</v>
      </c>
      <c r="L1101" s="27">
        <v>32</v>
      </c>
      <c r="M1101" s="27">
        <v>50</v>
      </c>
      <c r="N1101" s="27"/>
      <c r="O1101" s="27">
        <f aca="true" t="shared" si="1157" ref="O1101:O1120">N1101/M1101*100</f>
        <v>0</v>
      </c>
    </row>
    <row r="1102" spans="1:15" ht="31.5">
      <c r="A1102" s="24" t="s">
        <v>634</v>
      </c>
      <c r="B1102" s="212">
        <v>913</v>
      </c>
      <c r="C1102" s="214"/>
      <c r="D1102" s="214"/>
      <c r="E1102" s="214"/>
      <c r="F1102" s="214"/>
      <c r="G1102" s="22">
        <f aca="true" t="shared" si="1158" ref="G1102:L1102">G1109</f>
        <v>6309.8</v>
      </c>
      <c r="H1102" s="22">
        <f t="shared" si="1158"/>
        <v>4427.2</v>
      </c>
      <c r="I1102" s="22">
        <f t="shared" si="1158"/>
        <v>6309.8</v>
      </c>
      <c r="J1102" s="22">
        <f t="shared" si="1158"/>
        <v>8181.700000000001</v>
      </c>
      <c r="K1102" s="22">
        <f t="shared" si="1158"/>
        <v>8258.7</v>
      </c>
      <c r="L1102" s="22">
        <f t="shared" si="1158"/>
        <v>8332.7</v>
      </c>
      <c r="M1102" s="22">
        <f>M1109+M1103</f>
        <v>6347.1</v>
      </c>
      <c r="N1102" s="22">
        <f aca="true" t="shared" si="1159" ref="N1102">N1109+N1103</f>
        <v>2905.5000000000005</v>
      </c>
      <c r="O1102" s="22">
        <f t="shared" si="1157"/>
        <v>45.776811457200935</v>
      </c>
    </row>
    <row r="1103" spans="1:15" ht="15.75">
      <c r="A1103" s="265" t="s">
        <v>169</v>
      </c>
      <c r="B1103" s="212">
        <v>913</v>
      </c>
      <c r="C1103" s="214" t="s">
        <v>170</v>
      </c>
      <c r="D1103" s="263"/>
      <c r="E1103" s="263"/>
      <c r="F1103" s="263"/>
      <c r="G1103" s="263"/>
      <c r="H1103" s="263"/>
      <c r="I1103" s="263"/>
      <c r="J1103" s="263"/>
      <c r="K1103" s="263"/>
      <c r="L1103" s="263"/>
      <c r="M1103" s="264">
        <f>M1104</f>
        <v>63.6</v>
      </c>
      <c r="N1103" s="264">
        <f aca="true" t="shared" si="1160" ref="N1103:N1105">N1104</f>
        <v>28.9</v>
      </c>
      <c r="O1103" s="22">
        <f t="shared" si="1157"/>
        <v>45.44025157232704</v>
      </c>
    </row>
    <row r="1104" spans="1:15" ht="15.75">
      <c r="A1104" s="36" t="s">
        <v>191</v>
      </c>
      <c r="B1104" s="212">
        <v>913</v>
      </c>
      <c r="C1104" s="214" t="s">
        <v>170</v>
      </c>
      <c r="D1104" s="214" t="s">
        <v>192</v>
      </c>
      <c r="E1104" s="213"/>
      <c r="F1104" s="213"/>
      <c r="G1104" s="22"/>
      <c r="H1104" s="22"/>
      <c r="I1104" s="22"/>
      <c r="J1104" s="22"/>
      <c r="K1104" s="22"/>
      <c r="L1104" s="22"/>
      <c r="M1104" s="22">
        <f>M1105</f>
        <v>63.6</v>
      </c>
      <c r="N1104" s="22">
        <f t="shared" si="1160"/>
        <v>28.9</v>
      </c>
      <c r="O1104" s="22">
        <f t="shared" si="1157"/>
        <v>45.44025157232704</v>
      </c>
    </row>
    <row r="1105" spans="1:15" ht="63">
      <c r="A1105" s="31" t="s">
        <v>805</v>
      </c>
      <c r="B1105" s="215">
        <v>913</v>
      </c>
      <c r="C1105" s="213" t="s">
        <v>170</v>
      </c>
      <c r="D1105" s="213" t="s">
        <v>192</v>
      </c>
      <c r="E1105" s="213" t="s">
        <v>803</v>
      </c>
      <c r="F1105" s="220"/>
      <c r="G1105" s="27">
        <f>G1107</f>
        <v>29</v>
      </c>
      <c r="H1105" s="27">
        <f aca="true" t="shared" si="1161" ref="H1105:L1105">H1107</f>
        <v>19.1</v>
      </c>
      <c r="I1105" s="27">
        <f t="shared" si="1161"/>
        <v>29</v>
      </c>
      <c r="J1105" s="27">
        <f t="shared" si="1161"/>
        <v>0</v>
      </c>
      <c r="K1105" s="27">
        <f t="shared" si="1161"/>
        <v>0</v>
      </c>
      <c r="L1105" s="27">
        <f t="shared" si="1161"/>
        <v>0</v>
      </c>
      <c r="M1105" s="27">
        <f>M1106</f>
        <v>63.6</v>
      </c>
      <c r="N1105" s="27">
        <f t="shared" si="1160"/>
        <v>28.9</v>
      </c>
      <c r="O1105" s="27">
        <f t="shared" si="1157"/>
        <v>45.44025157232704</v>
      </c>
    </row>
    <row r="1106" spans="1:15" ht="31.5">
      <c r="A1106" s="122" t="s">
        <v>934</v>
      </c>
      <c r="B1106" s="215">
        <v>913</v>
      </c>
      <c r="C1106" s="213" t="s">
        <v>170</v>
      </c>
      <c r="D1106" s="213" t="s">
        <v>192</v>
      </c>
      <c r="E1106" s="213" t="s">
        <v>935</v>
      </c>
      <c r="F1106" s="220"/>
      <c r="G1106" s="27">
        <f aca="true" t="shared" si="1162" ref="G1106:N1106">G1107</f>
        <v>29</v>
      </c>
      <c r="H1106" s="27">
        <f t="shared" si="1162"/>
        <v>19.1</v>
      </c>
      <c r="I1106" s="27">
        <f t="shared" si="1162"/>
        <v>29</v>
      </c>
      <c r="J1106" s="27">
        <f t="shared" si="1162"/>
        <v>0</v>
      </c>
      <c r="K1106" s="27">
        <f t="shared" si="1162"/>
        <v>0</v>
      </c>
      <c r="L1106" s="27">
        <f t="shared" si="1162"/>
        <v>0</v>
      </c>
      <c r="M1106" s="27">
        <f t="shared" si="1162"/>
        <v>63.6</v>
      </c>
      <c r="N1106" s="27">
        <f t="shared" si="1162"/>
        <v>28.9</v>
      </c>
      <c r="O1106" s="27">
        <f t="shared" si="1157"/>
        <v>45.44025157232704</v>
      </c>
    </row>
    <row r="1107" spans="1:15" ht="31.5">
      <c r="A1107" s="26" t="s">
        <v>183</v>
      </c>
      <c r="B1107" s="215">
        <v>913</v>
      </c>
      <c r="C1107" s="213" t="s">
        <v>170</v>
      </c>
      <c r="D1107" s="213" t="s">
        <v>192</v>
      </c>
      <c r="E1107" s="213" t="s">
        <v>935</v>
      </c>
      <c r="F1107" s="220" t="s">
        <v>184</v>
      </c>
      <c r="G1107" s="27">
        <f>G1108</f>
        <v>29</v>
      </c>
      <c r="H1107" s="27">
        <f aca="true" t="shared" si="1163" ref="H1107:N1107">H1108</f>
        <v>19.1</v>
      </c>
      <c r="I1107" s="27">
        <f t="shared" si="1163"/>
        <v>29</v>
      </c>
      <c r="J1107" s="27">
        <f t="shared" si="1163"/>
        <v>0</v>
      </c>
      <c r="K1107" s="27">
        <f t="shared" si="1163"/>
        <v>0</v>
      </c>
      <c r="L1107" s="27">
        <f t="shared" si="1163"/>
        <v>0</v>
      </c>
      <c r="M1107" s="27">
        <f t="shared" si="1163"/>
        <v>63.6</v>
      </c>
      <c r="N1107" s="27">
        <f t="shared" si="1163"/>
        <v>28.9</v>
      </c>
      <c r="O1107" s="27">
        <f t="shared" si="1157"/>
        <v>45.44025157232704</v>
      </c>
    </row>
    <row r="1108" spans="1:15" ht="47.25">
      <c r="A1108" s="26" t="s">
        <v>185</v>
      </c>
      <c r="B1108" s="215">
        <v>913</v>
      </c>
      <c r="C1108" s="213" t="s">
        <v>170</v>
      </c>
      <c r="D1108" s="213" t="s">
        <v>192</v>
      </c>
      <c r="E1108" s="213" t="s">
        <v>935</v>
      </c>
      <c r="F1108" s="220" t="s">
        <v>186</v>
      </c>
      <c r="G1108" s="27">
        <v>29</v>
      </c>
      <c r="H1108" s="27">
        <v>19.1</v>
      </c>
      <c r="I1108" s="27">
        <v>29</v>
      </c>
      <c r="J1108" s="27">
        <v>0</v>
      </c>
      <c r="K1108" s="27">
        <v>0</v>
      </c>
      <c r="L1108" s="27">
        <v>0</v>
      </c>
      <c r="M1108" s="27">
        <f>60+3.6</f>
        <v>63.6</v>
      </c>
      <c r="N1108" s="27">
        <v>28.9</v>
      </c>
      <c r="O1108" s="27">
        <f t="shared" si="1157"/>
        <v>45.44025157232704</v>
      </c>
    </row>
    <row r="1109" spans="1:15" ht="15.75">
      <c r="A1109" s="24" t="s">
        <v>635</v>
      </c>
      <c r="B1109" s="212">
        <v>913</v>
      </c>
      <c r="C1109" s="214" t="s">
        <v>290</v>
      </c>
      <c r="D1109" s="213"/>
      <c r="E1109" s="213"/>
      <c r="F1109" s="213"/>
      <c r="G1109" s="27">
        <f aca="true" t="shared" si="1164" ref="G1109:N1110">G1110</f>
        <v>6309.8</v>
      </c>
      <c r="H1109" s="27">
        <f t="shared" si="1164"/>
        <v>4427.2</v>
      </c>
      <c r="I1109" s="27">
        <f t="shared" si="1164"/>
        <v>6309.8</v>
      </c>
      <c r="J1109" s="27">
        <f t="shared" si="1164"/>
        <v>8181.700000000001</v>
      </c>
      <c r="K1109" s="27">
        <f t="shared" si="1164"/>
        <v>8258.7</v>
      </c>
      <c r="L1109" s="27">
        <f t="shared" si="1164"/>
        <v>8332.7</v>
      </c>
      <c r="M1109" s="27">
        <f t="shared" si="1164"/>
        <v>6283.5</v>
      </c>
      <c r="N1109" s="27">
        <f t="shared" si="1164"/>
        <v>2876.6000000000004</v>
      </c>
      <c r="O1109" s="27">
        <f t="shared" si="1157"/>
        <v>45.78021803135196</v>
      </c>
    </row>
    <row r="1110" spans="1:15" ht="15.75">
      <c r="A1110" s="24" t="s">
        <v>636</v>
      </c>
      <c r="B1110" s="212">
        <v>913</v>
      </c>
      <c r="C1110" s="214" t="s">
        <v>290</v>
      </c>
      <c r="D1110" s="214" t="s">
        <v>265</v>
      </c>
      <c r="E1110" s="214"/>
      <c r="F1110" s="214"/>
      <c r="G1110" s="27">
        <f t="shared" si="1164"/>
        <v>6309.8</v>
      </c>
      <c r="H1110" s="27">
        <f t="shared" si="1164"/>
        <v>4427.2</v>
      </c>
      <c r="I1110" s="27">
        <f t="shared" si="1164"/>
        <v>6309.8</v>
      </c>
      <c r="J1110" s="27">
        <f t="shared" si="1164"/>
        <v>8181.700000000001</v>
      </c>
      <c r="K1110" s="27">
        <f t="shared" si="1164"/>
        <v>8258.7</v>
      </c>
      <c r="L1110" s="27">
        <f t="shared" si="1164"/>
        <v>8332.7</v>
      </c>
      <c r="M1110" s="27">
        <f t="shared" si="1164"/>
        <v>6283.5</v>
      </c>
      <c r="N1110" s="27">
        <f t="shared" si="1164"/>
        <v>2876.6000000000004</v>
      </c>
      <c r="O1110" s="27">
        <f t="shared" si="1157"/>
        <v>45.78021803135196</v>
      </c>
    </row>
    <row r="1111" spans="1:15" ht="15.75">
      <c r="A1111" s="26" t="s">
        <v>173</v>
      </c>
      <c r="B1111" s="215">
        <v>913</v>
      </c>
      <c r="C1111" s="213" t="s">
        <v>290</v>
      </c>
      <c r="D1111" s="213" t="s">
        <v>265</v>
      </c>
      <c r="E1111" s="213" t="s">
        <v>174</v>
      </c>
      <c r="F1111" s="213"/>
      <c r="G1111" s="27">
        <f>G1112</f>
        <v>6309.8</v>
      </c>
      <c r="H1111" s="27">
        <f>H1112</f>
        <v>4427.2</v>
      </c>
      <c r="I1111" s="27">
        <f aca="true" t="shared" si="1165" ref="G1111:N1112">I1112</f>
        <v>6309.8</v>
      </c>
      <c r="J1111" s="27">
        <f t="shared" si="1165"/>
        <v>8181.700000000001</v>
      </c>
      <c r="K1111" s="27">
        <f t="shared" si="1165"/>
        <v>8258.7</v>
      </c>
      <c r="L1111" s="27">
        <f t="shared" si="1165"/>
        <v>8332.7</v>
      </c>
      <c r="M1111" s="27">
        <f aca="true" t="shared" si="1166" ref="M1111:N1111">M1112</f>
        <v>6283.5</v>
      </c>
      <c r="N1111" s="27">
        <f t="shared" si="1166"/>
        <v>2876.6000000000004</v>
      </c>
      <c r="O1111" s="27">
        <f t="shared" si="1157"/>
        <v>45.78021803135196</v>
      </c>
    </row>
    <row r="1112" spans="1:15" ht="31.5">
      <c r="A1112" s="26" t="s">
        <v>637</v>
      </c>
      <c r="B1112" s="215">
        <v>913</v>
      </c>
      <c r="C1112" s="213" t="s">
        <v>290</v>
      </c>
      <c r="D1112" s="213" t="s">
        <v>265</v>
      </c>
      <c r="E1112" s="213" t="s">
        <v>638</v>
      </c>
      <c r="F1112" s="213"/>
      <c r="G1112" s="27">
        <f t="shared" si="1165"/>
        <v>6309.8</v>
      </c>
      <c r="H1112" s="27">
        <f t="shared" si="1165"/>
        <v>4427.2</v>
      </c>
      <c r="I1112" s="27">
        <f t="shared" si="1165"/>
        <v>6309.8</v>
      </c>
      <c r="J1112" s="27">
        <f t="shared" si="1165"/>
        <v>8181.700000000001</v>
      </c>
      <c r="K1112" s="27">
        <f t="shared" si="1165"/>
        <v>8258.7</v>
      </c>
      <c r="L1112" s="27">
        <f t="shared" si="1165"/>
        <v>8332.7</v>
      </c>
      <c r="M1112" s="27">
        <f t="shared" si="1165"/>
        <v>6283.5</v>
      </c>
      <c r="N1112" s="27">
        <f t="shared" si="1165"/>
        <v>2876.6000000000004</v>
      </c>
      <c r="O1112" s="27">
        <f t="shared" si="1157"/>
        <v>45.78021803135196</v>
      </c>
    </row>
    <row r="1113" spans="1:15" ht="31.5">
      <c r="A1113" s="26" t="s">
        <v>362</v>
      </c>
      <c r="B1113" s="215">
        <v>913</v>
      </c>
      <c r="C1113" s="213" t="s">
        <v>290</v>
      </c>
      <c r="D1113" s="213" t="s">
        <v>265</v>
      </c>
      <c r="E1113" s="213" t="s">
        <v>639</v>
      </c>
      <c r="F1113" s="213"/>
      <c r="G1113" s="27">
        <f>G1114+G1116+G1118</f>
        <v>6309.8</v>
      </c>
      <c r="H1113" s="27">
        <f>H1114+H1116+H1118</f>
        <v>4427.2</v>
      </c>
      <c r="I1113" s="27">
        <f aca="true" t="shared" si="1167" ref="I1113:M1113">I1114+I1116+I1118</f>
        <v>6309.8</v>
      </c>
      <c r="J1113" s="27">
        <f t="shared" si="1167"/>
        <v>8181.700000000001</v>
      </c>
      <c r="K1113" s="27">
        <f t="shared" si="1167"/>
        <v>8258.7</v>
      </c>
      <c r="L1113" s="27">
        <f t="shared" si="1167"/>
        <v>8332.7</v>
      </c>
      <c r="M1113" s="27">
        <f t="shared" si="1167"/>
        <v>6283.5</v>
      </c>
      <c r="N1113" s="27">
        <f aca="true" t="shared" si="1168" ref="N1113">N1114+N1116+N1118</f>
        <v>2876.6000000000004</v>
      </c>
      <c r="O1113" s="27">
        <f t="shared" si="1157"/>
        <v>45.78021803135196</v>
      </c>
    </row>
    <row r="1114" spans="1:15" ht="94.5">
      <c r="A1114" s="26" t="s">
        <v>179</v>
      </c>
      <c r="B1114" s="215">
        <v>913</v>
      </c>
      <c r="C1114" s="213" t="s">
        <v>290</v>
      </c>
      <c r="D1114" s="213" t="s">
        <v>265</v>
      </c>
      <c r="E1114" s="213" t="s">
        <v>639</v>
      </c>
      <c r="F1114" s="213" t="s">
        <v>180</v>
      </c>
      <c r="G1114" s="27">
        <f aca="true" t="shared" si="1169" ref="G1114:N1114">G1115</f>
        <v>5371.7</v>
      </c>
      <c r="H1114" s="27">
        <f t="shared" si="1169"/>
        <v>3759.5</v>
      </c>
      <c r="I1114" s="27">
        <f t="shared" si="1169"/>
        <v>5371.7</v>
      </c>
      <c r="J1114" s="27">
        <f t="shared" si="1169"/>
        <v>5696.1</v>
      </c>
      <c r="K1114" s="27">
        <f t="shared" si="1169"/>
        <v>5753.1</v>
      </c>
      <c r="L1114" s="27">
        <f t="shared" si="1169"/>
        <v>5810.7</v>
      </c>
      <c r="M1114" s="27">
        <f t="shared" si="1169"/>
        <v>5371.7</v>
      </c>
      <c r="N1114" s="27">
        <f t="shared" si="1169"/>
        <v>2551</v>
      </c>
      <c r="O1114" s="27">
        <f t="shared" si="1157"/>
        <v>47.48962153508201</v>
      </c>
    </row>
    <row r="1115" spans="1:15" ht="31.5">
      <c r="A1115" s="26" t="s">
        <v>260</v>
      </c>
      <c r="B1115" s="215">
        <v>913</v>
      </c>
      <c r="C1115" s="213" t="s">
        <v>290</v>
      </c>
      <c r="D1115" s="213" t="s">
        <v>265</v>
      </c>
      <c r="E1115" s="213" t="s">
        <v>639</v>
      </c>
      <c r="F1115" s="213" t="s">
        <v>261</v>
      </c>
      <c r="G1115" s="28">
        <v>5371.7</v>
      </c>
      <c r="H1115" s="28">
        <v>3759.5</v>
      </c>
      <c r="I1115" s="28">
        <v>5371.7</v>
      </c>
      <c r="J1115" s="28">
        <v>5696.1</v>
      </c>
      <c r="K1115" s="28">
        <v>5753.1</v>
      </c>
      <c r="L1115" s="28">
        <v>5810.7</v>
      </c>
      <c r="M1115" s="28">
        <v>5371.7</v>
      </c>
      <c r="N1115" s="28">
        <v>2551</v>
      </c>
      <c r="O1115" s="27">
        <f t="shared" si="1157"/>
        <v>47.48962153508201</v>
      </c>
    </row>
    <row r="1116" spans="1:15" ht="31.5">
      <c r="A1116" s="26" t="s">
        <v>183</v>
      </c>
      <c r="B1116" s="215">
        <v>913</v>
      </c>
      <c r="C1116" s="213" t="s">
        <v>290</v>
      </c>
      <c r="D1116" s="213" t="s">
        <v>265</v>
      </c>
      <c r="E1116" s="213" t="s">
        <v>639</v>
      </c>
      <c r="F1116" s="213" t="s">
        <v>184</v>
      </c>
      <c r="G1116" s="27">
        <f aca="true" t="shared" si="1170" ref="G1116:L1116">G1117</f>
        <v>928.1</v>
      </c>
      <c r="H1116" s="27">
        <f t="shared" si="1170"/>
        <v>664.7</v>
      </c>
      <c r="I1116" s="27">
        <f t="shared" si="1170"/>
        <v>928.1</v>
      </c>
      <c r="J1116" s="27">
        <f t="shared" si="1170"/>
        <v>2475.6</v>
      </c>
      <c r="K1116" s="27">
        <f t="shared" si="1170"/>
        <v>2495.6</v>
      </c>
      <c r="L1116" s="27">
        <f t="shared" si="1170"/>
        <v>2512</v>
      </c>
      <c r="M1116" s="27">
        <f>M1117</f>
        <v>901.8</v>
      </c>
      <c r="N1116" s="27">
        <f aca="true" t="shared" si="1171" ref="N1116">N1117</f>
        <v>324.8</v>
      </c>
      <c r="O1116" s="27">
        <f t="shared" si="1157"/>
        <v>36.01685517853183</v>
      </c>
    </row>
    <row r="1117" spans="1:15" ht="47.25">
      <c r="A1117" s="26" t="s">
        <v>185</v>
      </c>
      <c r="B1117" s="215">
        <v>913</v>
      </c>
      <c r="C1117" s="213" t="s">
        <v>290</v>
      </c>
      <c r="D1117" s="213" t="s">
        <v>265</v>
      </c>
      <c r="E1117" s="213" t="s">
        <v>639</v>
      </c>
      <c r="F1117" s="213" t="s">
        <v>186</v>
      </c>
      <c r="G1117" s="28">
        <f>898.3+28.1+1.7</f>
        <v>928.1</v>
      </c>
      <c r="H1117" s="28">
        <v>664.7</v>
      </c>
      <c r="I1117" s="28">
        <f aca="true" t="shared" si="1172" ref="I1117">898.3+28.1+1.7</f>
        <v>928.1</v>
      </c>
      <c r="J1117" s="28">
        <f>2485.6-J1119</f>
        <v>2475.6</v>
      </c>
      <c r="K1117" s="28">
        <f>2505.6-K1119</f>
        <v>2495.6</v>
      </c>
      <c r="L1117" s="28">
        <f>2522-L1119</f>
        <v>2512</v>
      </c>
      <c r="M1117" s="28">
        <f>920.6-60-3.6+44.8</f>
        <v>901.8</v>
      </c>
      <c r="N1117" s="28">
        <v>324.8</v>
      </c>
      <c r="O1117" s="27">
        <f t="shared" si="1157"/>
        <v>36.01685517853183</v>
      </c>
    </row>
    <row r="1118" spans="1:15" ht="15.75">
      <c r="A1118" s="26" t="s">
        <v>187</v>
      </c>
      <c r="B1118" s="215">
        <v>913</v>
      </c>
      <c r="C1118" s="213" t="s">
        <v>290</v>
      </c>
      <c r="D1118" s="213" t="s">
        <v>265</v>
      </c>
      <c r="E1118" s="213" t="s">
        <v>639</v>
      </c>
      <c r="F1118" s="213" t="s">
        <v>197</v>
      </c>
      <c r="G1118" s="27">
        <f aca="true" t="shared" si="1173" ref="G1118:L1118">G1119</f>
        <v>10</v>
      </c>
      <c r="H1118" s="27">
        <f t="shared" si="1173"/>
        <v>3</v>
      </c>
      <c r="I1118" s="27">
        <f t="shared" si="1173"/>
        <v>10</v>
      </c>
      <c r="J1118" s="27">
        <f t="shared" si="1173"/>
        <v>10</v>
      </c>
      <c r="K1118" s="27">
        <f t="shared" si="1173"/>
        <v>10</v>
      </c>
      <c r="L1118" s="27">
        <f t="shared" si="1173"/>
        <v>10</v>
      </c>
      <c r="M1118" s="27">
        <f aca="true" t="shared" si="1174" ref="M1118:N1118">M1119</f>
        <v>10</v>
      </c>
      <c r="N1118" s="27">
        <f t="shared" si="1174"/>
        <v>0.8</v>
      </c>
      <c r="O1118" s="27">
        <f t="shared" si="1157"/>
        <v>8</v>
      </c>
    </row>
    <row r="1119" spans="1:15" ht="15.75">
      <c r="A1119" s="26" t="s">
        <v>621</v>
      </c>
      <c r="B1119" s="215">
        <v>913</v>
      </c>
      <c r="C1119" s="213" t="s">
        <v>290</v>
      </c>
      <c r="D1119" s="213" t="s">
        <v>265</v>
      </c>
      <c r="E1119" s="213" t="s">
        <v>639</v>
      </c>
      <c r="F1119" s="213" t="s">
        <v>190</v>
      </c>
      <c r="G1119" s="27">
        <v>10</v>
      </c>
      <c r="H1119" s="27">
        <v>3</v>
      </c>
      <c r="I1119" s="27">
        <v>10</v>
      </c>
      <c r="J1119" s="27">
        <v>10</v>
      </c>
      <c r="K1119" s="27">
        <v>10</v>
      </c>
      <c r="L1119" s="27">
        <v>10</v>
      </c>
      <c r="M1119" s="27">
        <v>10</v>
      </c>
      <c r="N1119" s="27">
        <v>0.8</v>
      </c>
      <c r="O1119" s="27">
        <f t="shared" si="1157"/>
        <v>8</v>
      </c>
    </row>
    <row r="1120" spans="1:15" ht="18.75">
      <c r="A1120" s="50" t="s">
        <v>640</v>
      </c>
      <c r="B1120" s="224"/>
      <c r="C1120" s="214"/>
      <c r="D1120" s="214"/>
      <c r="E1120" s="214"/>
      <c r="F1120" s="214"/>
      <c r="G1120" s="51">
        <f aca="true" t="shared" si="1175" ref="G1120:M1120">G1102+G1064+G864+G773+G575+G528+G243+G29+G12</f>
        <v>665442.2</v>
      </c>
      <c r="H1120" s="51">
        <f t="shared" si="1175"/>
        <v>441840.68000000005</v>
      </c>
      <c r="I1120" s="51">
        <f t="shared" si="1175"/>
        <v>638134.3364705882</v>
      </c>
      <c r="J1120" s="51">
        <f t="shared" si="1175"/>
        <v>747927.9999999999</v>
      </c>
      <c r="K1120" s="51">
        <f t="shared" si="1175"/>
        <v>743098.7000000001</v>
      </c>
      <c r="L1120" s="51">
        <f t="shared" si="1175"/>
        <v>741645.1</v>
      </c>
      <c r="M1120" s="51">
        <f t="shared" si="1175"/>
        <v>707272.18</v>
      </c>
      <c r="N1120" s="51">
        <f aca="true" t="shared" si="1176" ref="N1120">N1102+N1064+N864+N773+N575+N528+N243+N29+N12</f>
        <v>368007.99999999994</v>
      </c>
      <c r="O1120" s="22">
        <f t="shared" si="1157"/>
        <v>52.03201969572731</v>
      </c>
    </row>
    <row r="1121" spans="1:15" ht="15">
      <c r="A1121" s="52"/>
      <c r="B1121" s="52"/>
      <c r="C1121" s="52"/>
      <c r="D1121" s="52"/>
      <c r="E1121" s="52"/>
      <c r="F1121" s="52"/>
      <c r="G1121" s="52"/>
      <c r="H1121" s="52"/>
      <c r="I1121" s="52"/>
      <c r="J1121" s="52"/>
      <c r="K1121" s="52"/>
      <c r="L1121" s="52"/>
      <c r="M1121" s="52"/>
      <c r="N1121" s="52"/>
      <c r="O1121" s="52"/>
    </row>
    <row r="1122" spans="1:15" ht="18.75">
      <c r="A1122" s="52"/>
      <c r="B1122" s="52"/>
      <c r="C1122" s="53"/>
      <c r="D1122" s="53"/>
      <c r="E1122" s="53"/>
      <c r="F1122" s="125" t="s">
        <v>641</v>
      </c>
      <c r="G1122" s="54">
        <f>G1120-G1123</f>
        <v>460322.3999999999</v>
      </c>
      <c r="H1122" s="54">
        <f>H1120-H1123</f>
        <v>299775.60000000003</v>
      </c>
      <c r="I1122" s="54">
        <f aca="true" t="shared" si="1177" ref="I1122:M1122">I1120-I1123</f>
        <v>433014.5364705882</v>
      </c>
      <c r="J1122" s="54">
        <f t="shared" si="1177"/>
        <v>581477.2999999998</v>
      </c>
      <c r="K1122" s="54">
        <f t="shared" si="1177"/>
        <v>576648</v>
      </c>
      <c r="L1122" s="54">
        <f t="shared" si="1177"/>
        <v>575194.3999999999</v>
      </c>
      <c r="M1122" s="54">
        <f t="shared" si="1177"/>
        <v>485570.6000000001</v>
      </c>
      <c r="N1122" s="54">
        <f aca="true" t="shared" si="1178" ref="N1122:O1122">N1120-N1123</f>
        <v>242197.29999999996</v>
      </c>
      <c r="O1122" s="54">
        <f t="shared" si="1178"/>
        <v>-670.1593896286926</v>
      </c>
    </row>
    <row r="1123" spans="1:15" ht="18.75">
      <c r="A1123" s="52"/>
      <c r="B1123" s="52"/>
      <c r="C1123" s="53"/>
      <c r="D1123" s="53"/>
      <c r="E1123" s="53"/>
      <c r="F1123" s="125" t="s">
        <v>642</v>
      </c>
      <c r="G1123" s="54">
        <f aca="true" t="shared" si="1179" ref="G1123:L1123">G108+G196+G209+G231+G237+G312+G324+G395+G513+G557+G571+G621+G678+G740+G803+G903+G948+G1015+G723+G1098++G837+G272</f>
        <v>205119.80000000005</v>
      </c>
      <c r="H1123" s="54">
        <f t="shared" si="1179"/>
        <v>142065.08000000002</v>
      </c>
      <c r="I1123" s="54">
        <f t="shared" si="1179"/>
        <v>205119.80000000005</v>
      </c>
      <c r="J1123" s="54">
        <f t="shared" si="1179"/>
        <v>166450.7</v>
      </c>
      <c r="K1123" s="54">
        <f t="shared" si="1179"/>
        <v>166450.7</v>
      </c>
      <c r="L1123" s="54">
        <f t="shared" si="1179"/>
        <v>166450.7</v>
      </c>
      <c r="M1123" s="54">
        <f>M108+M196+M209+M237+M312+M395+M571+M621+M678+M723+M740+M803+M1015+M972+M948+M992+M1098+M975+M546+M512+M1035</f>
        <v>221701.58</v>
      </c>
      <c r="N1123" s="54">
        <f aca="true" t="shared" si="1180" ref="N1123:O1123">N108+N196+N209+N237+N312+N395+N571+N621+N678+N723+N740+N803+N1015+N972+N948+N992+N1098+N975+N546+N512+N1035</f>
        <v>125810.69999999998</v>
      </c>
      <c r="O1123" s="54">
        <f t="shared" si="1180"/>
        <v>722.1914093244199</v>
      </c>
    </row>
    <row r="1124" spans="1:15" ht="15.75">
      <c r="A1124" s="52"/>
      <c r="B1124" s="52"/>
      <c r="C1124" s="53"/>
      <c r="D1124" s="55"/>
      <c r="E1124" s="55"/>
      <c r="F1124" s="55"/>
      <c r="G1124" s="126"/>
      <c r="H1124" s="126"/>
      <c r="I1124" s="126"/>
      <c r="J1124" s="126"/>
      <c r="K1124" s="126"/>
      <c r="L1124" s="126"/>
      <c r="M1124" s="126"/>
      <c r="N1124" s="126"/>
      <c r="O1124" s="126"/>
    </row>
    <row r="1125" spans="1:15" ht="15.75">
      <c r="A1125" s="52"/>
      <c r="B1125" s="52"/>
      <c r="C1125" s="53"/>
      <c r="D1125" s="55"/>
      <c r="E1125" s="55"/>
      <c r="F1125" s="55"/>
      <c r="G1125" s="225"/>
      <c r="H1125" s="225"/>
      <c r="I1125" s="53"/>
      <c r="J1125" s="225"/>
      <c r="K1125" s="53"/>
      <c r="L1125" s="53"/>
      <c r="M1125" s="225"/>
      <c r="N1125" s="225"/>
      <c r="O1125" s="225"/>
    </row>
    <row r="1126" spans="1:15" ht="15.75">
      <c r="A1126" s="52"/>
      <c r="B1126" s="52"/>
      <c r="C1126" s="53"/>
      <c r="D1126" s="55"/>
      <c r="E1126" s="55"/>
      <c r="F1126" s="55"/>
      <c r="G1126" s="225"/>
      <c r="H1126" s="225"/>
      <c r="I1126" s="53"/>
      <c r="J1126" s="225"/>
      <c r="K1126" s="53"/>
      <c r="L1126" s="53"/>
      <c r="M1126" s="53"/>
      <c r="N1126" s="53"/>
      <c r="O1126" s="53"/>
    </row>
    <row r="1127" spans="1:15" ht="15.75">
      <c r="A1127" s="52"/>
      <c r="B1127" s="52"/>
      <c r="C1127" s="56">
        <v>1</v>
      </c>
      <c r="D1127" s="55"/>
      <c r="E1127" s="55"/>
      <c r="F1127" s="55"/>
      <c r="G1127" s="57">
        <f aca="true" t="shared" si="1181" ref="G1127:L1127">G13+G30+G529+G576+G1065+G865+G244</f>
        <v>118780.1</v>
      </c>
      <c r="H1127" s="57">
        <f t="shared" si="1181"/>
        <v>71178.9</v>
      </c>
      <c r="I1127" s="57">
        <f t="shared" si="1181"/>
        <v>108948.27960784313</v>
      </c>
      <c r="J1127" s="57">
        <f t="shared" si="1181"/>
        <v>137733.8</v>
      </c>
      <c r="K1127" s="57">
        <f t="shared" si="1181"/>
        <v>138680.90000000002</v>
      </c>
      <c r="L1127" s="57">
        <f t="shared" si="1181"/>
        <v>139391.7</v>
      </c>
      <c r="M1127" s="57">
        <f>M13+M30+M244+M529+M576+M774+M865+M1065+M1103</f>
        <v>137266.30000000002</v>
      </c>
      <c r="N1127" s="57">
        <f aca="true" t="shared" si="1182" ref="N1127:O1127">N13+N30+N244+N529+N576+N774+N865+N1065+N1103</f>
        <v>71523.2</v>
      </c>
      <c r="O1127" s="57">
        <f t="shared" si="1182"/>
        <v>503.09814368623825</v>
      </c>
    </row>
    <row r="1128" spans="1:15" ht="15.75">
      <c r="A1128" s="52"/>
      <c r="B1128" s="52"/>
      <c r="C1128" s="56" t="s">
        <v>641</v>
      </c>
      <c r="D1128" s="55"/>
      <c r="E1128" s="55"/>
      <c r="F1128" s="55"/>
      <c r="G1128" s="57">
        <f aca="true" t="shared" si="1183" ref="G1128:L1128">G13+G31+G55+G64+G68+G80+G93+G97+G135+G529+G576+G865+G1075+G1066+G1086+G1093+G251</f>
        <v>115058.5</v>
      </c>
      <c r="H1128" s="57">
        <f t="shared" si="1183"/>
        <v>68666.5</v>
      </c>
      <c r="I1128" s="57">
        <f t="shared" si="1183"/>
        <v>105226.67960784314</v>
      </c>
      <c r="J1128" s="57">
        <f t="shared" si="1183"/>
        <v>134100.9</v>
      </c>
      <c r="K1128" s="57">
        <f t="shared" si="1183"/>
        <v>135048</v>
      </c>
      <c r="L1128" s="57">
        <f t="shared" si="1183"/>
        <v>135758.8</v>
      </c>
      <c r="M1128" s="57">
        <f>M13+M31+M55+M68+M80+M97+M135+M244+M530+M541+M550+M576+M774+M866+M1065+M1103-M1098</f>
        <v>132917.6</v>
      </c>
      <c r="N1128" s="57">
        <f aca="true" t="shared" si="1184" ref="N1128:O1128">N13+N31+N55+N68+N80+N97+N135+N244+N530+N541+N550+N576+N774+N866+N1065+N1103-N1098</f>
        <v>70171.9</v>
      </c>
      <c r="O1128" s="57">
        <f t="shared" si="1184"/>
        <v>717.8244220200721</v>
      </c>
    </row>
    <row r="1129" spans="1:15" ht="15.75">
      <c r="A1129" s="52"/>
      <c r="B1129" s="52"/>
      <c r="C1129" s="56" t="s">
        <v>642</v>
      </c>
      <c r="D1129" s="55"/>
      <c r="E1129" s="55"/>
      <c r="F1129" s="55"/>
      <c r="G1129" s="57">
        <f>G1127-G1128</f>
        <v>3721.600000000006</v>
      </c>
      <c r="H1129" s="57">
        <f>H1127-H1128</f>
        <v>2512.399999999994</v>
      </c>
      <c r="I1129" s="57">
        <f aca="true" t="shared" si="1185" ref="I1129:L1129">I1127-I1128</f>
        <v>3721.5999999999913</v>
      </c>
      <c r="J1129" s="57">
        <f t="shared" si="1185"/>
        <v>3632.899999999994</v>
      </c>
      <c r="K1129" s="57">
        <f t="shared" si="1185"/>
        <v>3632.9000000000233</v>
      </c>
      <c r="L1129" s="57">
        <f t="shared" si="1185"/>
        <v>3632.9000000000233</v>
      </c>
      <c r="M1129" s="57">
        <f>M108+M546+M1097</f>
        <v>4348.7</v>
      </c>
      <c r="N1129" s="57">
        <f aca="true" t="shared" si="1186" ref="N1129:O1129">N108+N546+N1097</f>
        <v>1351.3</v>
      </c>
      <c r="O1129" s="57">
        <f t="shared" si="1186"/>
        <v>37.23923168076722</v>
      </c>
    </row>
    <row r="1130" spans="1:15" ht="15.75">
      <c r="A1130" s="52"/>
      <c r="B1130" s="52"/>
      <c r="C1130" s="56">
        <v>2</v>
      </c>
      <c r="D1130" s="55"/>
      <c r="E1130" s="55"/>
      <c r="F1130" s="55"/>
      <c r="G1130" s="57">
        <f aca="true" t="shared" si="1187" ref="G1130:M1130">G161</f>
        <v>0</v>
      </c>
      <c r="H1130" s="57">
        <f t="shared" si="1187"/>
        <v>0</v>
      </c>
      <c r="I1130" s="57">
        <f t="shared" si="1187"/>
        <v>0</v>
      </c>
      <c r="J1130" s="57">
        <f t="shared" si="1187"/>
        <v>322.9</v>
      </c>
      <c r="K1130" s="57">
        <f t="shared" si="1187"/>
        <v>22.3</v>
      </c>
      <c r="L1130" s="57">
        <f t="shared" si="1187"/>
        <v>22.3</v>
      </c>
      <c r="M1130" s="57">
        <f t="shared" si="1187"/>
        <v>0</v>
      </c>
      <c r="N1130" s="57">
        <f aca="true" t="shared" si="1188" ref="N1130:O1130">N161</f>
        <v>0</v>
      </c>
      <c r="O1130" s="57" t="e">
        <f t="shared" si="1188"/>
        <v>#DIV/0!</v>
      </c>
    </row>
    <row r="1131" spans="1:15" ht="15.75">
      <c r="A1131" s="52"/>
      <c r="B1131" s="52"/>
      <c r="C1131" s="56">
        <v>3</v>
      </c>
      <c r="D1131" s="55"/>
      <c r="E1131" s="55"/>
      <c r="F1131" s="55"/>
      <c r="G1131" s="57">
        <f aca="true" t="shared" si="1189" ref="G1131:M1131">G879+G168</f>
        <v>7209.400000000001</v>
      </c>
      <c r="H1131" s="57">
        <f t="shared" si="1189"/>
        <v>3838.7000000000003</v>
      </c>
      <c r="I1131" s="57">
        <f t="shared" si="1189"/>
        <v>5540.366666666667</v>
      </c>
      <c r="J1131" s="57">
        <f t="shared" si="1189"/>
        <v>10330.9</v>
      </c>
      <c r="K1131" s="57">
        <f t="shared" si="1189"/>
        <v>8923.6</v>
      </c>
      <c r="L1131" s="57">
        <f t="shared" si="1189"/>
        <v>8970.1</v>
      </c>
      <c r="M1131" s="57">
        <f t="shared" si="1189"/>
        <v>9234.4</v>
      </c>
      <c r="N1131" s="57">
        <f aca="true" t="shared" si="1190" ref="N1131:O1131">N879+N168</f>
        <v>2740.2999999999997</v>
      </c>
      <c r="O1131" s="57" t="e">
        <f t="shared" si="1190"/>
        <v>#DIV/0!</v>
      </c>
    </row>
    <row r="1132" spans="1:15" ht="15.75">
      <c r="A1132" s="52"/>
      <c r="B1132" s="52"/>
      <c r="C1132" s="56">
        <v>4</v>
      </c>
      <c r="D1132" s="55"/>
      <c r="E1132" s="55"/>
      <c r="F1132" s="55"/>
      <c r="G1132" s="57">
        <f aca="true" t="shared" si="1191" ref="G1132:M1132">G186+G886</f>
        <v>20153.2</v>
      </c>
      <c r="H1132" s="57">
        <f t="shared" si="1191"/>
        <v>11432.099999999999</v>
      </c>
      <c r="I1132" s="57">
        <f t="shared" si="1191"/>
        <v>20153.2</v>
      </c>
      <c r="J1132" s="57">
        <f t="shared" si="1191"/>
        <v>20793.199999999997</v>
      </c>
      <c r="K1132" s="57">
        <f t="shared" si="1191"/>
        <v>20793.199999999997</v>
      </c>
      <c r="L1132" s="57">
        <f t="shared" si="1191"/>
        <v>20793.199999999997</v>
      </c>
      <c r="M1132" s="57">
        <f t="shared" si="1191"/>
        <v>12224.5</v>
      </c>
      <c r="N1132" s="57">
        <f aca="true" t="shared" si="1192" ref="N1132:O1132">N186+N886</f>
        <v>3370.2</v>
      </c>
      <c r="O1132" s="57">
        <f t="shared" si="1192"/>
        <v>63.19416704039407</v>
      </c>
    </row>
    <row r="1133" spans="1:15" ht="15.75">
      <c r="A1133" s="52"/>
      <c r="B1133" s="52"/>
      <c r="C1133" s="56" t="s">
        <v>641</v>
      </c>
      <c r="D1133" s="55"/>
      <c r="E1133" s="55"/>
      <c r="F1133" s="55"/>
      <c r="G1133" s="57">
        <f>G1132-G1134</f>
        <v>18331.8</v>
      </c>
      <c r="H1133" s="57">
        <f>H1132-H1134</f>
        <v>10388.899999999998</v>
      </c>
      <c r="I1133" s="57">
        <f aca="true" t="shared" si="1193" ref="I1133:M1133">I1132-I1134</f>
        <v>18331.8</v>
      </c>
      <c r="J1133" s="57">
        <f t="shared" si="1193"/>
        <v>18331.799999999996</v>
      </c>
      <c r="K1133" s="57">
        <f t="shared" si="1193"/>
        <v>18331.799999999996</v>
      </c>
      <c r="L1133" s="57">
        <f t="shared" si="1193"/>
        <v>18331.799999999996</v>
      </c>
      <c r="M1133" s="57">
        <f t="shared" si="1193"/>
        <v>10523.6</v>
      </c>
      <c r="N1133" s="57">
        <f aca="true" t="shared" si="1194" ref="N1133:O1133">N1132-N1134</f>
        <v>2600.7</v>
      </c>
      <c r="O1133" s="57">
        <f t="shared" si="1194"/>
        <v>-29.867733376140613</v>
      </c>
    </row>
    <row r="1134" spans="1:15" ht="15.75">
      <c r="A1134" s="52"/>
      <c r="B1134" s="52"/>
      <c r="C1134" s="56" t="s">
        <v>642</v>
      </c>
      <c r="D1134" s="55"/>
      <c r="E1134" s="55"/>
      <c r="F1134" s="55"/>
      <c r="G1134" s="57">
        <f aca="true" t="shared" si="1195" ref="G1134:L1134">G203+G187</f>
        <v>1821.3999999999999</v>
      </c>
      <c r="H1134" s="57">
        <f t="shared" si="1195"/>
        <v>1043.1999999999998</v>
      </c>
      <c r="I1134" s="57">
        <f t="shared" si="1195"/>
        <v>1821.3999999999999</v>
      </c>
      <c r="J1134" s="57">
        <f t="shared" si="1195"/>
        <v>2461.3999999999996</v>
      </c>
      <c r="K1134" s="57">
        <f t="shared" si="1195"/>
        <v>2461.3999999999996</v>
      </c>
      <c r="L1134" s="57">
        <f t="shared" si="1195"/>
        <v>2461.3999999999996</v>
      </c>
      <c r="M1134" s="57">
        <f>M196+M209</f>
        <v>1700.9</v>
      </c>
      <c r="N1134" s="57">
        <f aca="true" t="shared" si="1196" ref="N1134:O1134">N196+N209</f>
        <v>769.5</v>
      </c>
      <c r="O1134" s="57">
        <f t="shared" si="1196"/>
        <v>93.06190041653468</v>
      </c>
    </row>
    <row r="1135" spans="1:15" ht="15.75">
      <c r="A1135" s="52"/>
      <c r="B1135" s="52"/>
      <c r="C1135" s="56">
        <v>5</v>
      </c>
      <c r="D1135" s="55"/>
      <c r="E1135" s="55"/>
      <c r="F1135" s="55"/>
      <c r="G1135" s="57">
        <f aca="true" t="shared" si="1197" ref="G1135:M1135">G900+G554</f>
        <v>109165.6</v>
      </c>
      <c r="H1135" s="57">
        <f t="shared" si="1197"/>
        <v>32879.3</v>
      </c>
      <c r="I1135" s="57">
        <f t="shared" si="1197"/>
        <v>90925.80588235294</v>
      </c>
      <c r="J1135" s="57">
        <f t="shared" si="1197"/>
        <v>65675</v>
      </c>
      <c r="K1135" s="57">
        <f t="shared" si="1197"/>
        <v>65971.9</v>
      </c>
      <c r="L1135" s="57">
        <f t="shared" si="1197"/>
        <v>67991.90000000001</v>
      </c>
      <c r="M1135" s="57">
        <f t="shared" si="1197"/>
        <v>115443.77999999998</v>
      </c>
      <c r="N1135" s="57">
        <f aca="true" t="shared" si="1198" ref="N1135:O1135">N900+N554</f>
        <v>36018.49999999999</v>
      </c>
      <c r="O1135" s="57">
        <f t="shared" si="1198"/>
        <v>67.54842608343264</v>
      </c>
    </row>
    <row r="1136" spans="1:15" ht="15.75">
      <c r="A1136" s="52"/>
      <c r="B1136" s="52"/>
      <c r="C1136" s="56" t="s">
        <v>641</v>
      </c>
      <c r="D1136" s="55"/>
      <c r="E1136" s="55"/>
      <c r="F1136" s="55"/>
      <c r="G1136" s="57">
        <f aca="true" t="shared" si="1199" ref="G1136:L1136">G1039+G1028+G1010+G979+G960+G918+G901++G555</f>
        <v>72021.2</v>
      </c>
      <c r="H1136" s="57">
        <f t="shared" si="1199"/>
        <v>24151.299999999996</v>
      </c>
      <c r="I1136" s="57">
        <f t="shared" si="1199"/>
        <v>53781.40588235294</v>
      </c>
      <c r="J1136" s="57">
        <f t="shared" si="1199"/>
        <v>65675</v>
      </c>
      <c r="K1136" s="57">
        <f t="shared" si="1199"/>
        <v>65971.9</v>
      </c>
      <c r="L1136" s="57">
        <f t="shared" si="1199"/>
        <v>67991.9</v>
      </c>
      <c r="M1136" s="57">
        <f>M555+M907+M918+M961+M967+M979+M1010+M1029+M1039-M992</f>
        <v>67349.1</v>
      </c>
      <c r="N1136" s="57">
        <f aca="true" t="shared" si="1200" ref="N1136:O1136">N555+N907+N918+N961+N967+N979+N1010+N1029+N1039-N992</f>
        <v>17676.6</v>
      </c>
      <c r="O1136" s="57">
        <f t="shared" si="1200"/>
        <v>98.90812467549543</v>
      </c>
    </row>
    <row r="1137" spans="1:15" ht="15.75">
      <c r="A1137" s="52"/>
      <c r="B1137" s="52"/>
      <c r="C1137" s="56" t="s">
        <v>642</v>
      </c>
      <c r="D1137" s="55"/>
      <c r="E1137" s="55"/>
      <c r="F1137" s="55"/>
      <c r="G1137" s="57">
        <f>G1135-G1136</f>
        <v>37144.40000000001</v>
      </c>
      <c r="H1137" s="57">
        <f>H1135-H1136</f>
        <v>8728.000000000007</v>
      </c>
      <c r="I1137" s="57">
        <f aca="true" t="shared" si="1201" ref="I1137:L1137">I1135-I1136</f>
        <v>37144.4</v>
      </c>
      <c r="J1137" s="57">
        <f t="shared" si="1201"/>
        <v>0</v>
      </c>
      <c r="K1137" s="57">
        <f t="shared" si="1201"/>
        <v>0</v>
      </c>
      <c r="L1137" s="57">
        <f t="shared" si="1201"/>
        <v>0</v>
      </c>
      <c r="M1137" s="57">
        <f>M948+M1015+M972+M992+M975</f>
        <v>44989.18</v>
      </c>
      <c r="N1137" s="57">
        <f aca="true" t="shared" si="1202" ref="N1137:O1137">N948+N1015+N972+N992+N975</f>
        <v>18341.9</v>
      </c>
      <c r="O1137" s="57">
        <f t="shared" si="1202"/>
        <v>203.3866445440894</v>
      </c>
    </row>
    <row r="1138" spans="1:15" ht="15.75">
      <c r="A1138" s="52"/>
      <c r="B1138" s="52"/>
      <c r="C1138" s="56">
        <v>7</v>
      </c>
      <c r="D1138" s="55"/>
      <c r="E1138" s="55"/>
      <c r="F1138" s="55"/>
      <c r="G1138" s="57">
        <f aca="true" t="shared" si="1203" ref="G1138:M1138">G780+G594+G283</f>
        <v>290484.60000000003</v>
      </c>
      <c r="H1138" s="57">
        <f t="shared" si="1203"/>
        <v>227718.68000000002</v>
      </c>
      <c r="I1138" s="57">
        <f t="shared" si="1203"/>
        <v>286378.9</v>
      </c>
      <c r="J1138" s="57">
        <f t="shared" si="1203"/>
        <v>351289.99999999994</v>
      </c>
      <c r="K1138" s="57">
        <f t="shared" si="1203"/>
        <v>343706.9</v>
      </c>
      <c r="L1138" s="57">
        <f t="shared" si="1203"/>
        <v>337520.60000000003</v>
      </c>
      <c r="M1138" s="57">
        <f t="shared" si="1203"/>
        <v>296515</v>
      </c>
      <c r="N1138" s="57">
        <f aca="true" t="shared" si="1204" ref="N1138:O1138">N780+N594+N283</f>
        <v>189479.8</v>
      </c>
      <c r="O1138" s="57">
        <f t="shared" si="1204"/>
        <v>168.14793911688838</v>
      </c>
    </row>
    <row r="1139" spans="1:15" ht="15.75">
      <c r="A1139" s="52"/>
      <c r="B1139" s="52"/>
      <c r="C1139" s="56" t="s">
        <v>641</v>
      </c>
      <c r="D1139" s="55"/>
      <c r="E1139" s="55"/>
      <c r="F1139" s="55"/>
      <c r="G1139" s="57">
        <f>G1138-G1140</f>
        <v>134770.6</v>
      </c>
      <c r="H1139" s="57">
        <f>H1138-H1140</f>
        <v>100998.00000000003</v>
      </c>
      <c r="I1139" s="57">
        <f aca="true" t="shared" si="1205" ref="I1139:M1139">I1138-I1140</f>
        <v>130664.9</v>
      </c>
      <c r="J1139" s="57">
        <f t="shared" si="1205"/>
        <v>195575.9999999999</v>
      </c>
      <c r="K1139" s="57">
        <f t="shared" si="1205"/>
        <v>187992.9</v>
      </c>
      <c r="L1139" s="57">
        <f t="shared" si="1205"/>
        <v>181806.6</v>
      </c>
      <c r="M1139" s="57">
        <f t="shared" si="1205"/>
        <v>135352.30000000002</v>
      </c>
      <c r="N1139" s="57">
        <f aca="true" t="shared" si="1206" ref="N1139:O1139">N1138-N1140</f>
        <v>86414.4</v>
      </c>
      <c r="O1139" s="57">
        <f t="shared" si="1206"/>
        <v>-132.75141430538702</v>
      </c>
    </row>
    <row r="1140" spans="1:15" ht="15.75">
      <c r="A1140" s="52"/>
      <c r="B1140" s="52"/>
      <c r="C1140" s="56" t="s">
        <v>642</v>
      </c>
      <c r="D1140" s="55"/>
      <c r="E1140" s="55"/>
      <c r="F1140" s="55"/>
      <c r="G1140" s="57">
        <f aca="true" t="shared" si="1207" ref="G1140:L1140">G803+G740+G723+G678+G621+G312</f>
        <v>155714.00000000003</v>
      </c>
      <c r="H1140" s="57">
        <f t="shared" si="1207"/>
        <v>126720.68</v>
      </c>
      <c r="I1140" s="57">
        <f t="shared" si="1207"/>
        <v>155714.00000000003</v>
      </c>
      <c r="J1140" s="57">
        <f t="shared" si="1207"/>
        <v>155714.00000000003</v>
      </c>
      <c r="K1140" s="57">
        <f t="shared" si="1207"/>
        <v>155714.00000000003</v>
      </c>
      <c r="L1140" s="57">
        <f t="shared" si="1207"/>
        <v>155714.00000000003</v>
      </c>
      <c r="M1140" s="57">
        <f>M312+M621+M678+M723+M802+M740</f>
        <v>161162.69999999998</v>
      </c>
      <c r="N1140" s="57">
        <f aca="true" t="shared" si="1208" ref="N1140:O1140">N312+N621+N678+N723+N802+N740</f>
        <v>103065.4</v>
      </c>
      <c r="O1140" s="57">
        <f t="shared" si="1208"/>
        <v>300.8993534222754</v>
      </c>
    </row>
    <row r="1141" spans="1:15" ht="15.75">
      <c r="A1141" s="52"/>
      <c r="B1141" s="52"/>
      <c r="C1141" s="56">
        <v>8</v>
      </c>
      <c r="D1141" s="55"/>
      <c r="E1141" s="55"/>
      <c r="F1141" s="55"/>
      <c r="G1141" s="57">
        <f aca="true" t="shared" si="1209" ref="G1141:M1141">G328</f>
        <v>61699.8</v>
      </c>
      <c r="H1141" s="57">
        <f t="shared" si="1209"/>
        <v>54459.8</v>
      </c>
      <c r="I1141" s="57">
        <f t="shared" si="1209"/>
        <v>62134.1843137255</v>
      </c>
      <c r="J1141" s="57">
        <f t="shared" si="1209"/>
        <v>72053.1</v>
      </c>
      <c r="K1141" s="57">
        <f t="shared" si="1209"/>
        <v>73293.1</v>
      </c>
      <c r="L1141" s="57">
        <f t="shared" si="1209"/>
        <v>74048.9</v>
      </c>
      <c r="M1141" s="57">
        <f t="shared" si="1209"/>
        <v>59918.1</v>
      </c>
      <c r="N1141" s="57">
        <f aca="true" t="shared" si="1210" ref="N1141:O1141">N328</f>
        <v>30066.300000000003</v>
      </c>
      <c r="O1141" s="57">
        <f t="shared" si="1210"/>
        <v>50.17899432725671</v>
      </c>
    </row>
    <row r="1142" spans="1:15" ht="15.75">
      <c r="A1142" s="52"/>
      <c r="B1142" s="52"/>
      <c r="C1142" s="56" t="s">
        <v>641</v>
      </c>
      <c r="D1142" s="55"/>
      <c r="E1142" s="55"/>
      <c r="F1142" s="55"/>
      <c r="G1142" s="57">
        <f>G1141-G1143</f>
        <v>59561.9</v>
      </c>
      <c r="H1142" s="57">
        <f>H1141-H1143</f>
        <v>53415.200000000004</v>
      </c>
      <c r="I1142" s="57">
        <f aca="true" t="shared" si="1211" ref="I1142:M1142">I1141-I1143</f>
        <v>59996.2843137255</v>
      </c>
      <c r="J1142" s="57">
        <f t="shared" si="1211"/>
        <v>69919.20000000001</v>
      </c>
      <c r="K1142" s="57">
        <f t="shared" si="1211"/>
        <v>71159.20000000001</v>
      </c>
      <c r="L1142" s="57">
        <f t="shared" si="1211"/>
        <v>71915</v>
      </c>
      <c r="M1142" s="57">
        <f t="shared" si="1211"/>
        <v>57833.799999999996</v>
      </c>
      <c r="N1142" s="57">
        <f aca="true" t="shared" si="1212" ref="N1142:O1142">N1141-N1143</f>
        <v>29134.600000000002</v>
      </c>
      <c r="O1142" s="57">
        <f t="shared" si="1212"/>
        <v>5.478135525740612</v>
      </c>
    </row>
    <row r="1143" spans="1:15" ht="15.75">
      <c r="A1143" s="52"/>
      <c r="B1143" s="52"/>
      <c r="C1143" s="56" t="s">
        <v>642</v>
      </c>
      <c r="D1143" s="55"/>
      <c r="E1143" s="55"/>
      <c r="F1143" s="55"/>
      <c r="G1143" s="57">
        <f aca="true" t="shared" si="1213" ref="G1143:M1143">G395</f>
        <v>2137.9</v>
      </c>
      <c r="H1143" s="57">
        <f t="shared" si="1213"/>
        <v>1044.6</v>
      </c>
      <c r="I1143" s="57">
        <f t="shared" si="1213"/>
        <v>2137.9</v>
      </c>
      <c r="J1143" s="57">
        <f t="shared" si="1213"/>
        <v>2133.9</v>
      </c>
      <c r="K1143" s="57">
        <f t="shared" si="1213"/>
        <v>2133.9</v>
      </c>
      <c r="L1143" s="57">
        <f t="shared" si="1213"/>
        <v>2133.9</v>
      </c>
      <c r="M1143" s="57">
        <f t="shared" si="1213"/>
        <v>2084.3</v>
      </c>
      <c r="N1143" s="57">
        <f aca="true" t="shared" si="1214" ref="N1143:O1143">N395</f>
        <v>931.7</v>
      </c>
      <c r="O1143" s="57">
        <f t="shared" si="1214"/>
        <v>44.7008588015161</v>
      </c>
    </row>
    <row r="1144" spans="1:15" ht="15.75">
      <c r="A1144" s="52"/>
      <c r="B1144" s="52"/>
      <c r="C1144" s="56">
        <v>10</v>
      </c>
      <c r="D1144" s="55"/>
      <c r="E1144" s="55"/>
      <c r="F1144" s="55"/>
      <c r="G1144" s="57">
        <f aca="true" t="shared" si="1215" ref="G1144:M1144">G1057+G569+G454+G218</f>
        <v>16937</v>
      </c>
      <c r="H1144" s="57">
        <f t="shared" si="1215"/>
        <v>11004</v>
      </c>
      <c r="I1144" s="57">
        <f t="shared" si="1215"/>
        <v>16927</v>
      </c>
      <c r="J1144" s="57">
        <f t="shared" si="1215"/>
        <v>17517.8</v>
      </c>
      <c r="K1144" s="57">
        <f t="shared" si="1215"/>
        <v>17632.8</v>
      </c>
      <c r="L1144" s="57">
        <f t="shared" si="1215"/>
        <v>17677.8</v>
      </c>
      <c r="M1144" s="57">
        <f t="shared" si="1215"/>
        <v>17226.800000000003</v>
      </c>
      <c r="N1144" s="57">
        <f aca="true" t="shared" si="1216" ref="N1144:O1144">N1057+N569+N454+N218</f>
        <v>7191.5</v>
      </c>
      <c r="O1144" s="57">
        <f t="shared" si="1216"/>
        <v>117.55427908025942</v>
      </c>
    </row>
    <row r="1145" spans="1:15" ht="15.75">
      <c r="A1145" s="52"/>
      <c r="B1145" s="52"/>
      <c r="C1145" s="56" t="s">
        <v>641</v>
      </c>
      <c r="D1145" s="55"/>
      <c r="E1145" s="55"/>
      <c r="F1145" s="55"/>
      <c r="G1145" s="57">
        <f aca="true" t="shared" si="1217" ref="G1145:M1145">G1058+G456+G225+G219</f>
        <v>12856.5</v>
      </c>
      <c r="H1145" s="57">
        <f t="shared" si="1217"/>
        <v>8987.8</v>
      </c>
      <c r="I1145" s="57">
        <f t="shared" si="1217"/>
        <v>12846.5</v>
      </c>
      <c r="J1145" s="57">
        <f t="shared" si="1217"/>
        <v>14369.3</v>
      </c>
      <c r="K1145" s="57">
        <f t="shared" si="1217"/>
        <v>14484.3</v>
      </c>
      <c r="L1145" s="57">
        <f t="shared" si="1217"/>
        <v>14529.3</v>
      </c>
      <c r="M1145" s="57">
        <f t="shared" si="1217"/>
        <v>12916.5</v>
      </c>
      <c r="N1145" s="57">
        <f aca="true" t="shared" si="1218" ref="N1145:O1145">N1058+N456+N225+N219</f>
        <v>5840.6</v>
      </c>
      <c r="O1145" s="57">
        <f t="shared" si="1218"/>
        <v>125.264630823397</v>
      </c>
    </row>
    <row r="1146" spans="1:15" ht="15.75">
      <c r="A1146" s="52"/>
      <c r="B1146" s="52"/>
      <c r="C1146" s="56" t="s">
        <v>642</v>
      </c>
      <c r="D1146" s="55"/>
      <c r="E1146" s="55"/>
      <c r="F1146" s="55"/>
      <c r="G1146" s="57">
        <f aca="true" t="shared" si="1219" ref="G1146:L1146">G513+G237</f>
        <v>4080.5000000000005</v>
      </c>
      <c r="H1146" s="57">
        <f t="shared" si="1219"/>
        <v>2016.2</v>
      </c>
      <c r="I1146" s="57">
        <f t="shared" si="1219"/>
        <v>4080.5000000000005</v>
      </c>
      <c r="J1146" s="57">
        <f t="shared" si="1219"/>
        <v>3148.5000000000005</v>
      </c>
      <c r="K1146" s="57">
        <f t="shared" si="1219"/>
        <v>3148.5000000000005</v>
      </c>
      <c r="L1146" s="57">
        <f t="shared" si="1219"/>
        <v>3148.5000000000005</v>
      </c>
      <c r="M1146" s="57">
        <f>M513+M237+M571</f>
        <v>4310.3</v>
      </c>
      <c r="N1146" s="57">
        <f aca="true" t="shared" si="1220" ref="N1146:O1146">N513+N237+N571</f>
        <v>1350.8999999999999</v>
      </c>
      <c r="O1146" s="57">
        <f t="shared" si="1220"/>
        <v>42.90342045923713</v>
      </c>
    </row>
    <row r="1147" spans="1:15" ht="15.75">
      <c r="A1147" s="52"/>
      <c r="B1147" s="52"/>
      <c r="C1147" s="56">
        <v>11</v>
      </c>
      <c r="D1147" s="55"/>
      <c r="E1147" s="55"/>
      <c r="F1147" s="55"/>
      <c r="G1147" s="57">
        <f aca="true" t="shared" si="1221" ref="G1147:M1147">G813</f>
        <v>34702.7</v>
      </c>
      <c r="H1147" s="57">
        <f t="shared" si="1221"/>
        <v>24902</v>
      </c>
      <c r="I1147" s="57">
        <f t="shared" si="1221"/>
        <v>40816.8</v>
      </c>
      <c r="J1147" s="57">
        <f t="shared" si="1221"/>
        <v>64029.6</v>
      </c>
      <c r="K1147" s="57">
        <f t="shared" si="1221"/>
        <v>65815.3</v>
      </c>
      <c r="L1147" s="57">
        <f t="shared" si="1221"/>
        <v>66895.9</v>
      </c>
      <c r="M1147" s="57">
        <f t="shared" si="1221"/>
        <v>53159.8</v>
      </c>
      <c r="N1147" s="57">
        <f aca="true" t="shared" si="1222" ref="N1147:O1147">N813</f>
        <v>24741.6</v>
      </c>
      <c r="O1147" s="57">
        <f t="shared" si="1222"/>
        <v>46.541935823686316</v>
      </c>
    </row>
    <row r="1148" spans="1:15" ht="15.75">
      <c r="A1148" s="52"/>
      <c r="B1148" s="52"/>
      <c r="C1148" s="56" t="s">
        <v>641</v>
      </c>
      <c r="D1148" s="55"/>
      <c r="E1148" s="55"/>
      <c r="F1148" s="55"/>
      <c r="G1148" s="57">
        <f>G1147-G1149</f>
        <v>34202.7</v>
      </c>
      <c r="H1148" s="57">
        <f>H1147-H1149</f>
        <v>24902</v>
      </c>
      <c r="I1148" s="57">
        <f aca="true" t="shared" si="1223" ref="I1148:M1148">I1147-I1149</f>
        <v>40316.8</v>
      </c>
      <c r="J1148" s="57">
        <f t="shared" si="1223"/>
        <v>64029.6</v>
      </c>
      <c r="K1148" s="57">
        <f t="shared" si="1223"/>
        <v>65815.3</v>
      </c>
      <c r="L1148" s="57">
        <f t="shared" si="1223"/>
        <v>66895.9</v>
      </c>
      <c r="M1148" s="57">
        <f t="shared" si="1223"/>
        <v>53159.8</v>
      </c>
      <c r="N1148" s="57">
        <f aca="true" t="shared" si="1224" ref="N1148:O1148">N1147-N1149</f>
        <v>24741.6</v>
      </c>
      <c r="O1148" s="57" t="e">
        <f t="shared" si="1224"/>
        <v>#DIV/0!</v>
      </c>
    </row>
    <row r="1149" spans="1:15" ht="15.75">
      <c r="A1149" s="52"/>
      <c r="B1149" s="52"/>
      <c r="C1149" s="56" t="s">
        <v>642</v>
      </c>
      <c r="D1149" s="55"/>
      <c r="E1149" s="55"/>
      <c r="F1149" s="55"/>
      <c r="G1149" s="57">
        <f aca="true" t="shared" si="1225" ref="G1149:M1149">G837</f>
        <v>500</v>
      </c>
      <c r="H1149" s="57">
        <f t="shared" si="1225"/>
        <v>0</v>
      </c>
      <c r="I1149" s="57">
        <f t="shared" si="1225"/>
        <v>500</v>
      </c>
      <c r="J1149" s="57">
        <f t="shared" si="1225"/>
        <v>0</v>
      </c>
      <c r="K1149" s="57">
        <f t="shared" si="1225"/>
        <v>0</v>
      </c>
      <c r="L1149" s="57">
        <f t="shared" si="1225"/>
        <v>0</v>
      </c>
      <c r="M1149" s="57">
        <f t="shared" si="1225"/>
        <v>0</v>
      </c>
      <c r="N1149" s="57">
        <f aca="true" t="shared" si="1226" ref="N1149:O1149">N837</f>
        <v>0</v>
      </c>
      <c r="O1149" s="57" t="e">
        <f t="shared" si="1226"/>
        <v>#DIV/0!</v>
      </c>
    </row>
    <row r="1150" spans="1:15" ht="15.75">
      <c r="A1150" s="52"/>
      <c r="B1150" s="52"/>
      <c r="C1150" s="56">
        <v>12</v>
      </c>
      <c r="D1150" s="55"/>
      <c r="E1150" s="55"/>
      <c r="F1150" s="55"/>
      <c r="G1150" s="57">
        <f aca="true" t="shared" si="1227" ref="G1150:M1150">G1109</f>
        <v>6309.8</v>
      </c>
      <c r="H1150" s="57">
        <f t="shared" si="1227"/>
        <v>4427.2</v>
      </c>
      <c r="I1150" s="57">
        <f t="shared" si="1227"/>
        <v>6309.8</v>
      </c>
      <c r="J1150" s="57">
        <f t="shared" si="1227"/>
        <v>8181.700000000001</v>
      </c>
      <c r="K1150" s="57">
        <f t="shared" si="1227"/>
        <v>8258.7</v>
      </c>
      <c r="L1150" s="57">
        <f t="shared" si="1227"/>
        <v>8332.7</v>
      </c>
      <c r="M1150" s="57">
        <f t="shared" si="1227"/>
        <v>6283.5</v>
      </c>
      <c r="N1150" s="57">
        <f aca="true" t="shared" si="1228" ref="N1150:O1150">N1109</f>
        <v>2876.6000000000004</v>
      </c>
      <c r="O1150" s="57">
        <f t="shared" si="1228"/>
        <v>45.78021803135196</v>
      </c>
    </row>
    <row r="1151" spans="1:15" ht="15.75">
      <c r="A1151" s="52"/>
      <c r="B1151" s="52"/>
      <c r="C1151" s="57"/>
      <c r="D1151" s="55"/>
      <c r="E1151" s="55"/>
      <c r="F1151" s="55"/>
      <c r="G1151" s="127">
        <f>G1127+G1130+G1131+G1132+G1135+G1138+G1141+G1144+G1147+G1150</f>
        <v>665442.2000000001</v>
      </c>
      <c r="H1151" s="127">
        <f>H1127+H1130+H1131+H1132+H1135+H1138+H1141+H1144+H1147+H1150</f>
        <v>441840.68</v>
      </c>
      <c r="I1151" s="127">
        <f aca="true" t="shared" si="1229" ref="I1151:L1151">I1127+I1130+I1131+I1132+I1135+I1138+I1141+I1144+I1147+I1150</f>
        <v>638134.3364705883</v>
      </c>
      <c r="J1151" s="127">
        <f t="shared" si="1229"/>
        <v>747927.9999999999</v>
      </c>
      <c r="K1151" s="127">
        <f t="shared" si="1229"/>
        <v>743098.7000000001</v>
      </c>
      <c r="L1151" s="127">
        <f t="shared" si="1229"/>
        <v>741645.1000000001</v>
      </c>
      <c r="M1151" s="127">
        <f>M1127+M1130+M1131+M1132+M1135+M1138+M1141+M1144+M1147+M1150</f>
        <v>707272.18</v>
      </c>
      <c r="N1151" s="127">
        <f aca="true" t="shared" si="1230" ref="N1151:O1151">N1127+N1130+N1131+N1132+N1135+N1138+N1141+N1144+N1147+N1150</f>
        <v>368007.99999999994</v>
      </c>
      <c r="O1151" s="127" t="e">
        <f t="shared" si="1230"/>
        <v>#DIV/0!</v>
      </c>
    </row>
    <row r="1152" spans="1:15" ht="15.75">
      <c r="A1152" s="52"/>
      <c r="B1152" s="52"/>
      <c r="C1152" s="56" t="s">
        <v>641</v>
      </c>
      <c r="D1152" s="55"/>
      <c r="E1152" s="55"/>
      <c r="F1152" s="55"/>
      <c r="G1152" s="127">
        <f>G1128+G1130+G1131+G1133+G1136+G1139+G1142+G1145+G1148+G1150</f>
        <v>460322.4</v>
      </c>
      <c r="H1152" s="127">
        <f>H1128+H1130+H1131+H1133+H1136+H1139+H1142+H1145+H1148+H1150</f>
        <v>299775.60000000003</v>
      </c>
      <c r="I1152" s="127">
        <f aca="true" t="shared" si="1231" ref="I1152:L1152">I1128+I1130+I1131+I1133+I1136+I1139+I1142+I1145+I1148+I1150</f>
        <v>433014.53647058824</v>
      </c>
      <c r="J1152" s="127">
        <f t="shared" si="1231"/>
        <v>580837.2999999998</v>
      </c>
      <c r="K1152" s="127">
        <f t="shared" si="1231"/>
        <v>576008</v>
      </c>
      <c r="L1152" s="127">
        <f t="shared" si="1231"/>
        <v>574554.3999999999</v>
      </c>
      <c r="M1152" s="127">
        <f>M1128+M1130+M1131+M1133+M1136+M1139+M1142+M1145+M1148+M1150</f>
        <v>485570.6</v>
      </c>
      <c r="N1152" s="127">
        <f aca="true" t="shared" si="1232" ref="N1152:O1152">N1128+N1130+N1131+N1133+N1136+N1139+N1142+N1145+N1148+N1150</f>
        <v>242197.30000000002</v>
      </c>
      <c r="O1152" s="127" t="e">
        <f t="shared" si="1232"/>
        <v>#DIV/0!</v>
      </c>
    </row>
    <row r="1153" spans="1:15" ht="15.75">
      <c r="A1153" s="52"/>
      <c r="B1153" s="52"/>
      <c r="C1153" s="56" t="s">
        <v>642</v>
      </c>
      <c r="D1153" s="55"/>
      <c r="E1153" s="55"/>
      <c r="F1153" s="55"/>
      <c r="G1153" s="127">
        <f>G1151-G1152</f>
        <v>205119.80000000005</v>
      </c>
      <c r="H1153" s="127">
        <f>H1151-H1152</f>
        <v>142065.07999999996</v>
      </c>
      <c r="I1153" s="127">
        <f aca="true" t="shared" si="1233" ref="I1153:L1153">I1151-I1152</f>
        <v>205119.8000000001</v>
      </c>
      <c r="J1153" s="127">
        <f t="shared" si="1233"/>
        <v>167090.70000000007</v>
      </c>
      <c r="K1153" s="127">
        <f t="shared" si="1233"/>
        <v>167090.70000000007</v>
      </c>
      <c r="L1153" s="127">
        <f t="shared" si="1233"/>
        <v>167090.7000000002</v>
      </c>
      <c r="M1153" s="127">
        <f>M1151-M1152</f>
        <v>221701.58000000007</v>
      </c>
      <c r="N1153" s="127">
        <f aca="true" t="shared" si="1234" ref="N1153:O1153">N1151-N1152</f>
        <v>125810.69999999992</v>
      </c>
      <c r="O1153" s="127" t="e">
        <f t="shared" si="1234"/>
        <v>#DIV/0!</v>
      </c>
    </row>
    <row r="1154" spans="7:15" ht="15">
      <c r="G1154" s="128">
        <f>G1152-G1122</f>
        <v>0</v>
      </c>
      <c r="H1154" s="128">
        <f>H1152-H1122</f>
        <v>0</v>
      </c>
      <c r="I1154" s="128"/>
      <c r="J1154" s="128"/>
      <c r="K1154" s="128"/>
      <c r="L1154" s="128"/>
      <c r="M1154" s="128"/>
      <c r="N1154" s="128"/>
      <c r="O1154" s="128"/>
    </row>
    <row r="1155" spans="4:15" ht="15">
      <c r="D1155" s="1" t="s">
        <v>643</v>
      </c>
      <c r="E1155" s="1">
        <v>50</v>
      </c>
      <c r="G1155" s="128">
        <f aca="true" t="shared" si="1235" ref="G1155:M1155">G894</f>
        <v>15124.1</v>
      </c>
      <c r="H1155" s="128">
        <f t="shared" si="1235"/>
        <v>9060.3</v>
      </c>
      <c r="I1155" s="128">
        <f t="shared" si="1235"/>
        <v>15124.1</v>
      </c>
      <c r="J1155" s="128">
        <f t="shared" si="1235"/>
        <v>15124.1</v>
      </c>
      <c r="K1155" s="128">
        <f t="shared" si="1235"/>
        <v>15124.1</v>
      </c>
      <c r="L1155" s="128">
        <f t="shared" si="1235"/>
        <v>15124.1</v>
      </c>
      <c r="M1155" s="128">
        <f t="shared" si="1235"/>
        <v>6895.3</v>
      </c>
      <c r="N1155" s="128">
        <f aca="true" t="shared" si="1236" ref="N1155:O1155">N894</f>
        <v>1240.1</v>
      </c>
      <c r="O1155" s="128">
        <f t="shared" si="1236"/>
        <v>17.98471422563195</v>
      </c>
    </row>
    <row r="1156" spans="5:15" ht="15">
      <c r="E1156" s="1">
        <v>51</v>
      </c>
      <c r="G1156" s="128">
        <f aca="true" t="shared" si="1237" ref="G1156:M1156">G456</f>
        <v>3693</v>
      </c>
      <c r="H1156" s="128">
        <f t="shared" si="1237"/>
        <v>2188</v>
      </c>
      <c r="I1156" s="128">
        <f t="shared" si="1237"/>
        <v>3693</v>
      </c>
      <c r="J1156" s="128">
        <f t="shared" si="1237"/>
        <v>5185</v>
      </c>
      <c r="K1156" s="128">
        <f t="shared" si="1237"/>
        <v>5300</v>
      </c>
      <c r="L1156" s="128">
        <f t="shared" si="1237"/>
        <v>5345</v>
      </c>
      <c r="M1156" s="128">
        <f t="shared" si="1237"/>
        <v>3753</v>
      </c>
      <c r="N1156" s="128">
        <f aca="true" t="shared" si="1238" ref="N1156:O1156">N456</f>
        <v>1267.7</v>
      </c>
      <c r="O1156" s="128">
        <f t="shared" si="1238"/>
        <v>33.77831068478551</v>
      </c>
    </row>
    <row r="1157" spans="5:15" ht="15">
      <c r="E1157" s="1">
        <v>52</v>
      </c>
      <c r="G1157" s="128">
        <f aca="true" t="shared" si="1239" ref="G1157:M1157">G596+G641+G734+G710</f>
        <v>89244.70000000001</v>
      </c>
      <c r="H1157" s="128">
        <f t="shared" si="1239"/>
        <v>70286.5</v>
      </c>
      <c r="I1157" s="128">
        <f t="shared" si="1239"/>
        <v>89860.86666666667</v>
      </c>
      <c r="J1157" s="128">
        <f t="shared" si="1239"/>
        <v>137435.9</v>
      </c>
      <c r="K1157" s="128">
        <f t="shared" si="1239"/>
        <v>129913.1</v>
      </c>
      <c r="L1157" s="128">
        <f t="shared" si="1239"/>
        <v>123239.70000000001</v>
      </c>
      <c r="M1157" s="128">
        <f t="shared" si="1239"/>
        <v>88146.3</v>
      </c>
      <c r="N1157" s="128">
        <f aca="true" t="shared" si="1240" ref="N1157:O1157">N596+N641+N734+N710</f>
        <v>61532.5</v>
      </c>
      <c r="O1157" s="128">
        <f t="shared" si="1240"/>
        <v>299.47277926602953</v>
      </c>
    </row>
    <row r="1158" spans="5:15" ht="15">
      <c r="E1158" s="1">
        <v>53</v>
      </c>
      <c r="G1158" s="128">
        <f aca="true" t="shared" si="1241" ref="G1158:L1158">G64</f>
        <v>250</v>
      </c>
      <c r="H1158" s="128">
        <f t="shared" si="1241"/>
        <v>0</v>
      </c>
      <c r="I1158" s="128">
        <f t="shared" si="1241"/>
        <v>250</v>
      </c>
      <c r="J1158" s="128">
        <f t="shared" si="1241"/>
        <v>0</v>
      </c>
      <c r="K1158" s="128">
        <f t="shared" si="1241"/>
        <v>0</v>
      </c>
      <c r="L1158" s="128">
        <f t="shared" si="1241"/>
        <v>0</v>
      </c>
      <c r="M1158" s="128">
        <f>M204</f>
        <v>250</v>
      </c>
      <c r="N1158" s="128">
        <f aca="true" t="shared" si="1242" ref="N1158:O1158">N204</f>
        <v>0</v>
      </c>
      <c r="O1158" s="128">
        <f t="shared" si="1242"/>
        <v>0</v>
      </c>
    </row>
    <row r="1159" spans="5:15" ht="15">
      <c r="E1159" s="1">
        <v>54</v>
      </c>
      <c r="G1159" s="128">
        <f aca="true" t="shared" si="1243" ref="G1159:M1159">G68+G1093</f>
        <v>654</v>
      </c>
      <c r="H1159" s="128">
        <f t="shared" si="1243"/>
        <v>412.49999999999994</v>
      </c>
      <c r="I1159" s="128">
        <f t="shared" si="1243"/>
        <v>654</v>
      </c>
      <c r="J1159" s="128">
        <f t="shared" si="1243"/>
        <v>669</v>
      </c>
      <c r="K1159" s="128">
        <f t="shared" si="1243"/>
        <v>669</v>
      </c>
      <c r="L1159" s="128">
        <f t="shared" si="1243"/>
        <v>669</v>
      </c>
      <c r="M1159" s="128">
        <f t="shared" si="1243"/>
        <v>741</v>
      </c>
      <c r="N1159" s="128">
        <f aca="true" t="shared" si="1244" ref="N1159:O1159">N68+N1093</f>
        <v>313.8</v>
      </c>
      <c r="O1159" s="128">
        <f t="shared" si="1244"/>
        <v>42.37677245104659</v>
      </c>
    </row>
    <row r="1160" spans="5:15" ht="15">
      <c r="E1160" s="1">
        <v>55</v>
      </c>
      <c r="G1160" s="128">
        <f aca="true" t="shared" si="1245" ref="G1160:M1160">G226</f>
        <v>10</v>
      </c>
      <c r="H1160" s="128">
        <f t="shared" si="1245"/>
        <v>0</v>
      </c>
      <c r="I1160" s="128">
        <f t="shared" si="1245"/>
        <v>0</v>
      </c>
      <c r="J1160" s="128">
        <f t="shared" si="1245"/>
        <v>10</v>
      </c>
      <c r="K1160" s="128">
        <f t="shared" si="1245"/>
        <v>10</v>
      </c>
      <c r="L1160" s="128">
        <f t="shared" si="1245"/>
        <v>10</v>
      </c>
      <c r="M1160" s="128">
        <f t="shared" si="1245"/>
        <v>10</v>
      </c>
      <c r="N1160" s="128">
        <f aca="true" t="shared" si="1246" ref="N1160:O1160">N226</f>
        <v>0</v>
      </c>
      <c r="O1160" s="128">
        <f t="shared" si="1246"/>
        <v>0</v>
      </c>
    </row>
    <row r="1161" spans="5:15" ht="15">
      <c r="E1161" s="1">
        <v>56</v>
      </c>
      <c r="G1161" s="128">
        <f aca="true" t="shared" si="1247" ref="G1161:L1161">G80</f>
        <v>80</v>
      </c>
      <c r="H1161" s="128">
        <f t="shared" si="1247"/>
        <v>14.6</v>
      </c>
      <c r="I1161" s="128">
        <f t="shared" si="1247"/>
        <v>80</v>
      </c>
      <c r="J1161" s="128">
        <f t="shared" si="1247"/>
        <v>120</v>
      </c>
      <c r="K1161" s="128">
        <f t="shared" si="1247"/>
        <v>120</v>
      </c>
      <c r="L1161" s="128">
        <f t="shared" si="1247"/>
        <v>120</v>
      </c>
      <c r="M1161" s="128">
        <f>M80+M246</f>
        <v>120</v>
      </c>
      <c r="N1161" s="128">
        <f aca="true" t="shared" si="1248" ref="N1161:O1161">N80+N246</f>
        <v>25</v>
      </c>
      <c r="O1161" s="128">
        <f t="shared" si="1248"/>
        <v>100</v>
      </c>
    </row>
    <row r="1162" spans="5:15" ht="15">
      <c r="E1162" s="1">
        <v>57</v>
      </c>
      <c r="G1162" s="128">
        <f aca="true" t="shared" si="1249" ref="G1162:M1162">G842+G815+G782</f>
        <v>36478.9</v>
      </c>
      <c r="H1162" s="128">
        <f t="shared" si="1249"/>
        <v>26367.4</v>
      </c>
      <c r="I1162" s="128">
        <f t="shared" si="1249"/>
        <v>41702</v>
      </c>
      <c r="J1162" s="128">
        <f t="shared" si="1249"/>
        <v>72379.4</v>
      </c>
      <c r="K1162" s="128">
        <f t="shared" si="1249"/>
        <v>74277.59999999999</v>
      </c>
      <c r="L1162" s="128">
        <f t="shared" si="1249"/>
        <v>75462.79999999999</v>
      </c>
      <c r="M1162" s="128">
        <f t="shared" si="1249"/>
        <v>56009.2</v>
      </c>
      <c r="N1162" s="128">
        <f aca="true" t="shared" si="1250" ref="N1162:O1162">N842+N815+N782</f>
        <v>26399</v>
      </c>
      <c r="O1162" s="128">
        <f t="shared" si="1250"/>
        <v>151.37074704445246</v>
      </c>
    </row>
    <row r="1163" spans="5:15" ht="15">
      <c r="E1163" s="1">
        <v>58</v>
      </c>
      <c r="G1163" s="128">
        <f aca="true" t="shared" si="1251" ref="G1163:M1163">G330+G285</f>
        <v>58528.700000000004</v>
      </c>
      <c r="H1163" s="128">
        <f t="shared" si="1251"/>
        <v>49473.3</v>
      </c>
      <c r="I1163" s="128">
        <f t="shared" si="1251"/>
        <v>53466.43333333334</v>
      </c>
      <c r="J1163" s="128">
        <f t="shared" si="1251"/>
        <v>72150.8</v>
      </c>
      <c r="K1163" s="128">
        <f t="shared" si="1251"/>
        <v>72948.7</v>
      </c>
      <c r="L1163" s="128">
        <f t="shared" si="1251"/>
        <v>73823.6</v>
      </c>
      <c r="M1163" s="128">
        <f t="shared" si="1251"/>
        <v>57925.2</v>
      </c>
      <c r="N1163" s="128">
        <f aca="true" t="shared" si="1252" ref="N1163:O1163">N330+N285</f>
        <v>29265.3</v>
      </c>
      <c r="O1163" s="128">
        <f t="shared" si="1252"/>
        <v>101.43059898666614</v>
      </c>
    </row>
    <row r="1164" spans="5:15" ht="15">
      <c r="E1164" s="1">
        <v>59</v>
      </c>
      <c r="G1164" s="128">
        <f aca="true" t="shared" si="1253" ref="G1164:L1164">G390</f>
        <v>200</v>
      </c>
      <c r="H1164" s="128">
        <f t="shared" si="1253"/>
        <v>0</v>
      </c>
      <c r="I1164" s="128">
        <f t="shared" si="1253"/>
        <v>200</v>
      </c>
      <c r="J1164" s="128">
        <f t="shared" si="1253"/>
        <v>0</v>
      </c>
      <c r="K1164" s="128">
        <f t="shared" si="1253"/>
        <v>0</v>
      </c>
      <c r="L1164" s="128">
        <f t="shared" si="1253"/>
        <v>0</v>
      </c>
      <c r="M1164" s="128">
        <f>M832</f>
        <v>545</v>
      </c>
      <c r="N1164" s="128">
        <f aca="true" t="shared" si="1254" ref="N1164:O1164">N832</f>
        <v>545</v>
      </c>
      <c r="O1164" s="128">
        <f t="shared" si="1254"/>
        <v>100</v>
      </c>
    </row>
    <row r="1165" spans="5:15" ht="15">
      <c r="E1165" s="1">
        <v>60</v>
      </c>
      <c r="G1165" s="128">
        <f aca="true" t="shared" si="1255" ref="G1165:M1165">G979</f>
        <v>12375.499999999998</v>
      </c>
      <c r="H1165" s="128">
        <f t="shared" si="1255"/>
        <v>1616.6000000000001</v>
      </c>
      <c r="I1165" s="128">
        <f t="shared" si="1255"/>
        <v>3394.8</v>
      </c>
      <c r="J1165" s="128">
        <f t="shared" si="1255"/>
        <v>16123</v>
      </c>
      <c r="K1165" s="128">
        <f t="shared" si="1255"/>
        <v>16291.599999999999</v>
      </c>
      <c r="L1165" s="128">
        <f t="shared" si="1255"/>
        <v>18205.7</v>
      </c>
      <c r="M1165" s="128">
        <f t="shared" si="1255"/>
        <v>18293.899999999998</v>
      </c>
      <c r="N1165" s="128">
        <f aca="true" t="shared" si="1256" ref="N1165:O1165">N979</f>
        <v>3077.2999999999997</v>
      </c>
      <c r="O1165" s="128">
        <f t="shared" si="1256"/>
        <v>16.821454145917492</v>
      </c>
    </row>
    <row r="1166" spans="5:15" ht="15">
      <c r="E1166" s="1">
        <v>61</v>
      </c>
      <c r="G1166" s="128">
        <f aca="true" t="shared" si="1257" ref="G1166:L1166">G93</f>
        <v>120</v>
      </c>
      <c r="H1166" s="128">
        <f t="shared" si="1257"/>
        <v>30</v>
      </c>
      <c r="I1166" s="128">
        <f t="shared" si="1257"/>
        <v>120</v>
      </c>
      <c r="J1166" s="128">
        <f t="shared" si="1257"/>
        <v>0</v>
      </c>
      <c r="K1166" s="128">
        <f t="shared" si="1257"/>
        <v>0</v>
      </c>
      <c r="L1166" s="128">
        <f t="shared" si="1257"/>
        <v>0</v>
      </c>
      <c r="M1166" s="128">
        <f>M188</f>
        <v>120</v>
      </c>
      <c r="N1166" s="128">
        <f aca="true" t="shared" si="1258" ref="N1166:O1166">N188</f>
        <v>11</v>
      </c>
      <c r="O1166" s="128">
        <f t="shared" si="1258"/>
        <v>9.166666666666666</v>
      </c>
    </row>
    <row r="1167" spans="5:15" ht="15">
      <c r="E1167" s="1">
        <v>62</v>
      </c>
      <c r="G1167" s="128">
        <f aca="true" t="shared" si="1259" ref="G1167:M1167">G918</f>
        <v>5427.9</v>
      </c>
      <c r="H1167" s="128">
        <f t="shared" si="1259"/>
        <v>61.8</v>
      </c>
      <c r="I1167" s="128">
        <f t="shared" si="1259"/>
        <v>5427.9</v>
      </c>
      <c r="J1167" s="128">
        <f t="shared" si="1259"/>
        <v>967</v>
      </c>
      <c r="K1167" s="128">
        <f t="shared" si="1259"/>
        <v>967</v>
      </c>
      <c r="L1167" s="128">
        <f t="shared" si="1259"/>
        <v>967</v>
      </c>
      <c r="M1167" s="128">
        <f t="shared" si="1259"/>
        <v>5125.1</v>
      </c>
      <c r="N1167" s="128">
        <f aca="true" t="shared" si="1260" ref="N1167:O1167">N918</f>
        <v>2009.2999999999997</v>
      </c>
      <c r="O1167" s="128">
        <f t="shared" si="1260"/>
        <v>39.20508868119646</v>
      </c>
    </row>
    <row r="1168" spans="5:15" ht="15">
      <c r="E1168" s="1">
        <v>63</v>
      </c>
      <c r="G1168" s="128">
        <f>G416+G746</f>
        <v>145</v>
      </c>
      <c r="H1168" s="128">
        <f>H416+H746</f>
        <v>0</v>
      </c>
      <c r="I1168" s="128">
        <f>I416+I746</f>
        <v>145</v>
      </c>
      <c r="J1168" s="128">
        <f>J416+J746+J578+J251</f>
        <v>155</v>
      </c>
      <c r="K1168" s="128">
        <f>K416+K746+K578+K251</f>
        <v>155</v>
      </c>
      <c r="L1168" s="128">
        <f>L416+L746+L578+L251</f>
        <v>155</v>
      </c>
      <c r="M1168" s="128">
        <f>M416+M746+M578+M251</f>
        <v>155</v>
      </c>
      <c r="N1168" s="128">
        <f aca="true" t="shared" si="1261" ref="N1168:O1168">N416+N746+N578+N251</f>
        <v>0</v>
      </c>
      <c r="O1168" s="128" t="e">
        <f t="shared" si="1261"/>
        <v>#DIV/0!</v>
      </c>
    </row>
    <row r="1169" spans="5:15" ht="15">
      <c r="E1169" s="1">
        <v>64</v>
      </c>
      <c r="G1169" s="128">
        <f aca="true" t="shared" si="1262" ref="G1169:L1169">G97+G435</f>
        <v>34</v>
      </c>
      <c r="H1169" s="128">
        <f t="shared" si="1262"/>
        <v>19.1</v>
      </c>
      <c r="I1169" s="128">
        <f t="shared" si="1262"/>
        <v>34</v>
      </c>
      <c r="J1169" s="128">
        <f t="shared" si="1262"/>
        <v>0</v>
      </c>
      <c r="K1169" s="128">
        <f t="shared" si="1262"/>
        <v>0</v>
      </c>
      <c r="L1169" s="128">
        <f t="shared" si="1262"/>
        <v>0</v>
      </c>
      <c r="M1169" s="128">
        <f>M97+M435+M1105+M776+M590+M276</f>
        <v>3957.2</v>
      </c>
      <c r="N1169" s="128">
        <f aca="true" t="shared" si="1263" ref="N1169:O1169">N97+N435+N1105+N776+N590+N276</f>
        <v>2491.5</v>
      </c>
      <c r="O1169" s="128" t="e">
        <f t="shared" si="1263"/>
        <v>#DIV/0!</v>
      </c>
    </row>
    <row r="1170" spans="5:15" ht="15">
      <c r="E1170" s="1">
        <v>65</v>
      </c>
      <c r="G1170" s="128">
        <f aca="true" t="shared" si="1264" ref="G1170:M1170">G1010</f>
        <v>600</v>
      </c>
      <c r="H1170" s="128">
        <f t="shared" si="1264"/>
        <v>0</v>
      </c>
      <c r="I1170" s="128">
        <f t="shared" si="1264"/>
        <v>600</v>
      </c>
      <c r="J1170" s="128">
        <f t="shared" si="1264"/>
        <v>0</v>
      </c>
      <c r="K1170" s="128">
        <f t="shared" si="1264"/>
        <v>0</v>
      </c>
      <c r="L1170" s="128">
        <f t="shared" si="1264"/>
        <v>0</v>
      </c>
      <c r="M1170" s="128">
        <f t="shared" si="1264"/>
        <v>500</v>
      </c>
      <c r="N1170" s="128">
        <f aca="true" t="shared" si="1265" ref="N1170:O1170">N1010</f>
        <v>0</v>
      </c>
      <c r="O1170" s="128">
        <f t="shared" si="1265"/>
        <v>0</v>
      </c>
    </row>
    <row r="1171" spans="5:15" ht="15">
      <c r="E1171" s="1">
        <v>66</v>
      </c>
      <c r="G1171" s="128"/>
      <c r="H1171" s="128"/>
      <c r="I1171" s="128"/>
      <c r="J1171" s="128"/>
      <c r="K1171" s="128"/>
      <c r="L1171" s="128"/>
      <c r="M1171" s="128">
        <f>M541</f>
        <v>67</v>
      </c>
      <c r="N1171" s="128">
        <f aca="true" t="shared" si="1266" ref="N1171:O1171">N541</f>
        <v>0</v>
      </c>
      <c r="O1171" s="128">
        <f t="shared" si="1266"/>
        <v>0</v>
      </c>
    </row>
    <row r="1172" spans="7:15" ht="15">
      <c r="G1172" s="128">
        <f>SUM(G1155:G1170)</f>
        <v>222965.80000000002</v>
      </c>
      <c r="H1172" s="128">
        <f>SUM(H1155:H1170)</f>
        <v>159530.10000000003</v>
      </c>
      <c r="I1172" s="128">
        <f aca="true" t="shared" si="1267" ref="I1172:L1172">SUM(I1155:I1170)</f>
        <v>214752.1</v>
      </c>
      <c r="J1172" s="128">
        <f t="shared" si="1267"/>
        <v>320319.2</v>
      </c>
      <c r="K1172" s="128">
        <f t="shared" si="1267"/>
        <v>315776.1</v>
      </c>
      <c r="L1172" s="128">
        <f t="shared" si="1267"/>
        <v>313121.9</v>
      </c>
      <c r="M1172" s="128">
        <f>SUM(M1155:M1171)</f>
        <v>242613.2</v>
      </c>
      <c r="N1172" s="128">
        <f aca="true" t="shared" si="1268" ref="N1172:O1172">SUM(N1155:N1171)</f>
        <v>128177.50000000001</v>
      </c>
      <c r="O1172" s="128" t="e">
        <f t="shared" si="1268"/>
        <v>#DIV/0!</v>
      </c>
    </row>
    <row r="1173" spans="7:9" ht="15">
      <c r="G1173" s="128"/>
      <c r="H1173" s="128"/>
      <c r="I1173" s="128"/>
    </row>
  </sheetData>
  <mergeCells count="1">
    <mergeCell ref="A8:O8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70" r:id="rId1"/>
  <rowBreaks count="1" manualBreakCount="1">
    <brk id="11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1010"/>
  <sheetViews>
    <sheetView view="pageBreakPreview" zoomScaleSheetLayoutView="100" workbookViewId="0" topLeftCell="A695">
      <selection activeCell="J840" sqref="J840"/>
    </sheetView>
  </sheetViews>
  <sheetFormatPr defaultColWidth="9.140625" defaultRowHeight="15"/>
  <cols>
    <col min="1" max="1" width="48.421875" style="1" customWidth="1"/>
    <col min="2" max="2" width="9.140625" style="1" customWidth="1"/>
    <col min="3" max="3" width="5.421875" style="1" customWidth="1"/>
    <col min="4" max="4" width="5.57421875" style="1" customWidth="1"/>
    <col min="5" max="5" width="17.140625" style="1" customWidth="1"/>
    <col min="6" max="6" width="9.140625" style="1" customWidth="1"/>
    <col min="7" max="7" width="19.00390625" style="1" customWidth="1"/>
    <col min="8" max="8" width="14.28125" style="1" customWidth="1"/>
    <col min="9" max="9" width="11.28125" style="132" hidden="1" customWidth="1"/>
    <col min="10" max="10" width="9.140625" style="1" customWidth="1"/>
    <col min="11" max="11" width="9.140625" style="1" hidden="1" customWidth="1"/>
    <col min="12" max="12" width="10.57421875" style="1" customWidth="1"/>
    <col min="13" max="16384" width="9.140625" style="1" customWidth="1"/>
  </cols>
  <sheetData>
    <row r="1" spans="1:8" ht="18.75">
      <c r="A1" s="74"/>
      <c r="B1" s="74"/>
      <c r="C1" s="74"/>
      <c r="D1" s="74"/>
      <c r="E1" s="73"/>
      <c r="F1" s="181" t="s">
        <v>160</v>
      </c>
      <c r="G1" s="74"/>
      <c r="H1" s="204"/>
    </row>
    <row r="2" spans="1:8" ht="18.75">
      <c r="A2" s="74"/>
      <c r="B2" s="74"/>
      <c r="C2" s="74"/>
      <c r="D2" s="74"/>
      <c r="E2" s="73"/>
      <c r="F2" s="181" t="s">
        <v>0</v>
      </c>
      <c r="G2" s="74"/>
      <c r="H2" s="204"/>
    </row>
    <row r="3" spans="1:8" ht="18.75">
      <c r="A3" s="74"/>
      <c r="B3" s="74"/>
      <c r="C3" s="74"/>
      <c r="D3" s="74"/>
      <c r="E3" s="73"/>
      <c r="F3" s="181" t="s">
        <v>835</v>
      </c>
      <c r="G3" s="74"/>
      <c r="H3" s="204"/>
    </row>
    <row r="4" spans="1:8" ht="15.75">
      <c r="A4" s="334"/>
      <c r="B4" s="334"/>
      <c r="C4" s="334"/>
      <c r="D4" s="334"/>
      <c r="E4" s="334"/>
      <c r="F4" s="334"/>
      <c r="G4" s="334"/>
      <c r="H4" s="204"/>
    </row>
    <row r="5" spans="1:8" ht="15.75">
      <c r="A5" s="327" t="s">
        <v>161</v>
      </c>
      <c r="B5" s="327"/>
      <c r="C5" s="327"/>
      <c r="D5" s="327"/>
      <c r="E5" s="327"/>
      <c r="F5" s="327"/>
      <c r="G5" s="327"/>
      <c r="H5" s="204"/>
    </row>
    <row r="6" spans="1:8" ht="15.75">
      <c r="A6" s="201"/>
      <c r="B6" s="201"/>
      <c r="C6" s="201"/>
      <c r="D6" s="201"/>
      <c r="E6" s="201"/>
      <c r="F6" s="201"/>
      <c r="G6" s="201"/>
      <c r="H6" s="204"/>
    </row>
    <row r="7" spans="1:8" ht="15.75">
      <c r="A7" s="14"/>
      <c r="B7" s="14"/>
      <c r="C7" s="14"/>
      <c r="D7" s="14"/>
      <c r="E7" s="14"/>
      <c r="F7" s="14"/>
      <c r="G7" s="124" t="s">
        <v>1</v>
      </c>
      <c r="H7" s="204"/>
    </row>
    <row r="8" spans="1:8" ht="47.25">
      <c r="A8" s="15" t="s">
        <v>162</v>
      </c>
      <c r="B8" s="15" t="s">
        <v>163</v>
      </c>
      <c r="C8" s="16" t="s">
        <v>164</v>
      </c>
      <c r="D8" s="16" t="s">
        <v>165</v>
      </c>
      <c r="E8" s="16" t="s">
        <v>166</v>
      </c>
      <c r="F8" s="16" t="s">
        <v>167</v>
      </c>
      <c r="G8" s="15" t="s">
        <v>4</v>
      </c>
      <c r="H8" s="204"/>
    </row>
    <row r="9" spans="1:8" ht="15.7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204"/>
    </row>
    <row r="10" spans="1:9" ht="31.5">
      <c r="A10" s="20" t="s">
        <v>168</v>
      </c>
      <c r="B10" s="20">
        <v>901</v>
      </c>
      <c r="C10" s="21"/>
      <c r="D10" s="21"/>
      <c r="E10" s="21"/>
      <c r="F10" s="21"/>
      <c r="G10" s="22">
        <f>G11</f>
        <v>14164.460000000001</v>
      </c>
      <c r="H10" s="204"/>
      <c r="I10" s="137"/>
    </row>
    <row r="11" spans="1:8" ht="15.75">
      <c r="A11" s="24" t="s">
        <v>169</v>
      </c>
      <c r="B11" s="20">
        <v>901</v>
      </c>
      <c r="C11" s="25" t="s">
        <v>170</v>
      </c>
      <c r="D11" s="21"/>
      <c r="E11" s="21"/>
      <c r="F11" s="21"/>
      <c r="G11" s="22">
        <f>G12+G22</f>
        <v>14164.460000000001</v>
      </c>
      <c r="H11" s="204"/>
    </row>
    <row r="12" spans="1:8" ht="63">
      <c r="A12" s="24" t="s">
        <v>171</v>
      </c>
      <c r="B12" s="20">
        <v>901</v>
      </c>
      <c r="C12" s="25" t="s">
        <v>170</v>
      </c>
      <c r="D12" s="25" t="s">
        <v>172</v>
      </c>
      <c r="E12" s="25"/>
      <c r="F12" s="25"/>
      <c r="G12" s="22">
        <f>G13</f>
        <v>14114.460000000001</v>
      </c>
      <c r="H12" s="204"/>
    </row>
    <row r="13" spans="1:8" ht="15.75">
      <c r="A13" s="26" t="s">
        <v>173</v>
      </c>
      <c r="B13" s="17">
        <v>901</v>
      </c>
      <c r="C13" s="21" t="s">
        <v>170</v>
      </c>
      <c r="D13" s="21" t="s">
        <v>172</v>
      </c>
      <c r="E13" s="21" t="s">
        <v>174</v>
      </c>
      <c r="F13" s="21"/>
      <c r="G13" s="27">
        <f>G14</f>
        <v>14114.460000000001</v>
      </c>
      <c r="H13" s="204"/>
    </row>
    <row r="14" spans="1:8" ht="31.5">
      <c r="A14" s="26" t="s">
        <v>175</v>
      </c>
      <c r="B14" s="17">
        <v>901</v>
      </c>
      <c r="C14" s="21" t="s">
        <v>170</v>
      </c>
      <c r="D14" s="21" t="s">
        <v>172</v>
      </c>
      <c r="E14" s="21" t="s">
        <v>176</v>
      </c>
      <c r="F14" s="21"/>
      <c r="G14" s="27">
        <f>G15</f>
        <v>14114.460000000001</v>
      </c>
      <c r="H14" s="204"/>
    </row>
    <row r="15" spans="1:8" ht="47.25">
      <c r="A15" s="26" t="s">
        <v>177</v>
      </c>
      <c r="B15" s="17">
        <v>901</v>
      </c>
      <c r="C15" s="21" t="s">
        <v>170</v>
      </c>
      <c r="D15" s="21" t="s">
        <v>172</v>
      </c>
      <c r="E15" s="21" t="s">
        <v>178</v>
      </c>
      <c r="F15" s="21"/>
      <c r="G15" s="27">
        <f>G16+G18+G20</f>
        <v>14114.460000000001</v>
      </c>
      <c r="H15" s="204"/>
    </row>
    <row r="16" spans="1:8" ht="94.5">
      <c r="A16" s="26" t="s">
        <v>179</v>
      </c>
      <c r="B16" s="17">
        <v>901</v>
      </c>
      <c r="C16" s="21" t="s">
        <v>170</v>
      </c>
      <c r="D16" s="21" t="s">
        <v>172</v>
      </c>
      <c r="E16" s="21" t="s">
        <v>178</v>
      </c>
      <c r="F16" s="21" t="s">
        <v>180</v>
      </c>
      <c r="G16" s="27">
        <f>G17</f>
        <v>12784.1</v>
      </c>
      <c r="H16" s="204"/>
    </row>
    <row r="17" spans="1:8" ht="31.5">
      <c r="A17" s="26" t="s">
        <v>181</v>
      </c>
      <c r="B17" s="17">
        <v>901</v>
      </c>
      <c r="C17" s="21" t="s">
        <v>170</v>
      </c>
      <c r="D17" s="21" t="s">
        <v>172</v>
      </c>
      <c r="E17" s="21" t="s">
        <v>178</v>
      </c>
      <c r="F17" s="21" t="s">
        <v>182</v>
      </c>
      <c r="G17" s="28">
        <v>12784.1</v>
      </c>
      <c r="H17" s="204"/>
    </row>
    <row r="18" spans="1:8" ht="31.5">
      <c r="A18" s="26" t="s">
        <v>183</v>
      </c>
      <c r="B18" s="17">
        <v>901</v>
      </c>
      <c r="C18" s="21" t="s">
        <v>170</v>
      </c>
      <c r="D18" s="21" t="s">
        <v>172</v>
      </c>
      <c r="E18" s="21" t="s">
        <v>178</v>
      </c>
      <c r="F18" s="21" t="s">
        <v>184</v>
      </c>
      <c r="G18" s="27">
        <f>G19</f>
        <v>1302.36</v>
      </c>
      <c r="H18" s="204"/>
    </row>
    <row r="19" spans="1:8" ht="47.25">
      <c r="A19" s="26" t="s">
        <v>185</v>
      </c>
      <c r="B19" s="17">
        <v>901</v>
      </c>
      <c r="C19" s="21" t="s">
        <v>170</v>
      </c>
      <c r="D19" s="21" t="s">
        <v>172</v>
      </c>
      <c r="E19" s="21" t="s">
        <v>178</v>
      </c>
      <c r="F19" s="21" t="s">
        <v>186</v>
      </c>
      <c r="G19" s="28">
        <v>1302.36</v>
      </c>
      <c r="H19" s="204"/>
    </row>
    <row r="20" spans="1:8" ht="15.75">
      <c r="A20" s="26" t="s">
        <v>187</v>
      </c>
      <c r="B20" s="17">
        <v>901</v>
      </c>
      <c r="C20" s="21" t="s">
        <v>170</v>
      </c>
      <c r="D20" s="21" t="s">
        <v>172</v>
      </c>
      <c r="E20" s="21" t="s">
        <v>178</v>
      </c>
      <c r="F20" s="21" t="s">
        <v>188</v>
      </c>
      <c r="G20" s="27">
        <f>G21</f>
        <v>28</v>
      </c>
      <c r="H20" s="204"/>
    </row>
    <row r="21" spans="1:8" ht="15.75">
      <c r="A21" s="26" t="s">
        <v>621</v>
      </c>
      <c r="B21" s="17">
        <v>901</v>
      </c>
      <c r="C21" s="21" t="s">
        <v>170</v>
      </c>
      <c r="D21" s="21" t="s">
        <v>172</v>
      </c>
      <c r="E21" s="21" t="s">
        <v>178</v>
      </c>
      <c r="F21" s="21" t="s">
        <v>190</v>
      </c>
      <c r="G21" s="27">
        <v>28</v>
      </c>
      <c r="H21" s="204"/>
    </row>
    <row r="22" spans="1:8" ht="31.5" customHeight="1">
      <c r="A22" s="24" t="s">
        <v>191</v>
      </c>
      <c r="B22" s="20">
        <v>901</v>
      </c>
      <c r="C22" s="25" t="s">
        <v>170</v>
      </c>
      <c r="D22" s="25" t="s">
        <v>192</v>
      </c>
      <c r="E22" s="25"/>
      <c r="F22" s="25"/>
      <c r="G22" s="22">
        <f>G23</f>
        <v>50</v>
      </c>
      <c r="H22" s="204"/>
    </row>
    <row r="23" spans="1:8" ht="15.75">
      <c r="A23" s="26" t="s">
        <v>193</v>
      </c>
      <c r="B23" s="17">
        <v>901</v>
      </c>
      <c r="C23" s="21" t="s">
        <v>170</v>
      </c>
      <c r="D23" s="21" t="s">
        <v>192</v>
      </c>
      <c r="E23" s="21" t="s">
        <v>194</v>
      </c>
      <c r="F23" s="21"/>
      <c r="G23" s="27">
        <f>G24</f>
        <v>50</v>
      </c>
      <c r="H23" s="204"/>
    </row>
    <row r="24" spans="1:8" ht="15.75">
      <c r="A24" s="26" t="s">
        <v>195</v>
      </c>
      <c r="B24" s="17">
        <v>901</v>
      </c>
      <c r="C24" s="21" t="s">
        <v>170</v>
      </c>
      <c r="D24" s="21" t="s">
        <v>192</v>
      </c>
      <c r="E24" s="21" t="s">
        <v>196</v>
      </c>
      <c r="F24" s="21"/>
      <c r="G24" s="27">
        <f>G25</f>
        <v>50</v>
      </c>
      <c r="H24" s="204"/>
    </row>
    <row r="25" spans="1:8" ht="15.75">
      <c r="A25" s="26" t="s">
        <v>187</v>
      </c>
      <c r="B25" s="17">
        <v>901</v>
      </c>
      <c r="C25" s="21" t="s">
        <v>170</v>
      </c>
      <c r="D25" s="21" t="s">
        <v>192</v>
      </c>
      <c r="E25" s="21" t="s">
        <v>196</v>
      </c>
      <c r="F25" s="21" t="s">
        <v>197</v>
      </c>
      <c r="G25" s="27">
        <f>G26</f>
        <v>50</v>
      </c>
      <c r="H25" s="204"/>
    </row>
    <row r="26" spans="1:8" ht="15.75">
      <c r="A26" s="26" t="s">
        <v>198</v>
      </c>
      <c r="B26" s="17">
        <v>901</v>
      </c>
      <c r="C26" s="21" t="s">
        <v>170</v>
      </c>
      <c r="D26" s="21" t="s">
        <v>192</v>
      </c>
      <c r="E26" s="21" t="s">
        <v>196</v>
      </c>
      <c r="F26" s="21" t="s">
        <v>199</v>
      </c>
      <c r="G26" s="27">
        <v>50</v>
      </c>
      <c r="H26" s="204"/>
    </row>
    <row r="27" spans="1:8" ht="31.5">
      <c r="A27" s="20" t="s">
        <v>200</v>
      </c>
      <c r="B27" s="20">
        <v>902</v>
      </c>
      <c r="C27" s="21"/>
      <c r="D27" s="21"/>
      <c r="E27" s="21"/>
      <c r="F27" s="21"/>
      <c r="G27" s="22">
        <f>G28+G159+G177+G195</f>
        <v>87268.39999999998</v>
      </c>
      <c r="H27" s="204"/>
    </row>
    <row r="28" spans="1:8" ht="15.75">
      <c r="A28" s="24" t="s">
        <v>169</v>
      </c>
      <c r="B28" s="20">
        <v>902</v>
      </c>
      <c r="C28" s="25" t="s">
        <v>170</v>
      </c>
      <c r="D28" s="21"/>
      <c r="E28" s="21"/>
      <c r="F28" s="21"/>
      <c r="G28" s="22">
        <f>G29+G48+G56</f>
        <v>66062.7</v>
      </c>
      <c r="H28" s="204"/>
    </row>
    <row r="29" spans="1:8" ht="78.75">
      <c r="A29" s="24" t="s">
        <v>201</v>
      </c>
      <c r="B29" s="20">
        <v>902</v>
      </c>
      <c r="C29" s="25" t="s">
        <v>170</v>
      </c>
      <c r="D29" s="25" t="s">
        <v>202</v>
      </c>
      <c r="E29" s="25"/>
      <c r="F29" s="25"/>
      <c r="G29" s="22">
        <f>G30</f>
        <v>51508.2</v>
      </c>
      <c r="H29" s="204"/>
    </row>
    <row r="30" spans="1:8" ht="15.75">
      <c r="A30" s="26" t="s">
        <v>173</v>
      </c>
      <c r="B30" s="17">
        <v>902</v>
      </c>
      <c r="C30" s="21" t="s">
        <v>170</v>
      </c>
      <c r="D30" s="21" t="s">
        <v>202</v>
      </c>
      <c r="E30" s="21" t="s">
        <v>174</v>
      </c>
      <c r="F30" s="21"/>
      <c r="G30" s="28">
        <f>G31+G42</f>
        <v>51508.2</v>
      </c>
      <c r="H30" s="204"/>
    </row>
    <row r="31" spans="1:8" ht="31.5">
      <c r="A31" s="26" t="s">
        <v>175</v>
      </c>
      <c r="B31" s="17">
        <v>902</v>
      </c>
      <c r="C31" s="21" t="s">
        <v>170</v>
      </c>
      <c r="D31" s="21" t="s">
        <v>202</v>
      </c>
      <c r="E31" s="21" t="s">
        <v>176</v>
      </c>
      <c r="F31" s="21"/>
      <c r="G31" s="28">
        <f>G32+G39</f>
        <v>43489.2</v>
      </c>
      <c r="H31" s="204"/>
    </row>
    <row r="32" spans="1:8" ht="47.25">
      <c r="A32" s="26" t="s">
        <v>177</v>
      </c>
      <c r="B32" s="17">
        <v>902</v>
      </c>
      <c r="C32" s="21" t="s">
        <v>170</v>
      </c>
      <c r="D32" s="21" t="s">
        <v>202</v>
      </c>
      <c r="E32" s="21" t="s">
        <v>178</v>
      </c>
      <c r="F32" s="21"/>
      <c r="G32" s="27">
        <f>G33+G35+G37</f>
        <v>39943.6</v>
      </c>
      <c r="H32" s="204"/>
    </row>
    <row r="33" spans="1:8" ht="94.5">
      <c r="A33" s="26" t="s">
        <v>179</v>
      </c>
      <c r="B33" s="17">
        <v>902</v>
      </c>
      <c r="C33" s="21" t="s">
        <v>170</v>
      </c>
      <c r="D33" s="21" t="s">
        <v>202</v>
      </c>
      <c r="E33" s="21" t="s">
        <v>178</v>
      </c>
      <c r="F33" s="21" t="s">
        <v>180</v>
      </c>
      <c r="G33" s="27">
        <f>G34</f>
        <v>34230.5</v>
      </c>
      <c r="H33" s="204"/>
    </row>
    <row r="34" spans="1:10" ht="31.5">
      <c r="A34" s="26" t="s">
        <v>181</v>
      </c>
      <c r="B34" s="17">
        <v>902</v>
      </c>
      <c r="C34" s="21" t="s">
        <v>170</v>
      </c>
      <c r="D34" s="21" t="s">
        <v>202</v>
      </c>
      <c r="E34" s="21" t="s">
        <v>178</v>
      </c>
      <c r="F34" s="21" t="s">
        <v>182</v>
      </c>
      <c r="G34" s="182">
        <f>36517.7-553.5-1733.7</f>
        <v>34230.5</v>
      </c>
      <c r="H34" s="183" t="s">
        <v>813</v>
      </c>
      <c r="J34" s="199" t="s">
        <v>857</v>
      </c>
    </row>
    <row r="35" spans="1:8" ht="31.5">
      <c r="A35" s="26" t="s">
        <v>183</v>
      </c>
      <c r="B35" s="17">
        <v>902</v>
      </c>
      <c r="C35" s="21" t="s">
        <v>170</v>
      </c>
      <c r="D35" s="21" t="s">
        <v>202</v>
      </c>
      <c r="E35" s="21" t="s">
        <v>178</v>
      </c>
      <c r="F35" s="21" t="s">
        <v>184</v>
      </c>
      <c r="G35" s="27">
        <f>G36</f>
        <v>5592.4</v>
      </c>
      <c r="H35" s="204"/>
    </row>
    <row r="36" spans="1:9" ht="47.25">
      <c r="A36" s="26" t="s">
        <v>185</v>
      </c>
      <c r="B36" s="17">
        <v>902</v>
      </c>
      <c r="C36" s="21" t="s">
        <v>170</v>
      </c>
      <c r="D36" s="21" t="s">
        <v>202</v>
      </c>
      <c r="E36" s="21" t="s">
        <v>178</v>
      </c>
      <c r="F36" s="21" t="s">
        <v>186</v>
      </c>
      <c r="G36" s="28">
        <f>3962.7+1800-140.3-30</f>
        <v>5592.4</v>
      </c>
      <c r="H36" s="129"/>
      <c r="I36" s="148"/>
    </row>
    <row r="37" spans="1:8" ht="15.75">
      <c r="A37" s="26" t="s">
        <v>187</v>
      </c>
      <c r="B37" s="17">
        <v>902</v>
      </c>
      <c r="C37" s="21" t="s">
        <v>170</v>
      </c>
      <c r="D37" s="21" t="s">
        <v>202</v>
      </c>
      <c r="E37" s="21" t="s">
        <v>178</v>
      </c>
      <c r="F37" s="21" t="s">
        <v>197</v>
      </c>
      <c r="G37" s="27">
        <f>G38</f>
        <v>120.7</v>
      </c>
      <c r="H37" s="204"/>
    </row>
    <row r="38" spans="1:9" ht="15.75">
      <c r="A38" s="26" t="s">
        <v>621</v>
      </c>
      <c r="B38" s="17">
        <v>902</v>
      </c>
      <c r="C38" s="21" t="s">
        <v>170</v>
      </c>
      <c r="D38" s="21" t="s">
        <v>202</v>
      </c>
      <c r="E38" s="21" t="s">
        <v>178</v>
      </c>
      <c r="F38" s="21" t="s">
        <v>190</v>
      </c>
      <c r="G38" s="28">
        <f>90.7+30</f>
        <v>120.7</v>
      </c>
      <c r="H38" s="129"/>
      <c r="I38" s="147"/>
    </row>
    <row r="39" spans="1:8" ht="31.5">
      <c r="A39" s="26" t="s">
        <v>203</v>
      </c>
      <c r="B39" s="17">
        <v>902</v>
      </c>
      <c r="C39" s="21" t="s">
        <v>170</v>
      </c>
      <c r="D39" s="21" t="s">
        <v>202</v>
      </c>
      <c r="E39" s="21" t="s">
        <v>204</v>
      </c>
      <c r="F39" s="21"/>
      <c r="G39" s="27">
        <f aca="true" t="shared" si="0" ref="G39">G40</f>
        <v>3545.6</v>
      </c>
      <c r="H39" s="204"/>
    </row>
    <row r="40" spans="1:8" ht="94.5">
      <c r="A40" s="26" t="s">
        <v>179</v>
      </c>
      <c r="B40" s="17">
        <v>902</v>
      </c>
      <c r="C40" s="21" t="s">
        <v>170</v>
      </c>
      <c r="D40" s="21" t="s">
        <v>202</v>
      </c>
      <c r="E40" s="21" t="s">
        <v>204</v>
      </c>
      <c r="F40" s="21" t="s">
        <v>180</v>
      </c>
      <c r="G40" s="27">
        <f>G41</f>
        <v>3545.6</v>
      </c>
      <c r="H40" s="204"/>
    </row>
    <row r="41" spans="1:8" ht="31.5">
      <c r="A41" s="26" t="s">
        <v>181</v>
      </c>
      <c r="B41" s="17">
        <v>902</v>
      </c>
      <c r="C41" s="21" t="s">
        <v>170</v>
      </c>
      <c r="D41" s="21" t="s">
        <v>202</v>
      </c>
      <c r="E41" s="21" t="s">
        <v>204</v>
      </c>
      <c r="F41" s="21" t="s">
        <v>182</v>
      </c>
      <c r="G41" s="28">
        <v>3545.6</v>
      </c>
      <c r="H41" s="204"/>
    </row>
    <row r="42" spans="1:8" ht="15.75">
      <c r="A42" s="26" t="s">
        <v>193</v>
      </c>
      <c r="B42" s="17">
        <v>902</v>
      </c>
      <c r="C42" s="21" t="s">
        <v>170</v>
      </c>
      <c r="D42" s="21" t="s">
        <v>202</v>
      </c>
      <c r="E42" s="21" t="s">
        <v>194</v>
      </c>
      <c r="F42" s="21"/>
      <c r="G42" s="30">
        <f>G43</f>
        <v>8019</v>
      </c>
      <c r="H42" s="204"/>
    </row>
    <row r="43" spans="1:8" ht="31.5">
      <c r="A43" s="26" t="s">
        <v>205</v>
      </c>
      <c r="B43" s="17">
        <v>902</v>
      </c>
      <c r="C43" s="21" t="s">
        <v>170</v>
      </c>
      <c r="D43" s="21" t="s">
        <v>202</v>
      </c>
      <c r="E43" s="21" t="s">
        <v>206</v>
      </c>
      <c r="F43" s="21"/>
      <c r="G43" s="27">
        <f>G44+G46</f>
        <v>8019</v>
      </c>
      <c r="H43" s="204"/>
    </row>
    <row r="44" spans="1:8" ht="94.5">
      <c r="A44" s="26" t="s">
        <v>179</v>
      </c>
      <c r="B44" s="17">
        <v>902</v>
      </c>
      <c r="C44" s="21" t="s">
        <v>170</v>
      </c>
      <c r="D44" s="21" t="s">
        <v>202</v>
      </c>
      <c r="E44" s="21" t="s">
        <v>206</v>
      </c>
      <c r="F44" s="21" t="s">
        <v>180</v>
      </c>
      <c r="G44" s="27">
        <f>G45</f>
        <v>5761.2</v>
      </c>
      <c r="H44" s="204"/>
    </row>
    <row r="45" spans="1:10" ht="31.5">
      <c r="A45" s="26" t="s">
        <v>181</v>
      </c>
      <c r="B45" s="17">
        <v>902</v>
      </c>
      <c r="C45" s="21" t="s">
        <v>170</v>
      </c>
      <c r="D45" s="21" t="s">
        <v>202</v>
      </c>
      <c r="E45" s="21" t="s">
        <v>206</v>
      </c>
      <c r="F45" s="21" t="s">
        <v>182</v>
      </c>
      <c r="G45" s="182">
        <f>6958.6+88.4-2398.3+1112.5</f>
        <v>5761.2</v>
      </c>
      <c r="H45" s="129" t="s">
        <v>814</v>
      </c>
      <c r="I45" s="147"/>
      <c r="J45" s="198" t="s">
        <v>858</v>
      </c>
    </row>
    <row r="46" spans="1:8" ht="31.5">
      <c r="A46" s="26" t="s">
        <v>183</v>
      </c>
      <c r="B46" s="17">
        <v>902</v>
      </c>
      <c r="C46" s="21" t="s">
        <v>170</v>
      </c>
      <c r="D46" s="21" t="s">
        <v>202</v>
      </c>
      <c r="E46" s="21" t="s">
        <v>206</v>
      </c>
      <c r="F46" s="21" t="s">
        <v>184</v>
      </c>
      <c r="G46" s="27">
        <f>G47</f>
        <v>2257.8</v>
      </c>
      <c r="H46" s="204"/>
    </row>
    <row r="47" spans="1:9" ht="47.25">
      <c r="A47" s="26" t="s">
        <v>185</v>
      </c>
      <c r="B47" s="17">
        <v>902</v>
      </c>
      <c r="C47" s="21" t="s">
        <v>170</v>
      </c>
      <c r="D47" s="21" t="s">
        <v>202</v>
      </c>
      <c r="E47" s="21" t="s">
        <v>206</v>
      </c>
      <c r="F47" s="21" t="s">
        <v>186</v>
      </c>
      <c r="G47" s="182">
        <f>2109.3+129.9+835.5-1438.1+621.2</f>
        <v>2257.8</v>
      </c>
      <c r="H47" s="129" t="s">
        <v>815</v>
      </c>
      <c r="I47" s="148"/>
    </row>
    <row r="48" spans="1:8" ht="63">
      <c r="A48" s="24" t="s">
        <v>171</v>
      </c>
      <c r="B48" s="20">
        <v>902</v>
      </c>
      <c r="C48" s="25" t="s">
        <v>170</v>
      </c>
      <c r="D48" s="25" t="s">
        <v>172</v>
      </c>
      <c r="E48" s="25"/>
      <c r="F48" s="21"/>
      <c r="G48" s="22">
        <f>G49</f>
        <v>1081.7</v>
      </c>
      <c r="H48" s="204"/>
    </row>
    <row r="49" spans="1:8" ht="21" customHeight="1">
      <c r="A49" s="26" t="s">
        <v>173</v>
      </c>
      <c r="B49" s="17">
        <v>902</v>
      </c>
      <c r="C49" s="21" t="s">
        <v>170</v>
      </c>
      <c r="D49" s="21" t="s">
        <v>172</v>
      </c>
      <c r="E49" s="21" t="s">
        <v>174</v>
      </c>
      <c r="F49" s="21"/>
      <c r="G49" s="27">
        <f aca="true" t="shared" si="1" ref="G49">G50</f>
        <v>1081.7</v>
      </c>
      <c r="H49" s="204"/>
    </row>
    <row r="50" spans="1:11" ht="31.5">
      <c r="A50" s="26" t="s">
        <v>175</v>
      </c>
      <c r="B50" s="17">
        <v>902</v>
      </c>
      <c r="C50" s="21" t="s">
        <v>170</v>
      </c>
      <c r="D50" s="21" t="s">
        <v>172</v>
      </c>
      <c r="E50" s="21" t="s">
        <v>176</v>
      </c>
      <c r="F50" s="21"/>
      <c r="G50" s="27">
        <f>G51</f>
        <v>1081.7</v>
      </c>
      <c r="H50" s="204"/>
      <c r="K50" s="27"/>
    </row>
    <row r="51" spans="1:11" ht="47.25">
      <c r="A51" s="26" t="s">
        <v>177</v>
      </c>
      <c r="B51" s="17">
        <v>902</v>
      </c>
      <c r="C51" s="21" t="s">
        <v>170</v>
      </c>
      <c r="D51" s="21" t="s">
        <v>172</v>
      </c>
      <c r="E51" s="21" t="s">
        <v>178</v>
      </c>
      <c r="F51" s="21"/>
      <c r="G51" s="27">
        <f>G52+G54</f>
        <v>1081.7</v>
      </c>
      <c r="H51" s="204"/>
      <c r="K51" s="27"/>
    </row>
    <row r="52" spans="1:11" ht="94.5">
      <c r="A52" s="26" t="s">
        <v>179</v>
      </c>
      <c r="B52" s="17">
        <v>902</v>
      </c>
      <c r="C52" s="21" t="s">
        <v>170</v>
      </c>
      <c r="D52" s="21" t="s">
        <v>172</v>
      </c>
      <c r="E52" s="21" t="s">
        <v>178</v>
      </c>
      <c r="F52" s="21" t="s">
        <v>180</v>
      </c>
      <c r="G52" s="27">
        <f>G53</f>
        <v>1081.7</v>
      </c>
      <c r="H52" s="204"/>
      <c r="K52" s="28"/>
    </row>
    <row r="53" spans="1:11" ht="31.5">
      <c r="A53" s="26" t="s">
        <v>181</v>
      </c>
      <c r="B53" s="17">
        <v>902</v>
      </c>
      <c r="C53" s="21" t="s">
        <v>170</v>
      </c>
      <c r="D53" s="21" t="s">
        <v>172</v>
      </c>
      <c r="E53" s="21" t="s">
        <v>178</v>
      </c>
      <c r="F53" s="21" t="s">
        <v>182</v>
      </c>
      <c r="G53" s="28">
        <f>1081.7</f>
        <v>1081.7</v>
      </c>
      <c r="H53" s="204"/>
      <c r="I53" s="138"/>
      <c r="K53" s="27"/>
    </row>
    <row r="54" spans="1:11" ht="31.5" hidden="1">
      <c r="A54" s="26" t="s">
        <v>183</v>
      </c>
      <c r="B54" s="17">
        <v>902</v>
      </c>
      <c r="C54" s="21" t="s">
        <v>170</v>
      </c>
      <c r="D54" s="21" t="s">
        <v>172</v>
      </c>
      <c r="E54" s="21" t="s">
        <v>178</v>
      </c>
      <c r="F54" s="21" t="s">
        <v>184</v>
      </c>
      <c r="G54" s="28">
        <f>G55</f>
        <v>0</v>
      </c>
      <c r="H54" s="204"/>
      <c r="K54" s="27"/>
    </row>
    <row r="55" spans="1:11" ht="47.25" hidden="1">
      <c r="A55" s="26" t="s">
        <v>185</v>
      </c>
      <c r="B55" s="17">
        <v>902</v>
      </c>
      <c r="C55" s="21" t="s">
        <v>170</v>
      </c>
      <c r="D55" s="21" t="s">
        <v>172</v>
      </c>
      <c r="E55" s="21" t="s">
        <v>178</v>
      </c>
      <c r="F55" s="21" t="s">
        <v>186</v>
      </c>
      <c r="G55" s="28"/>
      <c r="H55" s="204"/>
      <c r="I55" s="138"/>
      <c r="K55" s="27"/>
    </row>
    <row r="56" spans="1:11" ht="15.75">
      <c r="A56" s="24" t="s">
        <v>191</v>
      </c>
      <c r="B56" s="20">
        <v>902</v>
      </c>
      <c r="C56" s="25" t="s">
        <v>170</v>
      </c>
      <c r="D56" s="25" t="s">
        <v>192</v>
      </c>
      <c r="E56" s="25"/>
      <c r="F56" s="25"/>
      <c r="G56" s="22">
        <f>G57+G61+G73+G86+G97+G90</f>
        <v>13472.8</v>
      </c>
      <c r="H56" s="204"/>
      <c r="I56" s="137"/>
      <c r="K56" s="27"/>
    </row>
    <row r="57" spans="1:8" ht="63">
      <c r="A57" s="26" t="s">
        <v>207</v>
      </c>
      <c r="B57" s="17">
        <v>902</v>
      </c>
      <c r="C57" s="21" t="s">
        <v>170</v>
      </c>
      <c r="D57" s="21" t="s">
        <v>192</v>
      </c>
      <c r="E57" s="21" t="s">
        <v>208</v>
      </c>
      <c r="F57" s="21"/>
      <c r="G57" s="27">
        <f>G58</f>
        <v>250</v>
      </c>
      <c r="H57" s="204"/>
    </row>
    <row r="58" spans="1:8" ht="31.5">
      <c r="A58" s="26" t="s">
        <v>209</v>
      </c>
      <c r="B58" s="17">
        <v>902</v>
      </c>
      <c r="C58" s="21" t="s">
        <v>170</v>
      </c>
      <c r="D58" s="21" t="s">
        <v>192</v>
      </c>
      <c r="E58" s="21" t="s">
        <v>210</v>
      </c>
      <c r="F58" s="21"/>
      <c r="G58" s="27">
        <f>G59</f>
        <v>250</v>
      </c>
      <c r="H58" s="204"/>
    </row>
    <row r="59" spans="1:8" ht="15.75">
      <c r="A59" s="26" t="s">
        <v>187</v>
      </c>
      <c r="B59" s="17">
        <v>902</v>
      </c>
      <c r="C59" s="21" t="s">
        <v>170</v>
      </c>
      <c r="D59" s="21" t="s">
        <v>192</v>
      </c>
      <c r="E59" s="21" t="s">
        <v>210</v>
      </c>
      <c r="F59" s="21" t="s">
        <v>197</v>
      </c>
      <c r="G59" s="27">
        <f>G60</f>
        <v>250</v>
      </c>
      <c r="H59" s="204"/>
    </row>
    <row r="60" spans="1:9" ht="78.75">
      <c r="A60" s="26" t="s">
        <v>211</v>
      </c>
      <c r="B60" s="17">
        <v>902</v>
      </c>
      <c r="C60" s="21" t="s">
        <v>170</v>
      </c>
      <c r="D60" s="21" t="s">
        <v>192</v>
      </c>
      <c r="E60" s="21" t="s">
        <v>210</v>
      </c>
      <c r="F60" s="21" t="s">
        <v>212</v>
      </c>
      <c r="G60" s="27">
        <f>100+150</f>
        <v>250</v>
      </c>
      <c r="H60" s="204"/>
      <c r="I60" s="138"/>
    </row>
    <row r="61" spans="1:8" ht="47.25">
      <c r="A61" s="26" t="s">
        <v>213</v>
      </c>
      <c r="B61" s="17">
        <v>902</v>
      </c>
      <c r="C61" s="21" t="s">
        <v>170</v>
      </c>
      <c r="D61" s="21" t="s">
        <v>192</v>
      </c>
      <c r="E61" s="21" t="s">
        <v>214</v>
      </c>
      <c r="F61" s="21"/>
      <c r="G61" s="27">
        <f>G62+G65+G70</f>
        <v>653.5</v>
      </c>
      <c r="H61" s="204"/>
    </row>
    <row r="62" spans="1:8" ht="31.5">
      <c r="A62" s="31" t="s">
        <v>215</v>
      </c>
      <c r="B62" s="17">
        <v>902</v>
      </c>
      <c r="C62" s="21" t="s">
        <v>170</v>
      </c>
      <c r="D62" s="21" t="s">
        <v>192</v>
      </c>
      <c r="E62" s="42" t="s">
        <v>216</v>
      </c>
      <c r="F62" s="21"/>
      <c r="G62" s="27">
        <f>G63</f>
        <v>428.1</v>
      </c>
      <c r="H62" s="204"/>
    </row>
    <row r="63" spans="1:8" ht="31.5">
      <c r="A63" s="26" t="s">
        <v>183</v>
      </c>
      <c r="B63" s="17">
        <v>902</v>
      </c>
      <c r="C63" s="21" t="s">
        <v>170</v>
      </c>
      <c r="D63" s="21" t="s">
        <v>192</v>
      </c>
      <c r="E63" s="42" t="s">
        <v>216</v>
      </c>
      <c r="F63" s="21" t="s">
        <v>184</v>
      </c>
      <c r="G63" s="27">
        <f>G64</f>
        <v>428.1</v>
      </c>
      <c r="H63" s="204"/>
    </row>
    <row r="64" spans="1:8" ht="47.25">
      <c r="A64" s="26" t="s">
        <v>185</v>
      </c>
      <c r="B64" s="17">
        <v>902</v>
      </c>
      <c r="C64" s="21" t="s">
        <v>170</v>
      </c>
      <c r="D64" s="21" t="s">
        <v>192</v>
      </c>
      <c r="E64" s="42" t="s">
        <v>216</v>
      </c>
      <c r="F64" s="21" t="s">
        <v>186</v>
      </c>
      <c r="G64" s="27">
        <f>494.3-66.2</f>
        <v>428.1</v>
      </c>
      <c r="H64" s="204"/>
    </row>
    <row r="65" spans="1:8" ht="63">
      <c r="A65" s="205" t="s">
        <v>217</v>
      </c>
      <c r="B65" s="17">
        <v>902</v>
      </c>
      <c r="C65" s="21" t="s">
        <v>170</v>
      </c>
      <c r="D65" s="21" t="s">
        <v>192</v>
      </c>
      <c r="E65" s="42" t="s">
        <v>218</v>
      </c>
      <c r="F65" s="21"/>
      <c r="G65" s="27">
        <f>G66+G68</f>
        <v>224.89999999999998</v>
      </c>
      <c r="H65" s="204"/>
    </row>
    <row r="66" spans="1:8" ht="94.5">
      <c r="A66" s="26" t="s">
        <v>179</v>
      </c>
      <c r="B66" s="17">
        <v>902</v>
      </c>
      <c r="C66" s="21" t="s">
        <v>170</v>
      </c>
      <c r="D66" s="21" t="s">
        <v>192</v>
      </c>
      <c r="E66" s="42" t="s">
        <v>218</v>
      </c>
      <c r="F66" s="21" t="s">
        <v>180</v>
      </c>
      <c r="G66" s="27">
        <f>G67</f>
        <v>159.7</v>
      </c>
      <c r="H66" s="204"/>
    </row>
    <row r="67" spans="1:8" ht="31.5">
      <c r="A67" s="26" t="s">
        <v>181</v>
      </c>
      <c r="B67" s="17">
        <v>902</v>
      </c>
      <c r="C67" s="21" t="s">
        <v>170</v>
      </c>
      <c r="D67" s="21" t="s">
        <v>192</v>
      </c>
      <c r="E67" s="42" t="s">
        <v>218</v>
      </c>
      <c r="F67" s="21" t="s">
        <v>182</v>
      </c>
      <c r="G67" s="27">
        <v>159.7</v>
      </c>
      <c r="H67" s="204"/>
    </row>
    <row r="68" spans="1:8" ht="31.5">
      <c r="A68" s="26" t="s">
        <v>183</v>
      </c>
      <c r="B68" s="17">
        <v>902</v>
      </c>
      <c r="C68" s="21" t="s">
        <v>170</v>
      </c>
      <c r="D68" s="21" t="s">
        <v>192</v>
      </c>
      <c r="E68" s="42" t="s">
        <v>218</v>
      </c>
      <c r="F68" s="21" t="s">
        <v>184</v>
      </c>
      <c r="G68" s="27">
        <f>G69</f>
        <v>65.2</v>
      </c>
      <c r="H68" s="204"/>
    </row>
    <row r="69" spans="1:8" ht="47.25">
      <c r="A69" s="26" t="s">
        <v>185</v>
      </c>
      <c r="B69" s="17">
        <v>902</v>
      </c>
      <c r="C69" s="21" t="s">
        <v>170</v>
      </c>
      <c r="D69" s="21" t="s">
        <v>192</v>
      </c>
      <c r="E69" s="42" t="s">
        <v>218</v>
      </c>
      <c r="F69" s="21" t="s">
        <v>186</v>
      </c>
      <c r="G69" s="27">
        <f>66.2-0.5-0.5</f>
        <v>65.2</v>
      </c>
      <c r="H69" s="129"/>
    </row>
    <row r="70" spans="1:8" ht="47.25">
      <c r="A70" s="35" t="s">
        <v>243</v>
      </c>
      <c r="B70" s="17">
        <v>902</v>
      </c>
      <c r="C70" s="21" t="s">
        <v>170</v>
      </c>
      <c r="D70" s="21" t="s">
        <v>192</v>
      </c>
      <c r="E70" s="42" t="s">
        <v>765</v>
      </c>
      <c r="F70" s="21"/>
      <c r="G70" s="27">
        <f>G71</f>
        <v>0.5</v>
      </c>
      <c r="H70" s="131"/>
    </row>
    <row r="71" spans="1:8" ht="31.5">
      <c r="A71" s="26" t="s">
        <v>183</v>
      </c>
      <c r="B71" s="17">
        <v>902</v>
      </c>
      <c r="C71" s="21" t="s">
        <v>170</v>
      </c>
      <c r="D71" s="21" t="s">
        <v>192</v>
      </c>
      <c r="E71" s="42" t="s">
        <v>765</v>
      </c>
      <c r="F71" s="21" t="s">
        <v>184</v>
      </c>
      <c r="G71" s="27">
        <f>G72</f>
        <v>0.5</v>
      </c>
      <c r="H71" s="204"/>
    </row>
    <row r="72" spans="1:8" ht="47.25">
      <c r="A72" s="26" t="s">
        <v>185</v>
      </c>
      <c r="B72" s="17">
        <v>902</v>
      </c>
      <c r="C72" s="21" t="s">
        <v>170</v>
      </c>
      <c r="D72" s="21" t="s">
        <v>192</v>
      </c>
      <c r="E72" s="42" t="s">
        <v>765</v>
      </c>
      <c r="F72" s="21" t="s">
        <v>186</v>
      </c>
      <c r="G72" s="27">
        <v>0.5</v>
      </c>
      <c r="H72" s="129"/>
    </row>
    <row r="73" spans="1:8" ht="94.5">
      <c r="A73" s="31" t="s">
        <v>219</v>
      </c>
      <c r="B73" s="17">
        <v>902</v>
      </c>
      <c r="C73" s="10" t="s">
        <v>170</v>
      </c>
      <c r="D73" s="10" t="s">
        <v>192</v>
      </c>
      <c r="E73" s="6" t="s">
        <v>220</v>
      </c>
      <c r="F73" s="10"/>
      <c r="G73" s="27">
        <f>G74+G78+G82</f>
        <v>80</v>
      </c>
      <c r="H73" s="204"/>
    </row>
    <row r="74" spans="1:8" ht="78.75">
      <c r="A74" s="31" t="s">
        <v>221</v>
      </c>
      <c r="B74" s="17">
        <v>902</v>
      </c>
      <c r="C74" s="10" t="s">
        <v>170</v>
      </c>
      <c r="D74" s="10" t="s">
        <v>192</v>
      </c>
      <c r="E74" s="32" t="s">
        <v>222</v>
      </c>
      <c r="F74" s="10"/>
      <c r="G74" s="27">
        <f>G75</f>
        <v>15</v>
      </c>
      <c r="H74" s="204"/>
    </row>
    <row r="75" spans="1:8" ht="31.5">
      <c r="A75" s="205" t="s">
        <v>223</v>
      </c>
      <c r="B75" s="17">
        <v>902</v>
      </c>
      <c r="C75" s="10" t="s">
        <v>170</v>
      </c>
      <c r="D75" s="10" t="s">
        <v>192</v>
      </c>
      <c r="E75" s="6" t="s">
        <v>224</v>
      </c>
      <c r="F75" s="10"/>
      <c r="G75" s="27">
        <f>G76</f>
        <v>15</v>
      </c>
      <c r="H75" s="204"/>
    </row>
    <row r="76" spans="1:8" ht="31.5">
      <c r="A76" s="26" t="s">
        <v>183</v>
      </c>
      <c r="B76" s="17">
        <v>902</v>
      </c>
      <c r="C76" s="10" t="s">
        <v>170</v>
      </c>
      <c r="D76" s="10" t="s">
        <v>192</v>
      </c>
      <c r="E76" s="6" t="s">
        <v>224</v>
      </c>
      <c r="F76" s="10" t="s">
        <v>184</v>
      </c>
      <c r="G76" s="27">
        <f>G77</f>
        <v>15</v>
      </c>
      <c r="H76" s="204"/>
    </row>
    <row r="77" spans="1:8" ht="47.25">
      <c r="A77" s="26" t="s">
        <v>185</v>
      </c>
      <c r="B77" s="17">
        <v>902</v>
      </c>
      <c r="C77" s="10" t="s">
        <v>170</v>
      </c>
      <c r="D77" s="10" t="s">
        <v>192</v>
      </c>
      <c r="E77" s="6" t="s">
        <v>224</v>
      </c>
      <c r="F77" s="10" t="s">
        <v>186</v>
      </c>
      <c r="G77" s="27">
        <v>15</v>
      </c>
      <c r="H77" s="204"/>
    </row>
    <row r="78" spans="1:8" ht="63">
      <c r="A78" s="31" t="s">
        <v>225</v>
      </c>
      <c r="B78" s="17">
        <v>902</v>
      </c>
      <c r="C78" s="10" t="s">
        <v>170</v>
      </c>
      <c r="D78" s="10" t="s">
        <v>192</v>
      </c>
      <c r="E78" s="32" t="s">
        <v>226</v>
      </c>
      <c r="F78" s="10"/>
      <c r="G78" s="27">
        <f>G79</f>
        <v>50</v>
      </c>
      <c r="H78" s="204"/>
    </row>
    <row r="79" spans="1:8" ht="31.5">
      <c r="A79" s="47" t="s">
        <v>227</v>
      </c>
      <c r="B79" s="17">
        <v>902</v>
      </c>
      <c r="C79" s="10" t="s">
        <v>170</v>
      </c>
      <c r="D79" s="10" t="s">
        <v>192</v>
      </c>
      <c r="E79" s="6" t="s">
        <v>228</v>
      </c>
      <c r="F79" s="10"/>
      <c r="G79" s="27">
        <f>G80</f>
        <v>50</v>
      </c>
      <c r="H79" s="204"/>
    </row>
    <row r="80" spans="1:8" ht="31.5">
      <c r="A80" s="26" t="s">
        <v>183</v>
      </c>
      <c r="B80" s="17">
        <v>902</v>
      </c>
      <c r="C80" s="10" t="s">
        <v>170</v>
      </c>
      <c r="D80" s="10" t="s">
        <v>192</v>
      </c>
      <c r="E80" s="6" t="s">
        <v>228</v>
      </c>
      <c r="F80" s="10" t="s">
        <v>184</v>
      </c>
      <c r="G80" s="27">
        <f>G81</f>
        <v>50</v>
      </c>
      <c r="H80" s="204"/>
    </row>
    <row r="81" spans="1:8" ht="47.25">
      <c r="A81" s="26" t="s">
        <v>185</v>
      </c>
      <c r="B81" s="17">
        <v>902</v>
      </c>
      <c r="C81" s="10" t="s">
        <v>170</v>
      </c>
      <c r="D81" s="10" t="s">
        <v>192</v>
      </c>
      <c r="E81" s="6" t="s">
        <v>228</v>
      </c>
      <c r="F81" s="10" t="s">
        <v>186</v>
      </c>
      <c r="G81" s="27">
        <v>50</v>
      </c>
      <c r="H81" s="204"/>
    </row>
    <row r="82" spans="1:8" ht="47.25">
      <c r="A82" s="26" t="s">
        <v>229</v>
      </c>
      <c r="B82" s="17">
        <v>902</v>
      </c>
      <c r="C82" s="10" t="s">
        <v>170</v>
      </c>
      <c r="D82" s="10" t="s">
        <v>192</v>
      </c>
      <c r="E82" s="6" t="s">
        <v>230</v>
      </c>
      <c r="F82" s="10"/>
      <c r="G82" s="27">
        <f>G83</f>
        <v>15</v>
      </c>
      <c r="H82" s="204"/>
    </row>
    <row r="83" spans="1:8" ht="15.75">
      <c r="A83" s="47" t="s">
        <v>231</v>
      </c>
      <c r="B83" s="17">
        <v>902</v>
      </c>
      <c r="C83" s="10" t="s">
        <v>170</v>
      </c>
      <c r="D83" s="10" t="s">
        <v>192</v>
      </c>
      <c r="E83" s="6" t="s">
        <v>232</v>
      </c>
      <c r="F83" s="10"/>
      <c r="G83" s="27">
        <f>G84</f>
        <v>15</v>
      </c>
      <c r="H83" s="204"/>
    </row>
    <row r="84" spans="1:8" ht="31.5">
      <c r="A84" s="26" t="s">
        <v>183</v>
      </c>
      <c r="B84" s="17">
        <v>902</v>
      </c>
      <c r="C84" s="10" t="s">
        <v>170</v>
      </c>
      <c r="D84" s="10" t="s">
        <v>192</v>
      </c>
      <c r="E84" s="6" t="s">
        <v>232</v>
      </c>
      <c r="F84" s="10" t="s">
        <v>184</v>
      </c>
      <c r="G84" s="27">
        <f>G85</f>
        <v>15</v>
      </c>
      <c r="H84" s="204"/>
    </row>
    <row r="85" spans="1:8" ht="47.25">
      <c r="A85" s="26" t="s">
        <v>185</v>
      </c>
      <c r="B85" s="17">
        <v>902</v>
      </c>
      <c r="C85" s="10" t="s">
        <v>170</v>
      </c>
      <c r="D85" s="10" t="s">
        <v>192</v>
      </c>
      <c r="E85" s="6" t="s">
        <v>232</v>
      </c>
      <c r="F85" s="10" t="s">
        <v>186</v>
      </c>
      <c r="G85" s="27">
        <v>15</v>
      </c>
      <c r="H85" s="204"/>
    </row>
    <row r="86" spans="1:8" ht="47.25">
      <c r="A86" s="33" t="s">
        <v>233</v>
      </c>
      <c r="B86" s="17">
        <v>902</v>
      </c>
      <c r="C86" s="21" t="s">
        <v>170</v>
      </c>
      <c r="D86" s="21" t="s">
        <v>192</v>
      </c>
      <c r="E86" s="32" t="s">
        <v>234</v>
      </c>
      <c r="F86" s="34"/>
      <c r="G86" s="27">
        <f>G87</f>
        <v>120</v>
      </c>
      <c r="H86" s="204"/>
    </row>
    <row r="87" spans="1:8" ht="31.5">
      <c r="A87" s="26" t="s">
        <v>209</v>
      </c>
      <c r="B87" s="17">
        <v>902</v>
      </c>
      <c r="C87" s="21" t="s">
        <v>170</v>
      </c>
      <c r="D87" s="21" t="s">
        <v>192</v>
      </c>
      <c r="E87" s="21" t="s">
        <v>235</v>
      </c>
      <c r="F87" s="34"/>
      <c r="G87" s="27">
        <f>G88</f>
        <v>120</v>
      </c>
      <c r="H87" s="204"/>
    </row>
    <row r="88" spans="1:8" ht="15.75">
      <c r="A88" s="31" t="s">
        <v>187</v>
      </c>
      <c r="B88" s="17">
        <v>902</v>
      </c>
      <c r="C88" s="21" t="s">
        <v>170</v>
      </c>
      <c r="D88" s="21" t="s">
        <v>192</v>
      </c>
      <c r="E88" s="21" t="s">
        <v>235</v>
      </c>
      <c r="F88" s="34" t="s">
        <v>197</v>
      </c>
      <c r="G88" s="27">
        <f>G89</f>
        <v>120</v>
      </c>
      <c r="H88" s="204"/>
    </row>
    <row r="89" spans="1:9" ht="63">
      <c r="A89" s="31" t="s">
        <v>236</v>
      </c>
      <c r="B89" s="17">
        <v>902</v>
      </c>
      <c r="C89" s="21" t="s">
        <v>170</v>
      </c>
      <c r="D89" s="21" t="s">
        <v>192</v>
      </c>
      <c r="E89" s="21" t="s">
        <v>235</v>
      </c>
      <c r="F89" s="34" t="s">
        <v>212</v>
      </c>
      <c r="G89" s="27">
        <f>100+20</f>
        <v>120</v>
      </c>
      <c r="H89" s="129"/>
      <c r="I89" s="149"/>
    </row>
    <row r="90" spans="1:8" ht="63">
      <c r="A90" s="31" t="s">
        <v>805</v>
      </c>
      <c r="B90" s="17">
        <v>902</v>
      </c>
      <c r="C90" s="21" t="s">
        <v>170</v>
      </c>
      <c r="D90" s="21" t="s">
        <v>192</v>
      </c>
      <c r="E90" s="21" t="s">
        <v>803</v>
      </c>
      <c r="F90" s="34"/>
      <c r="G90" s="27">
        <f>G91</f>
        <v>29</v>
      </c>
      <c r="H90" s="131"/>
    </row>
    <row r="91" spans="1:8" ht="31.5">
      <c r="A91" s="33" t="s">
        <v>209</v>
      </c>
      <c r="B91" s="17">
        <v>902</v>
      </c>
      <c r="C91" s="21" t="s">
        <v>170</v>
      </c>
      <c r="D91" s="21" t="s">
        <v>192</v>
      </c>
      <c r="E91" s="21" t="s">
        <v>811</v>
      </c>
      <c r="F91" s="34"/>
      <c r="G91" s="27">
        <f>G92</f>
        <v>29</v>
      </c>
      <c r="H91" s="131"/>
    </row>
    <row r="92" spans="1:8" ht="31.5">
      <c r="A92" s="26" t="s">
        <v>183</v>
      </c>
      <c r="B92" s="17">
        <v>902</v>
      </c>
      <c r="C92" s="21" t="s">
        <v>170</v>
      </c>
      <c r="D92" s="21" t="s">
        <v>192</v>
      </c>
      <c r="E92" s="21" t="s">
        <v>811</v>
      </c>
      <c r="F92" s="34" t="s">
        <v>184</v>
      </c>
      <c r="G92" s="27">
        <f>G93</f>
        <v>29</v>
      </c>
      <c r="H92" s="131"/>
    </row>
    <row r="93" spans="1:9" ht="47.25">
      <c r="A93" s="26" t="s">
        <v>185</v>
      </c>
      <c r="B93" s="17">
        <v>902</v>
      </c>
      <c r="C93" s="21" t="s">
        <v>170</v>
      </c>
      <c r="D93" s="21" t="s">
        <v>192</v>
      </c>
      <c r="E93" s="21" t="s">
        <v>811</v>
      </c>
      <c r="F93" s="34" t="s">
        <v>186</v>
      </c>
      <c r="G93" s="27">
        <v>29</v>
      </c>
      <c r="H93" s="131"/>
      <c r="I93" s="147"/>
    </row>
    <row r="94" spans="1:8" ht="15.75" hidden="1">
      <c r="A94" s="31"/>
      <c r="B94" s="17"/>
      <c r="C94" s="21"/>
      <c r="D94" s="21"/>
      <c r="E94" s="21"/>
      <c r="F94" s="34"/>
      <c r="G94" s="27"/>
      <c r="H94" s="131"/>
    </row>
    <row r="95" spans="1:8" ht="15.75" hidden="1">
      <c r="A95" s="26"/>
      <c r="B95" s="17"/>
      <c r="C95" s="21"/>
      <c r="D95" s="21"/>
      <c r="E95" s="21"/>
      <c r="F95" s="34"/>
      <c r="G95" s="27"/>
      <c r="H95" s="131"/>
    </row>
    <row r="96" spans="1:9" ht="15.75" hidden="1">
      <c r="A96" s="26"/>
      <c r="B96" s="17"/>
      <c r="C96" s="21"/>
      <c r="D96" s="21"/>
      <c r="E96" s="21"/>
      <c r="F96" s="34"/>
      <c r="G96" s="27"/>
      <c r="H96" s="131"/>
      <c r="I96" s="147"/>
    </row>
    <row r="97" spans="1:8" ht="15.75">
      <c r="A97" s="26" t="s">
        <v>173</v>
      </c>
      <c r="B97" s="17">
        <v>902</v>
      </c>
      <c r="C97" s="21" t="s">
        <v>170</v>
      </c>
      <c r="D97" s="21" t="s">
        <v>192</v>
      </c>
      <c r="E97" s="21" t="s">
        <v>174</v>
      </c>
      <c r="F97" s="21"/>
      <c r="G97" s="27">
        <f>G98+G121</f>
        <v>12340.3</v>
      </c>
      <c r="H97" s="204"/>
    </row>
    <row r="98" spans="1:8" ht="31.5">
      <c r="A98" s="26" t="s">
        <v>237</v>
      </c>
      <c r="B98" s="17">
        <v>902</v>
      </c>
      <c r="C98" s="21" t="s">
        <v>170</v>
      </c>
      <c r="D98" s="21" t="s">
        <v>192</v>
      </c>
      <c r="E98" s="21" t="s">
        <v>238</v>
      </c>
      <c r="F98" s="21"/>
      <c r="G98" s="27">
        <f>G104+G107+G113+G116</f>
        <v>3600.8999999999996</v>
      </c>
      <c r="H98" s="204"/>
    </row>
    <row r="99" spans="1:8" ht="47.25" hidden="1">
      <c r="A99" s="26" t="s">
        <v>239</v>
      </c>
      <c r="B99" s="17">
        <v>902</v>
      </c>
      <c r="C99" s="21" t="s">
        <v>170</v>
      </c>
      <c r="D99" s="21" t="s">
        <v>192</v>
      </c>
      <c r="E99" s="21" t="s">
        <v>240</v>
      </c>
      <c r="F99" s="25"/>
      <c r="G99" s="27">
        <f aca="true" t="shared" si="2" ref="G99">G100+G102</f>
        <v>0</v>
      </c>
      <c r="H99" s="204"/>
    </row>
    <row r="100" spans="1:8" ht="94.5" hidden="1">
      <c r="A100" s="26" t="s">
        <v>179</v>
      </c>
      <c r="B100" s="17">
        <v>902</v>
      </c>
      <c r="C100" s="21" t="s">
        <v>170</v>
      </c>
      <c r="D100" s="21" t="s">
        <v>192</v>
      </c>
      <c r="E100" s="21" t="s">
        <v>240</v>
      </c>
      <c r="F100" s="21" t="s">
        <v>180</v>
      </c>
      <c r="G100" s="27">
        <f>G101</f>
        <v>0</v>
      </c>
      <c r="H100" s="204"/>
    </row>
    <row r="101" spans="1:8" ht="31.5" hidden="1">
      <c r="A101" s="26" t="s">
        <v>181</v>
      </c>
      <c r="B101" s="17">
        <v>902</v>
      </c>
      <c r="C101" s="21" t="s">
        <v>170</v>
      </c>
      <c r="D101" s="21" t="s">
        <v>192</v>
      </c>
      <c r="E101" s="21" t="s">
        <v>240</v>
      </c>
      <c r="F101" s="21" t="s">
        <v>182</v>
      </c>
      <c r="G101" s="27">
        <v>0</v>
      </c>
      <c r="H101" s="204"/>
    </row>
    <row r="102" spans="1:8" ht="31.5" hidden="1">
      <c r="A102" s="26" t="s">
        <v>183</v>
      </c>
      <c r="B102" s="17">
        <v>902</v>
      </c>
      <c r="C102" s="21" t="s">
        <v>170</v>
      </c>
      <c r="D102" s="21" t="s">
        <v>192</v>
      </c>
      <c r="E102" s="21" t="s">
        <v>240</v>
      </c>
      <c r="F102" s="21" t="s">
        <v>184</v>
      </c>
      <c r="G102" s="27">
        <f aca="true" t="shared" si="3" ref="G102">G103</f>
        <v>0</v>
      </c>
      <c r="H102" s="204"/>
    </row>
    <row r="103" spans="1:8" ht="47.25" hidden="1">
      <c r="A103" s="26" t="s">
        <v>185</v>
      </c>
      <c r="B103" s="17">
        <v>902</v>
      </c>
      <c r="C103" s="21" t="s">
        <v>170</v>
      </c>
      <c r="D103" s="21" t="s">
        <v>192</v>
      </c>
      <c r="E103" s="21" t="s">
        <v>240</v>
      </c>
      <c r="F103" s="21" t="s">
        <v>186</v>
      </c>
      <c r="G103" s="27">
        <v>0</v>
      </c>
      <c r="H103" s="204"/>
    </row>
    <row r="104" spans="1:8" ht="47.25">
      <c r="A104" s="33" t="s">
        <v>241</v>
      </c>
      <c r="B104" s="17">
        <v>902</v>
      </c>
      <c r="C104" s="21" t="s">
        <v>170</v>
      </c>
      <c r="D104" s="21" t="s">
        <v>192</v>
      </c>
      <c r="E104" s="21" t="s">
        <v>242</v>
      </c>
      <c r="F104" s="21"/>
      <c r="G104" s="27">
        <f>G105</f>
        <v>701.8</v>
      </c>
      <c r="H104" s="204"/>
    </row>
    <row r="105" spans="1:8" ht="94.5">
      <c r="A105" s="26" t="s">
        <v>179</v>
      </c>
      <c r="B105" s="17">
        <v>902</v>
      </c>
      <c r="C105" s="21" t="s">
        <v>170</v>
      </c>
      <c r="D105" s="21" t="s">
        <v>192</v>
      </c>
      <c r="E105" s="21" t="s">
        <v>242</v>
      </c>
      <c r="F105" s="21" t="s">
        <v>180</v>
      </c>
      <c r="G105" s="27">
        <f>G106</f>
        <v>701.8</v>
      </c>
      <c r="H105" s="204"/>
    </row>
    <row r="106" spans="1:9" ht="31.5">
      <c r="A106" s="26" t="s">
        <v>181</v>
      </c>
      <c r="B106" s="17">
        <v>902</v>
      </c>
      <c r="C106" s="21" t="s">
        <v>170</v>
      </c>
      <c r="D106" s="21" t="s">
        <v>192</v>
      </c>
      <c r="E106" s="21" t="s">
        <v>242</v>
      </c>
      <c r="F106" s="21" t="s">
        <v>182</v>
      </c>
      <c r="G106" s="27">
        <v>701.8</v>
      </c>
      <c r="H106" s="204"/>
      <c r="I106" s="138"/>
    </row>
    <row r="107" spans="1:8" ht="47.25">
      <c r="A107" s="35" t="s">
        <v>243</v>
      </c>
      <c r="B107" s="17">
        <v>902</v>
      </c>
      <c r="C107" s="21" t="s">
        <v>170</v>
      </c>
      <c r="D107" s="21" t="s">
        <v>192</v>
      </c>
      <c r="E107" s="21" t="s">
        <v>244</v>
      </c>
      <c r="F107" s="21"/>
      <c r="G107" s="27">
        <f>G108</f>
        <v>40</v>
      </c>
      <c r="H107" s="204"/>
    </row>
    <row r="108" spans="1:8" ht="31.5">
      <c r="A108" s="26" t="s">
        <v>183</v>
      </c>
      <c r="B108" s="17">
        <v>902</v>
      </c>
      <c r="C108" s="21" t="s">
        <v>170</v>
      </c>
      <c r="D108" s="21" t="s">
        <v>192</v>
      </c>
      <c r="E108" s="21" t="s">
        <v>244</v>
      </c>
      <c r="F108" s="21" t="s">
        <v>184</v>
      </c>
      <c r="G108" s="27">
        <f>G109</f>
        <v>40</v>
      </c>
      <c r="H108" s="204"/>
    </row>
    <row r="109" spans="1:9" ht="47.25">
      <c r="A109" s="26" t="s">
        <v>185</v>
      </c>
      <c r="B109" s="17">
        <v>902</v>
      </c>
      <c r="C109" s="21" t="s">
        <v>170</v>
      </c>
      <c r="D109" s="21" t="s">
        <v>192</v>
      </c>
      <c r="E109" s="21" t="s">
        <v>244</v>
      </c>
      <c r="F109" s="21" t="s">
        <v>186</v>
      </c>
      <c r="G109" s="27">
        <f>36+4</f>
        <v>40</v>
      </c>
      <c r="H109" s="204"/>
      <c r="I109" s="138"/>
    </row>
    <row r="110" spans="1:8" ht="31.5" hidden="1">
      <c r="A110" s="33" t="s">
        <v>245</v>
      </c>
      <c r="B110" s="17">
        <v>902</v>
      </c>
      <c r="C110" s="21" t="s">
        <v>170</v>
      </c>
      <c r="D110" s="21" t="s">
        <v>192</v>
      </c>
      <c r="E110" s="21" t="s">
        <v>244</v>
      </c>
      <c r="F110" s="21"/>
      <c r="G110" s="27">
        <f aca="true" t="shared" si="4" ref="G110:G111">G111</f>
        <v>0</v>
      </c>
      <c r="H110" s="204"/>
    </row>
    <row r="111" spans="1:8" ht="31.5" hidden="1">
      <c r="A111" s="26" t="s">
        <v>183</v>
      </c>
      <c r="B111" s="17">
        <v>902</v>
      </c>
      <c r="C111" s="21" t="s">
        <v>170</v>
      </c>
      <c r="D111" s="21" t="s">
        <v>192</v>
      </c>
      <c r="E111" s="21" t="s">
        <v>244</v>
      </c>
      <c r="F111" s="21" t="s">
        <v>184</v>
      </c>
      <c r="G111" s="27">
        <f t="shared" si="4"/>
        <v>0</v>
      </c>
      <c r="H111" s="204"/>
    </row>
    <row r="112" spans="1:8" ht="47.25" hidden="1">
      <c r="A112" s="26" t="s">
        <v>185</v>
      </c>
      <c r="B112" s="17">
        <v>902</v>
      </c>
      <c r="C112" s="21" t="s">
        <v>170</v>
      </c>
      <c r="D112" s="21" t="s">
        <v>192</v>
      </c>
      <c r="E112" s="21" t="s">
        <v>244</v>
      </c>
      <c r="F112" s="21" t="s">
        <v>186</v>
      </c>
      <c r="G112" s="27"/>
      <c r="H112" s="204"/>
    </row>
    <row r="113" spans="1:8" ht="63">
      <c r="A113" s="33" t="s">
        <v>246</v>
      </c>
      <c r="B113" s="17">
        <v>902</v>
      </c>
      <c r="C113" s="21" t="s">
        <v>170</v>
      </c>
      <c r="D113" s="21" t="s">
        <v>192</v>
      </c>
      <c r="E113" s="21" t="s">
        <v>247</v>
      </c>
      <c r="F113" s="21"/>
      <c r="G113" s="27">
        <f>G114</f>
        <v>1752.9</v>
      </c>
      <c r="H113" s="204"/>
    </row>
    <row r="114" spans="1:8" ht="94.5">
      <c r="A114" s="26" t="s">
        <v>179</v>
      </c>
      <c r="B114" s="17">
        <v>902</v>
      </c>
      <c r="C114" s="21" t="s">
        <v>170</v>
      </c>
      <c r="D114" s="21" t="s">
        <v>192</v>
      </c>
      <c r="E114" s="21" t="s">
        <v>247</v>
      </c>
      <c r="F114" s="21" t="s">
        <v>180</v>
      </c>
      <c r="G114" s="27">
        <f>G115</f>
        <v>1752.9</v>
      </c>
      <c r="H114" s="204"/>
    </row>
    <row r="115" spans="1:8" ht="31.5">
      <c r="A115" s="26" t="s">
        <v>181</v>
      </c>
      <c r="B115" s="17">
        <v>902</v>
      </c>
      <c r="C115" s="21" t="s">
        <v>170</v>
      </c>
      <c r="D115" s="21" t="s">
        <v>192</v>
      </c>
      <c r="E115" s="21" t="s">
        <v>247</v>
      </c>
      <c r="F115" s="21" t="s">
        <v>182</v>
      </c>
      <c r="G115" s="27">
        <v>1752.9</v>
      </c>
      <c r="H115" s="204"/>
    </row>
    <row r="116" spans="1:8" ht="47.25">
      <c r="A116" s="33" t="s">
        <v>248</v>
      </c>
      <c r="B116" s="17">
        <v>902</v>
      </c>
      <c r="C116" s="21" t="s">
        <v>170</v>
      </c>
      <c r="D116" s="21" t="s">
        <v>192</v>
      </c>
      <c r="E116" s="21" t="s">
        <v>249</v>
      </c>
      <c r="F116" s="21"/>
      <c r="G116" s="27">
        <f>G117+G119</f>
        <v>1106.1999999999998</v>
      </c>
      <c r="H116" s="204"/>
    </row>
    <row r="117" spans="1:8" ht="94.5">
      <c r="A117" s="26" t="s">
        <v>179</v>
      </c>
      <c r="B117" s="17">
        <v>902</v>
      </c>
      <c r="C117" s="21" t="s">
        <v>170</v>
      </c>
      <c r="D117" s="21" t="s">
        <v>192</v>
      </c>
      <c r="E117" s="21" t="s">
        <v>249</v>
      </c>
      <c r="F117" s="21" t="s">
        <v>180</v>
      </c>
      <c r="G117" s="27">
        <f>G118</f>
        <v>1073.1</v>
      </c>
      <c r="H117" s="204"/>
    </row>
    <row r="118" spans="1:9" ht="31.5">
      <c r="A118" s="26" t="s">
        <v>181</v>
      </c>
      <c r="B118" s="17">
        <v>902</v>
      </c>
      <c r="C118" s="21" t="s">
        <v>170</v>
      </c>
      <c r="D118" s="21" t="s">
        <v>192</v>
      </c>
      <c r="E118" s="21" t="s">
        <v>249</v>
      </c>
      <c r="F118" s="21" t="s">
        <v>182</v>
      </c>
      <c r="G118" s="27">
        <f>1537-463.9</f>
        <v>1073.1</v>
      </c>
      <c r="H118" s="204"/>
      <c r="I118" s="138"/>
    </row>
    <row r="119" spans="1:8" ht="47.25">
      <c r="A119" s="26" t="s">
        <v>250</v>
      </c>
      <c r="B119" s="17">
        <v>902</v>
      </c>
      <c r="C119" s="21" t="s">
        <v>170</v>
      </c>
      <c r="D119" s="21" t="s">
        <v>192</v>
      </c>
      <c r="E119" s="21" t="s">
        <v>249</v>
      </c>
      <c r="F119" s="21" t="s">
        <v>184</v>
      </c>
      <c r="G119" s="27">
        <f>G120</f>
        <v>33.1</v>
      </c>
      <c r="H119" s="204"/>
    </row>
    <row r="120" spans="1:8" ht="47.25">
      <c r="A120" s="26" t="s">
        <v>185</v>
      </c>
      <c r="B120" s="17">
        <v>902</v>
      </c>
      <c r="C120" s="21" t="s">
        <v>170</v>
      </c>
      <c r="D120" s="21" t="s">
        <v>192</v>
      </c>
      <c r="E120" s="21" t="s">
        <v>249</v>
      </c>
      <c r="F120" s="21" t="s">
        <v>186</v>
      </c>
      <c r="G120" s="27">
        <v>33.1</v>
      </c>
      <c r="H120" s="204"/>
    </row>
    <row r="121" spans="1:8" ht="15.75">
      <c r="A121" s="26" t="s">
        <v>193</v>
      </c>
      <c r="B121" s="17">
        <v>902</v>
      </c>
      <c r="C121" s="21" t="s">
        <v>170</v>
      </c>
      <c r="D121" s="21" t="s">
        <v>192</v>
      </c>
      <c r="E121" s="21" t="s">
        <v>194</v>
      </c>
      <c r="F121" s="21"/>
      <c r="G121" s="27">
        <f>G134+G139+G144</f>
        <v>8739.4</v>
      </c>
      <c r="H121" s="204"/>
    </row>
    <row r="122" spans="1:8" ht="15.75" hidden="1">
      <c r="A122" s="26" t="s">
        <v>251</v>
      </c>
      <c r="B122" s="17">
        <v>902</v>
      </c>
      <c r="C122" s="21" t="s">
        <v>170</v>
      </c>
      <c r="D122" s="21" t="s">
        <v>192</v>
      </c>
      <c r="E122" s="21" t="s">
        <v>252</v>
      </c>
      <c r="F122" s="21"/>
      <c r="G122" s="27">
        <f aca="true" t="shared" si="5" ref="G122:G123">G123</f>
        <v>0</v>
      </c>
      <c r="H122" s="204"/>
    </row>
    <row r="123" spans="1:8" ht="33" customHeight="1" hidden="1">
      <c r="A123" s="26" t="s">
        <v>250</v>
      </c>
      <c r="B123" s="17">
        <v>902</v>
      </c>
      <c r="C123" s="21" t="s">
        <v>170</v>
      </c>
      <c r="D123" s="21" t="s">
        <v>192</v>
      </c>
      <c r="E123" s="21" t="s">
        <v>252</v>
      </c>
      <c r="F123" s="21" t="s">
        <v>184</v>
      </c>
      <c r="G123" s="27">
        <f t="shared" si="5"/>
        <v>0</v>
      </c>
      <c r="H123" s="204"/>
    </row>
    <row r="124" spans="1:8" ht="47.25" hidden="1">
      <c r="A124" s="26" t="s">
        <v>185</v>
      </c>
      <c r="B124" s="17">
        <v>902</v>
      </c>
      <c r="C124" s="21" t="s">
        <v>170</v>
      </c>
      <c r="D124" s="21" t="s">
        <v>192</v>
      </c>
      <c r="E124" s="21" t="s">
        <v>252</v>
      </c>
      <c r="F124" s="21" t="s">
        <v>186</v>
      </c>
      <c r="G124" s="27">
        <v>0</v>
      </c>
      <c r="H124" s="204"/>
    </row>
    <row r="125" spans="1:8" ht="15.75" hidden="1">
      <c r="A125" s="26" t="s">
        <v>253</v>
      </c>
      <c r="B125" s="17">
        <v>902</v>
      </c>
      <c r="C125" s="21" t="s">
        <v>170</v>
      </c>
      <c r="D125" s="21" t="s">
        <v>192</v>
      </c>
      <c r="E125" s="21" t="s">
        <v>254</v>
      </c>
      <c r="F125" s="25"/>
      <c r="G125" s="27">
        <f aca="true" t="shared" si="6" ref="G125:G126">G126</f>
        <v>0</v>
      </c>
      <c r="H125" s="204"/>
    </row>
    <row r="126" spans="1:8" ht="47.25" hidden="1">
      <c r="A126" s="26" t="s">
        <v>250</v>
      </c>
      <c r="B126" s="17">
        <v>902</v>
      </c>
      <c r="C126" s="21" t="s">
        <v>170</v>
      </c>
      <c r="D126" s="21" t="s">
        <v>192</v>
      </c>
      <c r="E126" s="21" t="s">
        <v>254</v>
      </c>
      <c r="F126" s="21" t="s">
        <v>184</v>
      </c>
      <c r="G126" s="27">
        <f t="shared" si="6"/>
        <v>0</v>
      </c>
      <c r="H126" s="204"/>
    </row>
    <row r="127" spans="1:8" ht="47.25" hidden="1">
      <c r="A127" s="26" t="s">
        <v>185</v>
      </c>
      <c r="B127" s="17">
        <v>902</v>
      </c>
      <c r="C127" s="21" t="s">
        <v>170</v>
      </c>
      <c r="D127" s="21" t="s">
        <v>192</v>
      </c>
      <c r="E127" s="21" t="s">
        <v>254</v>
      </c>
      <c r="F127" s="21" t="s">
        <v>186</v>
      </c>
      <c r="G127" s="27">
        <v>0</v>
      </c>
      <c r="H127" s="204"/>
    </row>
    <row r="128" spans="1:8" ht="31.5" hidden="1">
      <c r="A128" s="26" t="s">
        <v>255</v>
      </c>
      <c r="B128" s="17">
        <v>902</v>
      </c>
      <c r="C128" s="21" t="s">
        <v>170</v>
      </c>
      <c r="D128" s="21" t="s">
        <v>192</v>
      </c>
      <c r="E128" s="21" t="s">
        <v>256</v>
      </c>
      <c r="F128" s="21"/>
      <c r="G128" s="27">
        <f aca="true" t="shared" si="7" ref="G128:G129">G129</f>
        <v>0</v>
      </c>
      <c r="H128" s="204"/>
    </row>
    <row r="129" spans="1:8" ht="47.25" hidden="1">
      <c r="A129" s="26" t="s">
        <v>250</v>
      </c>
      <c r="B129" s="17">
        <v>902</v>
      </c>
      <c r="C129" s="21" t="s">
        <v>170</v>
      </c>
      <c r="D129" s="21" t="s">
        <v>192</v>
      </c>
      <c r="E129" s="21" t="s">
        <v>256</v>
      </c>
      <c r="F129" s="21" t="s">
        <v>184</v>
      </c>
      <c r="G129" s="27">
        <f t="shared" si="7"/>
        <v>0</v>
      </c>
      <c r="H129" s="204"/>
    </row>
    <row r="130" spans="1:8" ht="47.25" hidden="1">
      <c r="A130" s="26" t="s">
        <v>185</v>
      </c>
      <c r="B130" s="17">
        <v>902</v>
      </c>
      <c r="C130" s="21" t="s">
        <v>170</v>
      </c>
      <c r="D130" s="21" t="s">
        <v>192</v>
      </c>
      <c r="E130" s="21" t="s">
        <v>256</v>
      </c>
      <c r="F130" s="21" t="s">
        <v>186</v>
      </c>
      <c r="G130" s="27">
        <v>0</v>
      </c>
      <c r="H130" s="204"/>
    </row>
    <row r="131" spans="1:8" ht="15.75" hidden="1">
      <c r="A131" s="26" t="s">
        <v>231</v>
      </c>
      <c r="B131" s="17">
        <v>902</v>
      </c>
      <c r="C131" s="21" t="s">
        <v>170</v>
      </c>
      <c r="D131" s="21" t="s">
        <v>192</v>
      </c>
      <c r="E131" s="21" t="s">
        <v>257</v>
      </c>
      <c r="F131" s="21"/>
      <c r="G131" s="27">
        <f aca="true" t="shared" si="8" ref="G131:G132">G132</f>
        <v>0</v>
      </c>
      <c r="H131" s="204"/>
    </row>
    <row r="132" spans="1:8" ht="47.25" hidden="1">
      <c r="A132" s="26" t="s">
        <v>250</v>
      </c>
      <c r="B132" s="17">
        <v>902</v>
      </c>
      <c r="C132" s="21" t="s">
        <v>170</v>
      </c>
      <c r="D132" s="21" t="s">
        <v>192</v>
      </c>
      <c r="E132" s="21" t="s">
        <v>257</v>
      </c>
      <c r="F132" s="21" t="s">
        <v>184</v>
      </c>
      <c r="G132" s="27">
        <f t="shared" si="8"/>
        <v>0</v>
      </c>
      <c r="H132" s="204"/>
    </row>
    <row r="133" spans="1:8" ht="47.25" hidden="1">
      <c r="A133" s="26" t="s">
        <v>185</v>
      </c>
      <c r="B133" s="17">
        <v>902</v>
      </c>
      <c r="C133" s="21" t="s">
        <v>170</v>
      </c>
      <c r="D133" s="21" t="s">
        <v>192</v>
      </c>
      <c r="E133" s="21" t="s">
        <v>257</v>
      </c>
      <c r="F133" s="21" t="s">
        <v>186</v>
      </c>
      <c r="G133" s="27">
        <v>0</v>
      </c>
      <c r="H133" s="204"/>
    </row>
    <row r="134" spans="1:8" ht="31.5">
      <c r="A134" s="26" t="s">
        <v>258</v>
      </c>
      <c r="B134" s="17">
        <v>902</v>
      </c>
      <c r="C134" s="21" t="s">
        <v>170</v>
      </c>
      <c r="D134" s="21" t="s">
        <v>192</v>
      </c>
      <c r="E134" s="21" t="s">
        <v>259</v>
      </c>
      <c r="F134" s="21"/>
      <c r="G134" s="27">
        <f>G135+G137</f>
        <v>6126.7</v>
      </c>
      <c r="H134" s="204"/>
    </row>
    <row r="135" spans="1:8" ht="94.5">
      <c r="A135" s="26" t="s">
        <v>179</v>
      </c>
      <c r="B135" s="17">
        <v>902</v>
      </c>
      <c r="C135" s="21" t="s">
        <v>170</v>
      </c>
      <c r="D135" s="21" t="s">
        <v>192</v>
      </c>
      <c r="E135" s="21" t="s">
        <v>259</v>
      </c>
      <c r="F135" s="21" t="s">
        <v>180</v>
      </c>
      <c r="G135" s="27">
        <f>G136</f>
        <v>4952</v>
      </c>
      <c r="H135" s="204"/>
    </row>
    <row r="136" spans="1:8" ht="31.5">
      <c r="A136" s="26" t="s">
        <v>260</v>
      </c>
      <c r="B136" s="17">
        <v>902</v>
      </c>
      <c r="C136" s="21" t="s">
        <v>170</v>
      </c>
      <c r="D136" s="21" t="s">
        <v>192</v>
      </c>
      <c r="E136" s="21" t="s">
        <v>259</v>
      </c>
      <c r="F136" s="21" t="s">
        <v>261</v>
      </c>
      <c r="G136" s="28">
        <f>5174.7-222.7</f>
        <v>4952</v>
      </c>
      <c r="H136" s="204"/>
    </row>
    <row r="137" spans="1:8" ht="47.25">
      <c r="A137" s="26" t="s">
        <v>250</v>
      </c>
      <c r="B137" s="17">
        <v>902</v>
      </c>
      <c r="C137" s="21" t="s">
        <v>170</v>
      </c>
      <c r="D137" s="21" t="s">
        <v>192</v>
      </c>
      <c r="E137" s="21" t="s">
        <v>259</v>
      </c>
      <c r="F137" s="21" t="s">
        <v>184</v>
      </c>
      <c r="G137" s="27">
        <f>G138</f>
        <v>1174.7</v>
      </c>
      <c r="H137" s="204"/>
    </row>
    <row r="138" spans="1:9" ht="47.25">
      <c r="A138" s="26" t="s">
        <v>185</v>
      </c>
      <c r="B138" s="17">
        <v>902</v>
      </c>
      <c r="C138" s="21" t="s">
        <v>170</v>
      </c>
      <c r="D138" s="21" t="s">
        <v>192</v>
      </c>
      <c r="E138" s="21" t="s">
        <v>259</v>
      </c>
      <c r="F138" s="21" t="s">
        <v>186</v>
      </c>
      <c r="G138" s="28">
        <f>724.7+450</f>
        <v>1174.7</v>
      </c>
      <c r="H138" s="204"/>
      <c r="I138" s="138"/>
    </row>
    <row r="139" spans="1:8" ht="47.25">
      <c r="A139" s="26" t="s">
        <v>262</v>
      </c>
      <c r="B139" s="17">
        <v>902</v>
      </c>
      <c r="C139" s="21" t="s">
        <v>170</v>
      </c>
      <c r="D139" s="21" t="s">
        <v>192</v>
      </c>
      <c r="E139" s="21" t="s">
        <v>263</v>
      </c>
      <c r="F139" s="21"/>
      <c r="G139" s="27">
        <f>G140+G142</f>
        <v>2520.4</v>
      </c>
      <c r="H139" s="204"/>
    </row>
    <row r="140" spans="1:8" ht="94.5">
      <c r="A140" s="26" t="s">
        <v>179</v>
      </c>
      <c r="B140" s="17">
        <v>902</v>
      </c>
      <c r="C140" s="21" t="s">
        <v>170</v>
      </c>
      <c r="D140" s="21" t="s">
        <v>192</v>
      </c>
      <c r="E140" s="21" t="s">
        <v>263</v>
      </c>
      <c r="F140" s="21" t="s">
        <v>180</v>
      </c>
      <c r="G140" s="27">
        <f>G141</f>
        <v>1895</v>
      </c>
      <c r="H140" s="204"/>
    </row>
    <row r="141" spans="1:9" ht="31.5">
      <c r="A141" s="26" t="s">
        <v>181</v>
      </c>
      <c r="B141" s="17">
        <v>902</v>
      </c>
      <c r="C141" s="21" t="s">
        <v>170</v>
      </c>
      <c r="D141" s="21" t="s">
        <v>192</v>
      </c>
      <c r="E141" s="21" t="s">
        <v>263</v>
      </c>
      <c r="F141" s="21" t="s">
        <v>182</v>
      </c>
      <c r="G141" s="28">
        <f>1952.2-57.2</f>
        <v>1895</v>
      </c>
      <c r="H141" s="204"/>
      <c r="I141" s="138"/>
    </row>
    <row r="142" spans="1:8" ht="47.25">
      <c r="A142" s="26" t="s">
        <v>250</v>
      </c>
      <c r="B142" s="17">
        <v>902</v>
      </c>
      <c r="C142" s="21" t="s">
        <v>170</v>
      </c>
      <c r="D142" s="21" t="s">
        <v>192</v>
      </c>
      <c r="E142" s="21" t="s">
        <v>263</v>
      </c>
      <c r="F142" s="21" t="s">
        <v>184</v>
      </c>
      <c r="G142" s="27">
        <f>G143</f>
        <v>625.4</v>
      </c>
      <c r="H142" s="204"/>
    </row>
    <row r="143" spans="1:8" ht="47.25">
      <c r="A143" s="26" t="s">
        <v>185</v>
      </c>
      <c r="B143" s="17">
        <v>902</v>
      </c>
      <c r="C143" s="21" t="s">
        <v>170</v>
      </c>
      <c r="D143" s="21" t="s">
        <v>192</v>
      </c>
      <c r="E143" s="21" t="s">
        <v>263</v>
      </c>
      <c r="F143" s="21" t="s">
        <v>186</v>
      </c>
      <c r="G143" s="27">
        <f>821.9-196.5</f>
        <v>625.4</v>
      </c>
      <c r="H143" s="204"/>
    </row>
    <row r="144" spans="1:8" ht="15.75">
      <c r="A144" s="47" t="s">
        <v>195</v>
      </c>
      <c r="B144" s="17">
        <v>902</v>
      </c>
      <c r="C144" s="21" t="s">
        <v>170</v>
      </c>
      <c r="D144" s="21" t="s">
        <v>192</v>
      </c>
      <c r="E144" s="21" t="s">
        <v>196</v>
      </c>
      <c r="F144" s="21"/>
      <c r="G144" s="27">
        <f>G145</f>
        <v>92.3</v>
      </c>
      <c r="H144" s="204"/>
    </row>
    <row r="145" spans="1:8" ht="15.75">
      <c r="A145" s="26" t="s">
        <v>187</v>
      </c>
      <c r="B145" s="17">
        <v>902</v>
      </c>
      <c r="C145" s="21" t="s">
        <v>170</v>
      </c>
      <c r="D145" s="21" t="s">
        <v>192</v>
      </c>
      <c r="E145" s="21" t="s">
        <v>196</v>
      </c>
      <c r="F145" s="21" t="s">
        <v>197</v>
      </c>
      <c r="G145" s="27">
        <f>G146</f>
        <v>92.3</v>
      </c>
      <c r="H145" s="204"/>
    </row>
    <row r="146" spans="1:8" ht="15.75">
      <c r="A146" s="26" t="s">
        <v>198</v>
      </c>
      <c r="B146" s="17">
        <v>902</v>
      </c>
      <c r="C146" s="21" t="s">
        <v>170</v>
      </c>
      <c r="D146" s="21" t="s">
        <v>192</v>
      </c>
      <c r="E146" s="21" t="s">
        <v>196</v>
      </c>
      <c r="F146" s="21" t="s">
        <v>199</v>
      </c>
      <c r="G146" s="27">
        <v>92.3</v>
      </c>
      <c r="H146" s="129"/>
    </row>
    <row r="147" spans="1:8" ht="15.75" hidden="1">
      <c r="A147" s="24" t="s">
        <v>264</v>
      </c>
      <c r="B147" s="20">
        <v>902</v>
      </c>
      <c r="C147" s="25" t="s">
        <v>265</v>
      </c>
      <c r="D147" s="25"/>
      <c r="E147" s="25"/>
      <c r="F147" s="25"/>
      <c r="G147" s="22">
        <f aca="true" t="shared" si="9" ref="G147">G148+G154</f>
        <v>0</v>
      </c>
      <c r="H147" s="204"/>
    </row>
    <row r="148" spans="1:8" ht="31.5" hidden="1">
      <c r="A148" s="24" t="s">
        <v>266</v>
      </c>
      <c r="B148" s="20">
        <v>902</v>
      </c>
      <c r="C148" s="25" t="s">
        <v>265</v>
      </c>
      <c r="D148" s="25" t="s">
        <v>267</v>
      </c>
      <c r="E148" s="25"/>
      <c r="F148" s="25"/>
      <c r="G148" s="22">
        <f aca="true" t="shared" si="10" ref="G148:G152">G149</f>
        <v>0</v>
      </c>
      <c r="H148" s="204"/>
    </row>
    <row r="149" spans="1:8" ht="15.75" hidden="1">
      <c r="A149" s="26" t="s">
        <v>173</v>
      </c>
      <c r="B149" s="17">
        <v>902</v>
      </c>
      <c r="C149" s="21" t="s">
        <v>265</v>
      </c>
      <c r="D149" s="21" t="s">
        <v>267</v>
      </c>
      <c r="E149" s="21" t="s">
        <v>174</v>
      </c>
      <c r="F149" s="21"/>
      <c r="G149" s="27">
        <f t="shared" si="10"/>
        <v>0</v>
      </c>
      <c r="H149" s="204"/>
    </row>
    <row r="150" spans="1:8" ht="31.5" hidden="1">
      <c r="A150" s="26" t="s">
        <v>237</v>
      </c>
      <c r="B150" s="17">
        <v>902</v>
      </c>
      <c r="C150" s="21" t="s">
        <v>265</v>
      </c>
      <c r="D150" s="21" t="s">
        <v>267</v>
      </c>
      <c r="E150" s="21" t="s">
        <v>238</v>
      </c>
      <c r="F150" s="21"/>
      <c r="G150" s="27">
        <f t="shared" si="10"/>
        <v>0</v>
      </c>
      <c r="H150" s="204"/>
    </row>
    <row r="151" spans="1:8" ht="47.25" hidden="1">
      <c r="A151" s="26" t="s">
        <v>268</v>
      </c>
      <c r="B151" s="17">
        <v>902</v>
      </c>
      <c r="C151" s="21" t="s">
        <v>265</v>
      </c>
      <c r="D151" s="21" t="s">
        <v>267</v>
      </c>
      <c r="E151" s="21" t="s">
        <v>269</v>
      </c>
      <c r="F151" s="21"/>
      <c r="G151" s="27">
        <f t="shared" si="10"/>
        <v>0</v>
      </c>
      <c r="H151" s="204"/>
    </row>
    <row r="152" spans="1:8" ht="94.5" hidden="1">
      <c r="A152" s="26" t="s">
        <v>179</v>
      </c>
      <c r="B152" s="17">
        <v>902</v>
      </c>
      <c r="C152" s="21" t="s">
        <v>265</v>
      </c>
      <c r="D152" s="21" t="s">
        <v>267</v>
      </c>
      <c r="E152" s="21" t="s">
        <v>269</v>
      </c>
      <c r="F152" s="21" t="s">
        <v>180</v>
      </c>
      <c r="G152" s="27">
        <f t="shared" si="10"/>
        <v>0</v>
      </c>
      <c r="H152" s="204"/>
    </row>
    <row r="153" spans="1:8" ht="31.5" hidden="1">
      <c r="A153" s="26" t="s">
        <v>181</v>
      </c>
      <c r="B153" s="17">
        <v>902</v>
      </c>
      <c r="C153" s="21" t="s">
        <v>265</v>
      </c>
      <c r="D153" s="21" t="s">
        <v>267</v>
      </c>
      <c r="E153" s="21" t="s">
        <v>269</v>
      </c>
      <c r="F153" s="21" t="s">
        <v>182</v>
      </c>
      <c r="G153" s="28"/>
      <c r="H153" s="204"/>
    </row>
    <row r="154" spans="1:8" ht="31.5" hidden="1">
      <c r="A154" s="24" t="s">
        <v>270</v>
      </c>
      <c r="B154" s="20">
        <v>902</v>
      </c>
      <c r="C154" s="25" t="s">
        <v>265</v>
      </c>
      <c r="D154" s="25" t="s">
        <v>271</v>
      </c>
      <c r="E154" s="25"/>
      <c r="F154" s="25"/>
      <c r="G154" s="27">
        <f aca="true" t="shared" si="11" ref="G154:G157">G155</f>
        <v>0</v>
      </c>
      <c r="H154" s="204"/>
    </row>
    <row r="155" spans="1:8" ht="15.75" hidden="1">
      <c r="A155" s="26" t="s">
        <v>173</v>
      </c>
      <c r="B155" s="17">
        <v>902</v>
      </c>
      <c r="C155" s="21" t="s">
        <v>265</v>
      </c>
      <c r="D155" s="21" t="s">
        <v>271</v>
      </c>
      <c r="E155" s="21" t="s">
        <v>174</v>
      </c>
      <c r="F155" s="21"/>
      <c r="G155" s="27">
        <f t="shared" si="11"/>
        <v>0</v>
      </c>
      <c r="H155" s="204"/>
    </row>
    <row r="156" spans="1:8" ht="31.5" hidden="1">
      <c r="A156" s="26" t="s">
        <v>272</v>
      </c>
      <c r="B156" s="17">
        <v>902</v>
      </c>
      <c r="C156" s="21" t="s">
        <v>265</v>
      </c>
      <c r="D156" s="21" t="s">
        <v>271</v>
      </c>
      <c r="E156" s="21" t="s">
        <v>273</v>
      </c>
      <c r="F156" s="21"/>
      <c r="G156" s="27">
        <f t="shared" si="11"/>
        <v>0</v>
      </c>
      <c r="H156" s="204"/>
    </row>
    <row r="157" spans="1:8" ht="47.25" hidden="1">
      <c r="A157" s="26" t="s">
        <v>250</v>
      </c>
      <c r="B157" s="17">
        <v>902</v>
      </c>
      <c r="C157" s="21" t="s">
        <v>265</v>
      </c>
      <c r="D157" s="21" t="s">
        <v>271</v>
      </c>
      <c r="E157" s="21" t="s">
        <v>273</v>
      </c>
      <c r="F157" s="21" t="s">
        <v>184</v>
      </c>
      <c r="G157" s="27">
        <f t="shared" si="11"/>
        <v>0</v>
      </c>
      <c r="H157" s="204"/>
    </row>
    <row r="158" spans="1:8" ht="47.25" hidden="1">
      <c r="A158" s="26" t="s">
        <v>185</v>
      </c>
      <c r="B158" s="17">
        <v>902</v>
      </c>
      <c r="C158" s="21" t="s">
        <v>265</v>
      </c>
      <c r="D158" s="21" t="s">
        <v>271</v>
      </c>
      <c r="E158" s="21" t="s">
        <v>273</v>
      </c>
      <c r="F158" s="21" t="s">
        <v>186</v>
      </c>
      <c r="G158" s="27">
        <v>0</v>
      </c>
      <c r="H158" s="204"/>
    </row>
    <row r="159" spans="1:8" ht="31.5">
      <c r="A159" s="24" t="s">
        <v>274</v>
      </c>
      <c r="B159" s="20">
        <v>902</v>
      </c>
      <c r="C159" s="25" t="s">
        <v>267</v>
      </c>
      <c r="D159" s="25"/>
      <c r="E159" s="25"/>
      <c r="F159" s="25"/>
      <c r="G159" s="22">
        <f>G160</f>
        <v>7159.400000000001</v>
      </c>
      <c r="H159" s="204"/>
    </row>
    <row r="160" spans="1:8" ht="63">
      <c r="A160" s="24" t="s">
        <v>275</v>
      </c>
      <c r="B160" s="20">
        <v>902</v>
      </c>
      <c r="C160" s="25" t="s">
        <v>267</v>
      </c>
      <c r="D160" s="25" t="s">
        <v>271</v>
      </c>
      <c r="E160" s="21"/>
      <c r="F160" s="21"/>
      <c r="G160" s="22">
        <f>G161</f>
        <v>7159.400000000001</v>
      </c>
      <c r="H160" s="204"/>
    </row>
    <row r="161" spans="1:8" ht="15.75">
      <c r="A161" s="26" t="s">
        <v>173</v>
      </c>
      <c r="B161" s="17">
        <v>902</v>
      </c>
      <c r="C161" s="21" t="s">
        <v>267</v>
      </c>
      <c r="D161" s="21" t="s">
        <v>271</v>
      </c>
      <c r="E161" s="21" t="s">
        <v>174</v>
      </c>
      <c r="F161" s="21"/>
      <c r="G161" s="27">
        <f>G162</f>
        <v>7159.400000000001</v>
      </c>
      <c r="H161" s="204"/>
    </row>
    <row r="162" spans="1:8" ht="15.75">
      <c r="A162" s="26" t="s">
        <v>193</v>
      </c>
      <c r="B162" s="17">
        <v>902</v>
      </c>
      <c r="C162" s="21" t="s">
        <v>267</v>
      </c>
      <c r="D162" s="21" t="s">
        <v>271</v>
      </c>
      <c r="E162" s="21" t="s">
        <v>194</v>
      </c>
      <c r="F162" s="21"/>
      <c r="G162" s="27">
        <f>G163+G169+G174</f>
        <v>7159.400000000001</v>
      </c>
      <c r="H162" s="204"/>
    </row>
    <row r="163" spans="1:8" ht="47.25">
      <c r="A163" s="26" t="s">
        <v>276</v>
      </c>
      <c r="B163" s="17">
        <v>902</v>
      </c>
      <c r="C163" s="21" t="s">
        <v>267</v>
      </c>
      <c r="D163" s="21" t="s">
        <v>271</v>
      </c>
      <c r="E163" s="21" t="s">
        <v>277</v>
      </c>
      <c r="F163" s="21"/>
      <c r="G163" s="27">
        <f>G164</f>
        <v>2064.1</v>
      </c>
      <c r="H163" s="204"/>
    </row>
    <row r="164" spans="1:8" ht="47.25">
      <c r="A164" s="26" t="s">
        <v>250</v>
      </c>
      <c r="B164" s="17">
        <v>902</v>
      </c>
      <c r="C164" s="21" t="s">
        <v>267</v>
      </c>
      <c r="D164" s="21" t="s">
        <v>271</v>
      </c>
      <c r="E164" s="21" t="s">
        <v>277</v>
      </c>
      <c r="F164" s="21" t="s">
        <v>184</v>
      </c>
      <c r="G164" s="27">
        <f>G165</f>
        <v>2064.1</v>
      </c>
      <c r="H164" s="204"/>
    </row>
    <row r="165" spans="1:9" ht="47.25">
      <c r="A165" s="26" t="s">
        <v>185</v>
      </c>
      <c r="B165" s="17">
        <v>902</v>
      </c>
      <c r="C165" s="21" t="s">
        <v>267</v>
      </c>
      <c r="D165" s="21" t="s">
        <v>271</v>
      </c>
      <c r="E165" s="21" t="s">
        <v>277</v>
      </c>
      <c r="F165" s="21" t="s">
        <v>186</v>
      </c>
      <c r="G165" s="185">
        <f>1908.4+354-98.3-100</f>
        <v>2064.1</v>
      </c>
      <c r="H165" s="129" t="s">
        <v>817</v>
      </c>
      <c r="I165" s="148"/>
    </row>
    <row r="166" spans="1:8" ht="15.75" hidden="1">
      <c r="A166" s="26" t="s">
        <v>278</v>
      </c>
      <c r="B166" s="17">
        <v>902</v>
      </c>
      <c r="C166" s="21" t="s">
        <v>267</v>
      </c>
      <c r="D166" s="21" t="s">
        <v>271</v>
      </c>
      <c r="E166" s="21" t="s">
        <v>279</v>
      </c>
      <c r="F166" s="21"/>
      <c r="G166" s="27">
        <f>G167</f>
        <v>0</v>
      </c>
      <c r="H166" s="204"/>
    </row>
    <row r="167" spans="1:8" ht="47.25" hidden="1">
      <c r="A167" s="26" t="s">
        <v>250</v>
      </c>
      <c r="B167" s="17">
        <v>902</v>
      </c>
      <c r="C167" s="21" t="s">
        <v>267</v>
      </c>
      <c r="D167" s="21" t="s">
        <v>271</v>
      </c>
      <c r="E167" s="21" t="s">
        <v>279</v>
      </c>
      <c r="F167" s="21" t="s">
        <v>184</v>
      </c>
      <c r="G167" s="27">
        <f>G168</f>
        <v>0</v>
      </c>
      <c r="H167" s="204"/>
    </row>
    <row r="168" spans="1:8" ht="47.25" hidden="1">
      <c r="A168" s="26" t="s">
        <v>185</v>
      </c>
      <c r="B168" s="17">
        <v>902</v>
      </c>
      <c r="C168" s="21" t="s">
        <v>267</v>
      </c>
      <c r="D168" s="21" t="s">
        <v>271</v>
      </c>
      <c r="E168" s="21" t="s">
        <v>279</v>
      </c>
      <c r="F168" s="21" t="s">
        <v>186</v>
      </c>
      <c r="G168" s="27">
        <v>0</v>
      </c>
      <c r="H168" s="204"/>
    </row>
    <row r="169" spans="1:8" ht="31.5">
      <c r="A169" s="26" t="s">
        <v>280</v>
      </c>
      <c r="B169" s="17">
        <v>902</v>
      </c>
      <c r="C169" s="21" t="s">
        <v>267</v>
      </c>
      <c r="D169" s="21" t="s">
        <v>271</v>
      </c>
      <c r="E169" s="21" t="s">
        <v>281</v>
      </c>
      <c r="F169" s="21"/>
      <c r="G169" s="27">
        <f>G170+G172</f>
        <v>4997</v>
      </c>
      <c r="H169" s="204"/>
    </row>
    <row r="170" spans="1:8" ht="94.5">
      <c r="A170" s="26" t="s">
        <v>179</v>
      </c>
      <c r="B170" s="17">
        <v>902</v>
      </c>
      <c r="C170" s="21" t="s">
        <v>267</v>
      </c>
      <c r="D170" s="21" t="s">
        <v>271</v>
      </c>
      <c r="E170" s="21" t="s">
        <v>281</v>
      </c>
      <c r="F170" s="21" t="s">
        <v>180</v>
      </c>
      <c r="G170" s="27">
        <f>G171</f>
        <v>4692.3</v>
      </c>
      <c r="H170" s="204"/>
    </row>
    <row r="171" spans="1:8" ht="31.5">
      <c r="A171" s="26" t="s">
        <v>260</v>
      </c>
      <c r="B171" s="17">
        <v>902</v>
      </c>
      <c r="C171" s="21" t="s">
        <v>267</v>
      </c>
      <c r="D171" s="21" t="s">
        <v>271</v>
      </c>
      <c r="E171" s="21" t="s">
        <v>281</v>
      </c>
      <c r="F171" s="21" t="s">
        <v>261</v>
      </c>
      <c r="G171" s="28">
        <f>4586.3+106</f>
        <v>4692.3</v>
      </c>
      <c r="H171" s="204"/>
    </row>
    <row r="172" spans="1:8" ht="47.25">
      <c r="A172" s="26" t="s">
        <v>250</v>
      </c>
      <c r="B172" s="17">
        <v>902</v>
      </c>
      <c r="C172" s="21" t="s">
        <v>267</v>
      </c>
      <c r="D172" s="21" t="s">
        <v>271</v>
      </c>
      <c r="E172" s="21" t="s">
        <v>281</v>
      </c>
      <c r="F172" s="21" t="s">
        <v>184</v>
      </c>
      <c r="G172" s="27">
        <f>G173</f>
        <v>304.7</v>
      </c>
      <c r="H172" s="204"/>
    </row>
    <row r="173" spans="1:8" ht="47.25">
      <c r="A173" s="26" t="s">
        <v>185</v>
      </c>
      <c r="B173" s="17">
        <v>902</v>
      </c>
      <c r="C173" s="21" t="s">
        <v>267</v>
      </c>
      <c r="D173" s="21" t="s">
        <v>271</v>
      </c>
      <c r="E173" s="21" t="s">
        <v>281</v>
      </c>
      <c r="F173" s="21" t="s">
        <v>186</v>
      </c>
      <c r="G173" s="182">
        <f>204.7+100</f>
        <v>304.7</v>
      </c>
      <c r="H173" s="183" t="s">
        <v>818</v>
      </c>
    </row>
    <row r="174" spans="1:8" ht="15.75">
      <c r="A174" s="26" t="s">
        <v>282</v>
      </c>
      <c r="B174" s="17">
        <v>902</v>
      </c>
      <c r="C174" s="21" t="s">
        <v>267</v>
      </c>
      <c r="D174" s="21" t="s">
        <v>271</v>
      </c>
      <c r="E174" s="21" t="s">
        <v>283</v>
      </c>
      <c r="F174" s="21"/>
      <c r="G174" s="28">
        <f aca="true" t="shared" si="12" ref="G174:G175">G175</f>
        <v>98.3</v>
      </c>
      <c r="H174" s="204"/>
    </row>
    <row r="175" spans="1:8" ht="47.25">
      <c r="A175" s="26" t="s">
        <v>250</v>
      </c>
      <c r="B175" s="17">
        <v>902</v>
      </c>
      <c r="C175" s="21" t="s">
        <v>267</v>
      </c>
      <c r="D175" s="21" t="s">
        <v>271</v>
      </c>
      <c r="E175" s="21" t="s">
        <v>283</v>
      </c>
      <c r="F175" s="21" t="s">
        <v>184</v>
      </c>
      <c r="G175" s="28">
        <f t="shared" si="12"/>
        <v>98.3</v>
      </c>
      <c r="H175" s="204"/>
    </row>
    <row r="176" spans="1:9" ht="47.25">
      <c r="A176" s="26" t="s">
        <v>185</v>
      </c>
      <c r="B176" s="17">
        <v>902</v>
      </c>
      <c r="C176" s="21" t="s">
        <v>267</v>
      </c>
      <c r="D176" s="21" t="s">
        <v>271</v>
      </c>
      <c r="E176" s="21" t="s">
        <v>283</v>
      </c>
      <c r="F176" s="21" t="s">
        <v>186</v>
      </c>
      <c r="G176" s="28">
        <v>98.3</v>
      </c>
      <c r="H176" s="129"/>
      <c r="I176" s="147"/>
    </row>
    <row r="177" spans="1:8" ht="15.75">
      <c r="A177" s="24" t="s">
        <v>284</v>
      </c>
      <c r="B177" s="20">
        <v>902</v>
      </c>
      <c r="C177" s="25" t="s">
        <v>202</v>
      </c>
      <c r="D177" s="25"/>
      <c r="E177" s="25"/>
      <c r="F177" s="21"/>
      <c r="G177" s="22">
        <f aca="true" t="shared" si="13" ref="G177">G184+G178</f>
        <v>1821.3999999999999</v>
      </c>
      <c r="H177" s="204"/>
    </row>
    <row r="178" spans="1:8" ht="15.75">
      <c r="A178" s="24" t="s">
        <v>285</v>
      </c>
      <c r="B178" s="20">
        <v>902</v>
      </c>
      <c r="C178" s="25" t="s">
        <v>202</v>
      </c>
      <c r="D178" s="25" t="s">
        <v>286</v>
      </c>
      <c r="E178" s="25"/>
      <c r="F178" s="21"/>
      <c r="G178" s="22">
        <f>G179</f>
        <v>450</v>
      </c>
      <c r="H178" s="204"/>
    </row>
    <row r="179" spans="1:8" ht="15.75">
      <c r="A179" s="26" t="s">
        <v>173</v>
      </c>
      <c r="B179" s="17">
        <v>902</v>
      </c>
      <c r="C179" s="21" t="s">
        <v>202</v>
      </c>
      <c r="D179" s="21" t="s">
        <v>286</v>
      </c>
      <c r="E179" s="21" t="s">
        <v>174</v>
      </c>
      <c r="F179" s="21"/>
      <c r="G179" s="27">
        <f aca="true" t="shared" si="14" ref="G179:G181">G180</f>
        <v>450</v>
      </c>
      <c r="H179" s="204"/>
    </row>
    <row r="180" spans="1:8" ht="31.5">
      <c r="A180" s="26" t="s">
        <v>237</v>
      </c>
      <c r="B180" s="17">
        <v>902</v>
      </c>
      <c r="C180" s="21" t="s">
        <v>202</v>
      </c>
      <c r="D180" s="21" t="s">
        <v>286</v>
      </c>
      <c r="E180" s="21" t="s">
        <v>238</v>
      </c>
      <c r="F180" s="21"/>
      <c r="G180" s="27">
        <f>G181</f>
        <v>450</v>
      </c>
      <c r="H180" s="204"/>
    </row>
    <row r="181" spans="1:8" ht="31.5">
      <c r="A181" s="26" t="s">
        <v>287</v>
      </c>
      <c r="B181" s="17">
        <v>902</v>
      </c>
      <c r="C181" s="21" t="s">
        <v>202</v>
      </c>
      <c r="D181" s="21" t="s">
        <v>286</v>
      </c>
      <c r="E181" s="21" t="s">
        <v>288</v>
      </c>
      <c r="F181" s="21"/>
      <c r="G181" s="27">
        <f t="shared" si="14"/>
        <v>450</v>
      </c>
      <c r="H181" s="204"/>
    </row>
    <row r="182" spans="1:8" ht="15.75">
      <c r="A182" s="26" t="s">
        <v>187</v>
      </c>
      <c r="B182" s="17">
        <v>902</v>
      </c>
      <c r="C182" s="21" t="s">
        <v>202</v>
      </c>
      <c r="D182" s="21" t="s">
        <v>286</v>
      </c>
      <c r="E182" s="21" t="s">
        <v>288</v>
      </c>
      <c r="F182" s="21" t="s">
        <v>197</v>
      </c>
      <c r="G182" s="27">
        <f>G183</f>
        <v>450</v>
      </c>
      <c r="H182" s="204"/>
    </row>
    <row r="183" spans="1:9" ht="63">
      <c r="A183" s="26" t="s">
        <v>236</v>
      </c>
      <c r="B183" s="17">
        <v>902</v>
      </c>
      <c r="C183" s="21" t="s">
        <v>202</v>
      </c>
      <c r="D183" s="21" t="s">
        <v>286</v>
      </c>
      <c r="E183" s="21" t="s">
        <v>288</v>
      </c>
      <c r="F183" s="21" t="s">
        <v>212</v>
      </c>
      <c r="G183" s="184">
        <f>310+140</f>
        <v>450</v>
      </c>
      <c r="H183" s="183" t="s">
        <v>816</v>
      </c>
      <c r="I183" s="138"/>
    </row>
    <row r="184" spans="1:8" ht="31.5">
      <c r="A184" s="24" t="s">
        <v>289</v>
      </c>
      <c r="B184" s="20">
        <v>902</v>
      </c>
      <c r="C184" s="25" t="s">
        <v>202</v>
      </c>
      <c r="D184" s="25" t="s">
        <v>290</v>
      </c>
      <c r="E184" s="25"/>
      <c r="F184" s="25"/>
      <c r="G184" s="22">
        <f>G185</f>
        <v>1371.3999999999999</v>
      </c>
      <c r="H184" s="204"/>
    </row>
    <row r="185" spans="1:8" ht="15.75">
      <c r="A185" s="26" t="s">
        <v>173</v>
      </c>
      <c r="B185" s="17">
        <v>902</v>
      </c>
      <c r="C185" s="21" t="s">
        <v>202</v>
      </c>
      <c r="D185" s="21" t="s">
        <v>290</v>
      </c>
      <c r="E185" s="21" t="s">
        <v>174</v>
      </c>
      <c r="F185" s="25"/>
      <c r="G185" s="27">
        <f>G186</f>
        <v>1371.3999999999999</v>
      </c>
      <c r="H185" s="204"/>
    </row>
    <row r="186" spans="1:8" ht="31.5">
      <c r="A186" s="26" t="s">
        <v>237</v>
      </c>
      <c r="B186" s="17">
        <v>902</v>
      </c>
      <c r="C186" s="21" t="s">
        <v>202</v>
      </c>
      <c r="D186" s="21" t="s">
        <v>290</v>
      </c>
      <c r="E186" s="21" t="s">
        <v>238</v>
      </c>
      <c r="F186" s="25"/>
      <c r="G186" s="27">
        <f>G190+G187</f>
        <v>1371.3999999999999</v>
      </c>
      <c r="H186" s="204"/>
    </row>
    <row r="187" spans="1:8" ht="31.5">
      <c r="A187" s="26" t="s">
        <v>291</v>
      </c>
      <c r="B187" s="17">
        <v>902</v>
      </c>
      <c r="C187" s="21" t="s">
        <v>202</v>
      </c>
      <c r="D187" s="21" t="s">
        <v>290</v>
      </c>
      <c r="E187" s="21" t="s">
        <v>292</v>
      </c>
      <c r="F187" s="25"/>
      <c r="G187" s="27">
        <f aca="true" t="shared" si="15" ref="G187:G188">G188</f>
        <v>90</v>
      </c>
      <c r="H187" s="204"/>
    </row>
    <row r="188" spans="1:8" ht="15.75">
      <c r="A188" s="26" t="s">
        <v>187</v>
      </c>
      <c r="B188" s="17">
        <v>902</v>
      </c>
      <c r="C188" s="21" t="s">
        <v>202</v>
      </c>
      <c r="D188" s="21" t="s">
        <v>290</v>
      </c>
      <c r="E188" s="21" t="s">
        <v>292</v>
      </c>
      <c r="F188" s="21" t="s">
        <v>197</v>
      </c>
      <c r="G188" s="27">
        <f t="shared" si="15"/>
        <v>90</v>
      </c>
      <c r="H188" s="204"/>
    </row>
    <row r="189" spans="1:8" ht="63">
      <c r="A189" s="26" t="s">
        <v>236</v>
      </c>
      <c r="B189" s="17">
        <v>902</v>
      </c>
      <c r="C189" s="21" t="s">
        <v>202</v>
      </c>
      <c r="D189" s="21" t="s">
        <v>290</v>
      </c>
      <c r="E189" s="21" t="s">
        <v>292</v>
      </c>
      <c r="F189" s="21" t="s">
        <v>212</v>
      </c>
      <c r="G189" s="188">
        <v>90</v>
      </c>
      <c r="H189" s="183" t="s">
        <v>825</v>
      </c>
    </row>
    <row r="190" spans="1:8" ht="63">
      <c r="A190" s="33" t="s">
        <v>293</v>
      </c>
      <c r="B190" s="17">
        <v>902</v>
      </c>
      <c r="C190" s="21" t="s">
        <v>202</v>
      </c>
      <c r="D190" s="21" t="s">
        <v>290</v>
      </c>
      <c r="E190" s="21" t="s">
        <v>294</v>
      </c>
      <c r="F190" s="21"/>
      <c r="G190" s="27">
        <f>G191+G193</f>
        <v>1281.3999999999999</v>
      </c>
      <c r="H190" s="204"/>
    </row>
    <row r="191" spans="1:8" ht="94.5">
      <c r="A191" s="26" t="s">
        <v>179</v>
      </c>
      <c r="B191" s="17">
        <v>902</v>
      </c>
      <c r="C191" s="21" t="s">
        <v>202</v>
      </c>
      <c r="D191" s="21" t="s">
        <v>290</v>
      </c>
      <c r="E191" s="21" t="s">
        <v>294</v>
      </c>
      <c r="F191" s="21" t="s">
        <v>180</v>
      </c>
      <c r="G191" s="27">
        <f>G192</f>
        <v>1116.3999999999999</v>
      </c>
      <c r="H191" s="204"/>
    </row>
    <row r="192" spans="1:9" ht="31.5">
      <c r="A192" s="26" t="s">
        <v>181</v>
      </c>
      <c r="B192" s="17">
        <v>902</v>
      </c>
      <c r="C192" s="21" t="s">
        <v>202</v>
      </c>
      <c r="D192" s="21" t="s">
        <v>290</v>
      </c>
      <c r="E192" s="21" t="s">
        <v>294</v>
      </c>
      <c r="F192" s="21" t="s">
        <v>182</v>
      </c>
      <c r="G192" s="27">
        <f>1302-123.4-62.2</f>
        <v>1116.3999999999999</v>
      </c>
      <c r="H192" s="204"/>
      <c r="I192" s="138"/>
    </row>
    <row r="193" spans="1:8" ht="31.5">
      <c r="A193" s="26" t="s">
        <v>183</v>
      </c>
      <c r="B193" s="17">
        <v>902</v>
      </c>
      <c r="C193" s="21" t="s">
        <v>202</v>
      </c>
      <c r="D193" s="21" t="s">
        <v>290</v>
      </c>
      <c r="E193" s="21" t="s">
        <v>294</v>
      </c>
      <c r="F193" s="21" t="s">
        <v>184</v>
      </c>
      <c r="G193" s="27">
        <f>G194</f>
        <v>165</v>
      </c>
      <c r="H193" s="204"/>
    </row>
    <row r="194" spans="1:8" ht="47.25">
      <c r="A194" s="26" t="s">
        <v>185</v>
      </c>
      <c r="B194" s="17">
        <v>902</v>
      </c>
      <c r="C194" s="21" t="s">
        <v>202</v>
      </c>
      <c r="D194" s="21" t="s">
        <v>290</v>
      </c>
      <c r="E194" s="21" t="s">
        <v>294</v>
      </c>
      <c r="F194" s="21" t="s">
        <v>186</v>
      </c>
      <c r="G194" s="27">
        <f>102.8+62.2</f>
        <v>165</v>
      </c>
      <c r="H194" s="204"/>
    </row>
    <row r="195" spans="1:8" ht="16.5" customHeight="1">
      <c r="A195" s="24" t="s">
        <v>295</v>
      </c>
      <c r="B195" s="20">
        <v>902</v>
      </c>
      <c r="C195" s="25" t="s">
        <v>296</v>
      </c>
      <c r="D195" s="25"/>
      <c r="E195" s="25"/>
      <c r="F195" s="25"/>
      <c r="G195" s="22">
        <f>G196+G202+G212</f>
        <v>12224.9</v>
      </c>
      <c r="H195" s="204"/>
    </row>
    <row r="196" spans="1:8" ht="15.75">
      <c r="A196" s="24" t="s">
        <v>297</v>
      </c>
      <c r="B196" s="20">
        <v>902</v>
      </c>
      <c r="C196" s="25" t="s">
        <v>296</v>
      </c>
      <c r="D196" s="25" t="s">
        <v>170</v>
      </c>
      <c r="E196" s="25"/>
      <c r="F196" s="25"/>
      <c r="G196" s="22">
        <f>G197</f>
        <v>9066.4</v>
      </c>
      <c r="H196" s="204"/>
    </row>
    <row r="197" spans="1:8" ht="15.75">
      <c r="A197" s="26" t="s">
        <v>173</v>
      </c>
      <c r="B197" s="17">
        <v>902</v>
      </c>
      <c r="C197" s="21" t="s">
        <v>296</v>
      </c>
      <c r="D197" s="21" t="s">
        <v>170</v>
      </c>
      <c r="E197" s="21" t="s">
        <v>174</v>
      </c>
      <c r="F197" s="21"/>
      <c r="G197" s="27">
        <f aca="true" t="shared" si="16" ref="G197:G199">G198</f>
        <v>9066.4</v>
      </c>
      <c r="H197" s="204"/>
    </row>
    <row r="198" spans="1:8" ht="15.75">
      <c r="A198" s="26" t="s">
        <v>193</v>
      </c>
      <c r="B198" s="17">
        <v>902</v>
      </c>
      <c r="C198" s="21" t="s">
        <v>296</v>
      </c>
      <c r="D198" s="21" t="s">
        <v>170</v>
      </c>
      <c r="E198" s="21" t="s">
        <v>194</v>
      </c>
      <c r="F198" s="21"/>
      <c r="G198" s="27">
        <f>G199</f>
        <v>9066.4</v>
      </c>
      <c r="H198" s="204"/>
    </row>
    <row r="199" spans="1:8" ht="15.75">
      <c r="A199" s="26" t="s">
        <v>298</v>
      </c>
      <c r="B199" s="17">
        <v>902</v>
      </c>
      <c r="C199" s="21" t="s">
        <v>296</v>
      </c>
      <c r="D199" s="21" t="s">
        <v>170</v>
      </c>
      <c r="E199" s="21" t="s">
        <v>299</v>
      </c>
      <c r="F199" s="21"/>
      <c r="G199" s="27">
        <f t="shared" si="16"/>
        <v>9066.4</v>
      </c>
      <c r="H199" s="204"/>
    </row>
    <row r="200" spans="1:8" ht="31.5">
      <c r="A200" s="26" t="s">
        <v>300</v>
      </c>
      <c r="B200" s="17">
        <v>902</v>
      </c>
      <c r="C200" s="21" t="s">
        <v>296</v>
      </c>
      <c r="D200" s="21" t="s">
        <v>170</v>
      </c>
      <c r="E200" s="21" t="s">
        <v>299</v>
      </c>
      <c r="F200" s="21" t="s">
        <v>301</v>
      </c>
      <c r="G200" s="27">
        <f>G201</f>
        <v>9066.4</v>
      </c>
      <c r="H200" s="204"/>
    </row>
    <row r="201" spans="1:8" ht="31.5">
      <c r="A201" s="26" t="s">
        <v>302</v>
      </c>
      <c r="B201" s="17">
        <v>902</v>
      </c>
      <c r="C201" s="21" t="s">
        <v>296</v>
      </c>
      <c r="D201" s="21" t="s">
        <v>170</v>
      </c>
      <c r="E201" s="21" t="s">
        <v>299</v>
      </c>
      <c r="F201" s="21" t="s">
        <v>303</v>
      </c>
      <c r="G201" s="28">
        <v>9066.4</v>
      </c>
      <c r="H201" s="204"/>
    </row>
    <row r="202" spans="1:8" ht="15.75">
      <c r="A202" s="24" t="s">
        <v>304</v>
      </c>
      <c r="B202" s="20">
        <v>902</v>
      </c>
      <c r="C202" s="25" t="s">
        <v>296</v>
      </c>
      <c r="D202" s="25" t="s">
        <v>267</v>
      </c>
      <c r="E202" s="21"/>
      <c r="F202" s="21"/>
      <c r="G202" s="22">
        <f>G203+G207</f>
        <v>10</v>
      </c>
      <c r="H202" s="204"/>
    </row>
    <row r="203" spans="1:8" ht="78.75">
      <c r="A203" s="26" t="s">
        <v>305</v>
      </c>
      <c r="B203" s="17">
        <v>902</v>
      </c>
      <c r="C203" s="21" t="s">
        <v>296</v>
      </c>
      <c r="D203" s="21" t="s">
        <v>267</v>
      </c>
      <c r="E203" s="21" t="s">
        <v>306</v>
      </c>
      <c r="F203" s="21"/>
      <c r="G203" s="27">
        <f>G204</f>
        <v>10</v>
      </c>
      <c r="H203" s="204"/>
    </row>
    <row r="204" spans="1:8" ht="31.5">
      <c r="A204" s="26" t="s">
        <v>209</v>
      </c>
      <c r="B204" s="17">
        <v>902</v>
      </c>
      <c r="C204" s="21" t="s">
        <v>296</v>
      </c>
      <c r="D204" s="21" t="s">
        <v>267</v>
      </c>
      <c r="E204" s="21" t="s">
        <v>307</v>
      </c>
      <c r="F204" s="21"/>
      <c r="G204" s="27">
        <f>G205</f>
        <v>10</v>
      </c>
      <c r="H204" s="204"/>
    </row>
    <row r="205" spans="1:8" ht="31.5">
      <c r="A205" s="26" t="s">
        <v>300</v>
      </c>
      <c r="B205" s="17">
        <v>902</v>
      </c>
      <c r="C205" s="21" t="s">
        <v>296</v>
      </c>
      <c r="D205" s="21" t="s">
        <v>267</v>
      </c>
      <c r="E205" s="21" t="s">
        <v>307</v>
      </c>
      <c r="F205" s="21" t="s">
        <v>301</v>
      </c>
      <c r="G205" s="27">
        <f>G206</f>
        <v>10</v>
      </c>
      <c r="H205" s="204"/>
    </row>
    <row r="206" spans="1:8" ht="31.5">
      <c r="A206" s="26" t="s">
        <v>302</v>
      </c>
      <c r="B206" s="17">
        <v>902</v>
      </c>
      <c r="C206" s="21" t="s">
        <v>296</v>
      </c>
      <c r="D206" s="21" t="s">
        <v>267</v>
      </c>
      <c r="E206" s="21" t="s">
        <v>307</v>
      </c>
      <c r="F206" s="21" t="s">
        <v>303</v>
      </c>
      <c r="G206" s="27">
        <v>10</v>
      </c>
      <c r="H206" s="204"/>
    </row>
    <row r="207" spans="1:8" ht="15.75" hidden="1">
      <c r="A207" s="26" t="s">
        <v>173</v>
      </c>
      <c r="B207" s="17">
        <v>902</v>
      </c>
      <c r="C207" s="21" t="s">
        <v>296</v>
      </c>
      <c r="D207" s="21" t="s">
        <v>267</v>
      </c>
      <c r="E207" s="21" t="s">
        <v>174</v>
      </c>
      <c r="F207" s="21"/>
      <c r="G207" s="27">
        <f>G208</f>
        <v>0</v>
      </c>
      <c r="H207" s="204"/>
    </row>
    <row r="208" spans="1:8" ht="31.5" hidden="1">
      <c r="A208" s="26" t="s">
        <v>237</v>
      </c>
      <c r="B208" s="17">
        <v>902</v>
      </c>
      <c r="C208" s="21" t="s">
        <v>296</v>
      </c>
      <c r="D208" s="21" t="s">
        <v>267</v>
      </c>
      <c r="E208" s="21" t="s">
        <v>238</v>
      </c>
      <c r="F208" s="21"/>
      <c r="G208" s="27">
        <f>G209</f>
        <v>0</v>
      </c>
      <c r="H208" s="204"/>
    </row>
    <row r="209" spans="1:8" ht="47.25" hidden="1">
      <c r="A209" s="33" t="s">
        <v>308</v>
      </c>
      <c r="B209" s="17">
        <v>902</v>
      </c>
      <c r="C209" s="21" t="s">
        <v>296</v>
      </c>
      <c r="D209" s="21" t="s">
        <v>267</v>
      </c>
      <c r="E209" s="21" t="s">
        <v>309</v>
      </c>
      <c r="F209" s="21"/>
      <c r="G209" s="27">
        <f>G210</f>
        <v>0</v>
      </c>
      <c r="H209" s="204"/>
    </row>
    <row r="210" spans="1:8" ht="31.5" hidden="1">
      <c r="A210" s="26" t="s">
        <v>300</v>
      </c>
      <c r="B210" s="17">
        <v>902</v>
      </c>
      <c r="C210" s="21" t="s">
        <v>296</v>
      </c>
      <c r="D210" s="21" t="s">
        <v>267</v>
      </c>
      <c r="E210" s="21" t="s">
        <v>309</v>
      </c>
      <c r="F210" s="21" t="s">
        <v>301</v>
      </c>
      <c r="G210" s="27">
        <f>G211</f>
        <v>0</v>
      </c>
      <c r="H210" s="204"/>
    </row>
    <row r="211" spans="1:9" ht="31.5" hidden="1">
      <c r="A211" s="26" t="s">
        <v>302</v>
      </c>
      <c r="B211" s="17">
        <v>902</v>
      </c>
      <c r="C211" s="21" t="s">
        <v>296</v>
      </c>
      <c r="D211" s="21" t="s">
        <v>267</v>
      </c>
      <c r="E211" s="21" t="s">
        <v>309</v>
      </c>
      <c r="F211" s="21" t="s">
        <v>303</v>
      </c>
      <c r="G211" s="27">
        <f>6250-6250</f>
        <v>0</v>
      </c>
      <c r="H211" s="129"/>
      <c r="I211" s="138"/>
    </row>
    <row r="212" spans="1:8" ht="31.5">
      <c r="A212" s="24" t="s">
        <v>310</v>
      </c>
      <c r="B212" s="20">
        <v>902</v>
      </c>
      <c r="C212" s="25" t="s">
        <v>296</v>
      </c>
      <c r="D212" s="25" t="s">
        <v>172</v>
      </c>
      <c r="E212" s="25"/>
      <c r="F212" s="25"/>
      <c r="G212" s="22">
        <f>G213</f>
        <v>3148.5000000000005</v>
      </c>
      <c r="H212" s="204"/>
    </row>
    <row r="213" spans="1:8" ht="15.75">
      <c r="A213" s="26" t="s">
        <v>173</v>
      </c>
      <c r="B213" s="17">
        <v>902</v>
      </c>
      <c r="C213" s="21" t="s">
        <v>296</v>
      </c>
      <c r="D213" s="21" t="s">
        <v>172</v>
      </c>
      <c r="E213" s="21" t="s">
        <v>174</v>
      </c>
      <c r="F213" s="25"/>
      <c r="G213" s="27">
        <f>G214</f>
        <v>3148.5000000000005</v>
      </c>
      <c r="H213" s="204"/>
    </row>
    <row r="214" spans="1:8" ht="31.5">
      <c r="A214" s="26" t="s">
        <v>237</v>
      </c>
      <c r="B214" s="17">
        <v>902</v>
      </c>
      <c r="C214" s="21" t="s">
        <v>296</v>
      </c>
      <c r="D214" s="21" t="s">
        <v>172</v>
      </c>
      <c r="E214" s="21" t="s">
        <v>238</v>
      </c>
      <c r="F214" s="21"/>
      <c r="G214" s="27">
        <f>G215</f>
        <v>3148.5000000000005</v>
      </c>
      <c r="H214" s="204"/>
    </row>
    <row r="215" spans="1:8" ht="47.25">
      <c r="A215" s="33" t="s">
        <v>311</v>
      </c>
      <c r="B215" s="17">
        <v>902</v>
      </c>
      <c r="C215" s="21" t="s">
        <v>296</v>
      </c>
      <c r="D215" s="21" t="s">
        <v>172</v>
      </c>
      <c r="E215" s="21" t="s">
        <v>312</v>
      </c>
      <c r="F215" s="21"/>
      <c r="G215" s="27">
        <f>G216+G218</f>
        <v>3148.5000000000005</v>
      </c>
      <c r="H215" s="204"/>
    </row>
    <row r="216" spans="1:8" ht="94.5">
      <c r="A216" s="26" t="s">
        <v>179</v>
      </c>
      <c r="B216" s="17">
        <v>902</v>
      </c>
      <c r="C216" s="21" t="s">
        <v>296</v>
      </c>
      <c r="D216" s="21" t="s">
        <v>172</v>
      </c>
      <c r="E216" s="21" t="s">
        <v>312</v>
      </c>
      <c r="F216" s="21" t="s">
        <v>180</v>
      </c>
      <c r="G216" s="27">
        <f>G217</f>
        <v>2884.1000000000004</v>
      </c>
      <c r="H216" s="204"/>
    </row>
    <row r="217" spans="1:8" ht="31.5">
      <c r="A217" s="26" t="s">
        <v>181</v>
      </c>
      <c r="B217" s="17">
        <v>902</v>
      </c>
      <c r="C217" s="21" t="s">
        <v>296</v>
      </c>
      <c r="D217" s="21" t="s">
        <v>172</v>
      </c>
      <c r="E217" s="21" t="s">
        <v>312</v>
      </c>
      <c r="F217" s="21" t="s">
        <v>182</v>
      </c>
      <c r="G217" s="28">
        <f>2826.8+14.8+42.5</f>
        <v>2884.1000000000004</v>
      </c>
      <c r="H217" s="129"/>
    </row>
    <row r="218" spans="1:8" ht="31.5">
      <c r="A218" s="26" t="s">
        <v>183</v>
      </c>
      <c r="B218" s="17">
        <v>902</v>
      </c>
      <c r="C218" s="21" t="s">
        <v>296</v>
      </c>
      <c r="D218" s="21" t="s">
        <v>172</v>
      </c>
      <c r="E218" s="21" t="s">
        <v>312</v>
      </c>
      <c r="F218" s="21" t="s">
        <v>184</v>
      </c>
      <c r="G218" s="27">
        <f>G219</f>
        <v>264.4</v>
      </c>
      <c r="H218" s="204"/>
    </row>
    <row r="219" spans="1:9" ht="47.25">
      <c r="A219" s="26" t="s">
        <v>185</v>
      </c>
      <c r="B219" s="17">
        <v>902</v>
      </c>
      <c r="C219" s="21" t="s">
        <v>296</v>
      </c>
      <c r="D219" s="21" t="s">
        <v>172</v>
      </c>
      <c r="E219" s="21" t="s">
        <v>312</v>
      </c>
      <c r="F219" s="21" t="s">
        <v>186</v>
      </c>
      <c r="G219" s="28">
        <f>433.9-112.2-14.8-42.5</f>
        <v>264.4</v>
      </c>
      <c r="H219" s="129"/>
      <c r="I219" s="138"/>
    </row>
    <row r="220" spans="1:12" ht="47.25">
      <c r="A220" s="20" t="s">
        <v>313</v>
      </c>
      <c r="B220" s="20">
        <v>903</v>
      </c>
      <c r="C220" s="21"/>
      <c r="D220" s="21"/>
      <c r="E220" s="21"/>
      <c r="F220" s="21"/>
      <c r="G220" s="22">
        <f>G235+G277+G388+G221+G228</f>
        <v>83896.2</v>
      </c>
      <c r="H220" s="204"/>
      <c r="L220" s="139"/>
    </row>
    <row r="221" spans="1:8" ht="15.75" hidden="1">
      <c r="A221" s="24" t="s">
        <v>169</v>
      </c>
      <c r="B221" s="20">
        <v>903</v>
      </c>
      <c r="C221" s="25" t="s">
        <v>170</v>
      </c>
      <c r="D221" s="25"/>
      <c r="E221" s="25"/>
      <c r="F221" s="25"/>
      <c r="G221" s="22">
        <f aca="true" t="shared" si="17" ref="G221:G226">G222</f>
        <v>0</v>
      </c>
      <c r="H221" s="204"/>
    </row>
    <row r="222" spans="1:8" ht="15.75" hidden="1">
      <c r="A222" s="36" t="s">
        <v>191</v>
      </c>
      <c r="B222" s="20">
        <v>903</v>
      </c>
      <c r="C222" s="25" t="s">
        <v>170</v>
      </c>
      <c r="D222" s="25" t="s">
        <v>192</v>
      </c>
      <c r="E222" s="25"/>
      <c r="F222" s="25"/>
      <c r="G222" s="22">
        <f t="shared" si="17"/>
        <v>0</v>
      </c>
      <c r="H222" s="204"/>
    </row>
    <row r="223" spans="1:8" ht="15.75" hidden="1">
      <c r="A223" s="33" t="s">
        <v>173</v>
      </c>
      <c r="B223" s="17">
        <v>903</v>
      </c>
      <c r="C223" s="21" t="s">
        <v>170</v>
      </c>
      <c r="D223" s="21" t="s">
        <v>192</v>
      </c>
      <c r="E223" s="21" t="s">
        <v>174</v>
      </c>
      <c r="F223" s="21"/>
      <c r="G223" s="27">
        <f t="shared" si="17"/>
        <v>0</v>
      </c>
      <c r="H223" s="204"/>
    </row>
    <row r="224" spans="1:8" ht="15.75" hidden="1">
      <c r="A224" s="33" t="s">
        <v>193</v>
      </c>
      <c r="B224" s="17">
        <v>903</v>
      </c>
      <c r="C224" s="21" t="s">
        <v>170</v>
      </c>
      <c r="D224" s="21" t="s">
        <v>192</v>
      </c>
      <c r="E224" s="21" t="s">
        <v>194</v>
      </c>
      <c r="F224" s="21"/>
      <c r="G224" s="27">
        <f t="shared" si="17"/>
        <v>0</v>
      </c>
      <c r="H224" s="204"/>
    </row>
    <row r="225" spans="1:8" ht="15.75" hidden="1">
      <c r="A225" s="26" t="s">
        <v>231</v>
      </c>
      <c r="B225" s="17">
        <v>903</v>
      </c>
      <c r="C225" s="21" t="s">
        <v>170</v>
      </c>
      <c r="D225" s="21" t="s">
        <v>192</v>
      </c>
      <c r="E225" s="21" t="s">
        <v>314</v>
      </c>
      <c r="F225" s="21"/>
      <c r="G225" s="27">
        <f t="shared" si="17"/>
        <v>0</v>
      </c>
      <c r="H225" s="204"/>
    </row>
    <row r="226" spans="1:8" ht="31.5" hidden="1">
      <c r="A226" s="26" t="s">
        <v>183</v>
      </c>
      <c r="B226" s="17">
        <v>903</v>
      </c>
      <c r="C226" s="21" t="s">
        <v>170</v>
      </c>
      <c r="D226" s="21" t="s">
        <v>192</v>
      </c>
      <c r="E226" s="21" t="s">
        <v>314</v>
      </c>
      <c r="F226" s="21" t="s">
        <v>184</v>
      </c>
      <c r="G226" s="27">
        <f t="shared" si="17"/>
        <v>0</v>
      </c>
      <c r="H226" s="204"/>
    </row>
    <row r="227" spans="1:8" ht="47.25" hidden="1">
      <c r="A227" s="26" t="s">
        <v>185</v>
      </c>
      <c r="B227" s="17">
        <v>903</v>
      </c>
      <c r="C227" s="21" t="s">
        <v>170</v>
      </c>
      <c r="D227" s="21" t="s">
        <v>192</v>
      </c>
      <c r="E227" s="21" t="s">
        <v>314</v>
      </c>
      <c r="F227" s="21" t="s">
        <v>186</v>
      </c>
      <c r="G227" s="27"/>
      <c r="H227" s="204"/>
    </row>
    <row r="228" spans="1:8" ht="15.75">
      <c r="A228" s="24" t="s">
        <v>169</v>
      </c>
      <c r="B228" s="20">
        <v>903</v>
      </c>
      <c r="C228" s="25" t="s">
        <v>170</v>
      </c>
      <c r="D228" s="21"/>
      <c r="E228" s="21"/>
      <c r="F228" s="21"/>
      <c r="G228" s="27">
        <f>G229</f>
        <v>88.7</v>
      </c>
      <c r="H228" s="204"/>
    </row>
    <row r="229" spans="1:8" ht="15.75">
      <c r="A229" s="24" t="s">
        <v>191</v>
      </c>
      <c r="B229" s="20">
        <v>903</v>
      </c>
      <c r="C229" s="25" t="s">
        <v>170</v>
      </c>
      <c r="D229" s="25" t="s">
        <v>192</v>
      </c>
      <c r="E229" s="21"/>
      <c r="F229" s="21"/>
      <c r="G229" s="27">
        <f>G230</f>
        <v>88.7</v>
      </c>
      <c r="H229" s="204"/>
    </row>
    <row r="230" spans="1:8" ht="15.75">
      <c r="A230" s="26" t="s">
        <v>173</v>
      </c>
      <c r="B230" s="17">
        <v>903</v>
      </c>
      <c r="C230" s="21" t="s">
        <v>170</v>
      </c>
      <c r="D230" s="21" t="s">
        <v>192</v>
      </c>
      <c r="E230" s="21" t="s">
        <v>174</v>
      </c>
      <c r="F230" s="21"/>
      <c r="G230" s="27">
        <f>G231</f>
        <v>88.7</v>
      </c>
      <c r="H230" s="204"/>
    </row>
    <row r="231" spans="1:8" ht="31.5">
      <c r="A231" s="26" t="s">
        <v>237</v>
      </c>
      <c r="B231" s="17">
        <v>903</v>
      </c>
      <c r="C231" s="21" t="s">
        <v>170</v>
      </c>
      <c r="D231" s="21" t="s">
        <v>192</v>
      </c>
      <c r="E231" s="21" t="s">
        <v>238</v>
      </c>
      <c r="F231" s="21"/>
      <c r="G231" s="27">
        <f>G232</f>
        <v>88.7</v>
      </c>
      <c r="H231" s="204"/>
    </row>
    <row r="232" spans="1:8" ht="47.25">
      <c r="A232" s="37" t="s">
        <v>833</v>
      </c>
      <c r="B232" s="17">
        <v>903</v>
      </c>
      <c r="C232" s="21" t="s">
        <v>170</v>
      </c>
      <c r="D232" s="21" t="s">
        <v>192</v>
      </c>
      <c r="E232" s="21" t="s">
        <v>832</v>
      </c>
      <c r="F232" s="25"/>
      <c r="G232" s="27">
        <f aca="true" t="shared" si="18" ref="G232:G233">G233</f>
        <v>88.7</v>
      </c>
      <c r="H232" s="204"/>
    </row>
    <row r="233" spans="1:8" ht="31.5">
      <c r="A233" s="26" t="s">
        <v>183</v>
      </c>
      <c r="B233" s="17">
        <v>903</v>
      </c>
      <c r="C233" s="21" t="s">
        <v>170</v>
      </c>
      <c r="D233" s="21" t="s">
        <v>192</v>
      </c>
      <c r="E233" s="21" t="s">
        <v>832</v>
      </c>
      <c r="F233" s="21" t="s">
        <v>184</v>
      </c>
      <c r="G233" s="27">
        <f t="shared" si="18"/>
        <v>88.7</v>
      </c>
      <c r="H233" s="204"/>
    </row>
    <row r="234" spans="1:8" ht="53.25" customHeight="1">
      <c r="A234" s="26" t="s">
        <v>185</v>
      </c>
      <c r="B234" s="17">
        <v>903</v>
      </c>
      <c r="C234" s="21" t="s">
        <v>170</v>
      </c>
      <c r="D234" s="21" t="s">
        <v>192</v>
      </c>
      <c r="E234" s="21" t="s">
        <v>832</v>
      </c>
      <c r="F234" s="21" t="s">
        <v>186</v>
      </c>
      <c r="G234" s="188">
        <v>88.7</v>
      </c>
      <c r="H234" s="183" t="s">
        <v>827</v>
      </c>
    </row>
    <row r="235" spans="1:8" ht="15.75">
      <c r="A235" s="24" t="s">
        <v>315</v>
      </c>
      <c r="B235" s="20">
        <v>903</v>
      </c>
      <c r="C235" s="25" t="s">
        <v>316</v>
      </c>
      <c r="D235" s="21"/>
      <c r="E235" s="21"/>
      <c r="F235" s="21"/>
      <c r="G235" s="22">
        <f aca="true" t="shared" si="19" ref="G235">G236+G271</f>
        <v>17482.699999999997</v>
      </c>
      <c r="H235" s="204"/>
    </row>
    <row r="236" spans="1:8" ht="15.75">
      <c r="A236" s="24" t="s">
        <v>317</v>
      </c>
      <c r="B236" s="20">
        <v>903</v>
      </c>
      <c r="C236" s="25" t="s">
        <v>316</v>
      </c>
      <c r="D236" s="25" t="s">
        <v>267</v>
      </c>
      <c r="E236" s="25"/>
      <c r="F236" s="25"/>
      <c r="G236" s="22">
        <f>G237+G260</f>
        <v>17482.699999999997</v>
      </c>
      <c r="H236" s="204"/>
    </row>
    <row r="237" spans="1:8" ht="47.25">
      <c r="A237" s="26" t="s">
        <v>318</v>
      </c>
      <c r="B237" s="17">
        <v>903</v>
      </c>
      <c r="C237" s="21" t="s">
        <v>316</v>
      </c>
      <c r="D237" s="21" t="s">
        <v>267</v>
      </c>
      <c r="E237" s="21" t="s">
        <v>319</v>
      </c>
      <c r="F237" s="21"/>
      <c r="G237" s="27">
        <f>G238</f>
        <v>16445.6</v>
      </c>
      <c r="H237" s="204"/>
    </row>
    <row r="238" spans="1:8" ht="63">
      <c r="A238" s="26" t="s">
        <v>320</v>
      </c>
      <c r="B238" s="17">
        <v>903</v>
      </c>
      <c r="C238" s="21" t="s">
        <v>316</v>
      </c>
      <c r="D238" s="21" t="s">
        <v>267</v>
      </c>
      <c r="E238" s="21" t="s">
        <v>321</v>
      </c>
      <c r="F238" s="21"/>
      <c r="G238" s="27">
        <f>G239+G251</f>
        <v>16445.6</v>
      </c>
      <c r="H238" s="204"/>
    </row>
    <row r="239" spans="1:8" ht="47.25">
      <c r="A239" s="26" t="s">
        <v>322</v>
      </c>
      <c r="B239" s="17">
        <v>903</v>
      </c>
      <c r="C239" s="21" t="s">
        <v>316</v>
      </c>
      <c r="D239" s="21" t="s">
        <v>267</v>
      </c>
      <c r="E239" s="21" t="s">
        <v>323</v>
      </c>
      <c r="F239" s="21"/>
      <c r="G239" s="27">
        <f>G240</f>
        <v>16395.6</v>
      </c>
      <c r="H239" s="204"/>
    </row>
    <row r="240" spans="1:8" ht="47.25">
      <c r="A240" s="26" t="s">
        <v>324</v>
      </c>
      <c r="B240" s="17">
        <v>903</v>
      </c>
      <c r="C240" s="21" t="s">
        <v>316</v>
      </c>
      <c r="D240" s="21" t="s">
        <v>267</v>
      </c>
      <c r="E240" s="21" t="s">
        <v>323</v>
      </c>
      <c r="F240" s="21" t="s">
        <v>325</v>
      </c>
      <c r="G240" s="27">
        <f>G241</f>
        <v>16395.6</v>
      </c>
      <c r="H240" s="204"/>
    </row>
    <row r="241" spans="1:9" ht="15.75">
      <c r="A241" s="26" t="s">
        <v>326</v>
      </c>
      <c r="B241" s="17">
        <v>903</v>
      </c>
      <c r="C241" s="21" t="s">
        <v>316</v>
      </c>
      <c r="D241" s="21" t="s">
        <v>267</v>
      </c>
      <c r="E241" s="21" t="s">
        <v>323</v>
      </c>
      <c r="F241" s="21" t="s">
        <v>327</v>
      </c>
      <c r="G241" s="28">
        <f>15572+756.3+67.3</f>
        <v>16395.6</v>
      </c>
      <c r="H241" s="129"/>
      <c r="I241" s="148"/>
    </row>
    <row r="242" spans="1:8" ht="47.25" hidden="1">
      <c r="A242" s="26" t="s">
        <v>328</v>
      </c>
      <c r="B242" s="17">
        <v>903</v>
      </c>
      <c r="C242" s="21" t="s">
        <v>316</v>
      </c>
      <c r="D242" s="21" t="s">
        <v>267</v>
      </c>
      <c r="E242" s="21" t="s">
        <v>329</v>
      </c>
      <c r="F242" s="21"/>
      <c r="G242" s="27">
        <f aca="true" t="shared" si="20" ref="G242:G243">G243</f>
        <v>0</v>
      </c>
      <c r="H242" s="204"/>
    </row>
    <row r="243" spans="1:8" ht="47.25" hidden="1">
      <c r="A243" s="26" t="s">
        <v>324</v>
      </c>
      <c r="B243" s="17">
        <v>903</v>
      </c>
      <c r="C243" s="21" t="s">
        <v>316</v>
      </c>
      <c r="D243" s="21" t="s">
        <v>267</v>
      </c>
      <c r="E243" s="21" t="s">
        <v>329</v>
      </c>
      <c r="F243" s="21" t="s">
        <v>325</v>
      </c>
      <c r="G243" s="27">
        <f t="shared" si="20"/>
        <v>0</v>
      </c>
      <c r="H243" s="204"/>
    </row>
    <row r="244" spans="1:8" ht="15.75" hidden="1">
      <c r="A244" s="26" t="s">
        <v>326</v>
      </c>
      <c r="B244" s="17">
        <v>903</v>
      </c>
      <c r="C244" s="21" t="s">
        <v>316</v>
      </c>
      <c r="D244" s="21" t="s">
        <v>267</v>
      </c>
      <c r="E244" s="21" t="s">
        <v>329</v>
      </c>
      <c r="F244" s="21" t="s">
        <v>327</v>
      </c>
      <c r="G244" s="27">
        <v>0</v>
      </c>
      <c r="H244" s="204"/>
    </row>
    <row r="245" spans="1:8" ht="47.25" hidden="1">
      <c r="A245" s="26" t="s">
        <v>330</v>
      </c>
      <c r="B245" s="17">
        <v>903</v>
      </c>
      <c r="C245" s="21" t="s">
        <v>316</v>
      </c>
      <c r="D245" s="21" t="s">
        <v>267</v>
      </c>
      <c r="E245" s="21" t="s">
        <v>331</v>
      </c>
      <c r="F245" s="21"/>
      <c r="G245" s="27">
        <f aca="true" t="shared" si="21" ref="G245:G246">G246</f>
        <v>0</v>
      </c>
      <c r="H245" s="204"/>
    </row>
    <row r="246" spans="1:8" ht="47.25" hidden="1">
      <c r="A246" s="26" t="s">
        <v>324</v>
      </c>
      <c r="B246" s="17">
        <v>903</v>
      </c>
      <c r="C246" s="21" t="s">
        <v>316</v>
      </c>
      <c r="D246" s="21" t="s">
        <v>267</v>
      </c>
      <c r="E246" s="21" t="s">
        <v>331</v>
      </c>
      <c r="F246" s="21" t="s">
        <v>325</v>
      </c>
      <c r="G246" s="27">
        <f t="shared" si="21"/>
        <v>0</v>
      </c>
      <c r="H246" s="204"/>
    </row>
    <row r="247" spans="1:8" ht="15.75" hidden="1">
      <c r="A247" s="26" t="s">
        <v>326</v>
      </c>
      <c r="B247" s="17">
        <v>903</v>
      </c>
      <c r="C247" s="21" t="s">
        <v>316</v>
      </c>
      <c r="D247" s="21" t="s">
        <v>267</v>
      </c>
      <c r="E247" s="21" t="s">
        <v>331</v>
      </c>
      <c r="F247" s="21" t="s">
        <v>327</v>
      </c>
      <c r="G247" s="27">
        <v>0</v>
      </c>
      <c r="H247" s="204"/>
    </row>
    <row r="248" spans="1:8" ht="31.5" hidden="1">
      <c r="A248" s="26" t="s">
        <v>332</v>
      </c>
      <c r="B248" s="17">
        <v>903</v>
      </c>
      <c r="C248" s="21" t="s">
        <v>316</v>
      </c>
      <c r="D248" s="21" t="s">
        <v>267</v>
      </c>
      <c r="E248" s="21" t="s">
        <v>333</v>
      </c>
      <c r="F248" s="21"/>
      <c r="G248" s="27">
        <f aca="true" t="shared" si="22" ref="G248:G249">G249</f>
        <v>0</v>
      </c>
      <c r="H248" s="204"/>
    </row>
    <row r="249" spans="1:8" ht="47.25" hidden="1">
      <c r="A249" s="26" t="s">
        <v>324</v>
      </c>
      <c r="B249" s="17">
        <v>903</v>
      </c>
      <c r="C249" s="21" t="s">
        <v>316</v>
      </c>
      <c r="D249" s="21" t="s">
        <v>267</v>
      </c>
      <c r="E249" s="21" t="s">
        <v>333</v>
      </c>
      <c r="F249" s="21" t="s">
        <v>325</v>
      </c>
      <c r="G249" s="27">
        <f t="shared" si="22"/>
        <v>0</v>
      </c>
      <c r="H249" s="204"/>
    </row>
    <row r="250" spans="1:8" ht="15.75" hidden="1">
      <c r="A250" s="26" t="s">
        <v>326</v>
      </c>
      <c r="B250" s="17">
        <v>903</v>
      </c>
      <c r="C250" s="21" t="s">
        <v>316</v>
      </c>
      <c r="D250" s="21" t="s">
        <v>267</v>
      </c>
      <c r="E250" s="21" t="s">
        <v>333</v>
      </c>
      <c r="F250" s="21" t="s">
        <v>327</v>
      </c>
      <c r="G250" s="27">
        <v>0</v>
      </c>
      <c r="H250" s="204"/>
    </row>
    <row r="251" spans="1:8" ht="47.25">
      <c r="A251" s="26" t="s">
        <v>334</v>
      </c>
      <c r="B251" s="17">
        <v>903</v>
      </c>
      <c r="C251" s="21" t="s">
        <v>316</v>
      </c>
      <c r="D251" s="21" t="s">
        <v>267</v>
      </c>
      <c r="E251" s="21" t="s">
        <v>335</v>
      </c>
      <c r="F251" s="21"/>
      <c r="G251" s="27">
        <f>G252</f>
        <v>50</v>
      </c>
      <c r="H251" s="204"/>
    </row>
    <row r="252" spans="1:8" ht="47.25">
      <c r="A252" s="26" t="s">
        <v>324</v>
      </c>
      <c r="B252" s="17">
        <v>903</v>
      </c>
      <c r="C252" s="21" t="s">
        <v>316</v>
      </c>
      <c r="D252" s="21" t="s">
        <v>267</v>
      </c>
      <c r="E252" s="21" t="s">
        <v>335</v>
      </c>
      <c r="F252" s="21" t="s">
        <v>325</v>
      </c>
      <c r="G252" s="27">
        <f aca="true" t="shared" si="23" ref="G252">G253</f>
        <v>50</v>
      </c>
      <c r="H252" s="204"/>
    </row>
    <row r="253" spans="1:8" ht="15.75">
      <c r="A253" s="26" t="s">
        <v>326</v>
      </c>
      <c r="B253" s="17">
        <v>903</v>
      </c>
      <c r="C253" s="21" t="s">
        <v>316</v>
      </c>
      <c r="D253" s="21" t="s">
        <v>267</v>
      </c>
      <c r="E253" s="21" t="s">
        <v>335</v>
      </c>
      <c r="F253" s="21" t="s">
        <v>327</v>
      </c>
      <c r="G253" s="27">
        <v>50</v>
      </c>
      <c r="H253" s="204"/>
    </row>
    <row r="254" spans="1:8" ht="31.5" hidden="1">
      <c r="A254" s="26" t="s">
        <v>336</v>
      </c>
      <c r="B254" s="17">
        <v>903</v>
      </c>
      <c r="C254" s="21" t="s">
        <v>316</v>
      </c>
      <c r="D254" s="21" t="s">
        <v>267</v>
      </c>
      <c r="E254" s="21" t="s">
        <v>337</v>
      </c>
      <c r="F254" s="21"/>
      <c r="G254" s="27">
        <f aca="true" t="shared" si="24" ref="G254:G255">G255</f>
        <v>0</v>
      </c>
      <c r="H254" s="204"/>
    </row>
    <row r="255" spans="1:8" ht="47.25" hidden="1">
      <c r="A255" s="26" t="s">
        <v>324</v>
      </c>
      <c r="B255" s="17">
        <v>903</v>
      </c>
      <c r="C255" s="21" t="s">
        <v>316</v>
      </c>
      <c r="D255" s="21" t="s">
        <v>267</v>
      </c>
      <c r="E255" s="21" t="s">
        <v>338</v>
      </c>
      <c r="F255" s="21" t="s">
        <v>325</v>
      </c>
      <c r="G255" s="27">
        <f t="shared" si="24"/>
        <v>0</v>
      </c>
      <c r="H255" s="204"/>
    </row>
    <row r="256" spans="1:8" ht="15.75" hidden="1">
      <c r="A256" s="26" t="s">
        <v>326</v>
      </c>
      <c r="B256" s="17">
        <v>903</v>
      </c>
      <c r="C256" s="21" t="s">
        <v>316</v>
      </c>
      <c r="D256" s="21" t="s">
        <v>267</v>
      </c>
      <c r="E256" s="21" t="s">
        <v>338</v>
      </c>
      <c r="F256" s="21" t="s">
        <v>327</v>
      </c>
      <c r="G256" s="27">
        <v>0</v>
      </c>
      <c r="H256" s="204"/>
    </row>
    <row r="257" spans="1:8" ht="47.25" hidden="1">
      <c r="A257" s="37" t="s">
        <v>339</v>
      </c>
      <c r="B257" s="17">
        <v>903</v>
      </c>
      <c r="C257" s="21" t="s">
        <v>316</v>
      </c>
      <c r="D257" s="21" t="s">
        <v>267</v>
      </c>
      <c r="E257" s="21" t="s">
        <v>340</v>
      </c>
      <c r="F257" s="21"/>
      <c r="G257" s="27">
        <f aca="true" t="shared" si="25" ref="G257:G258">G258</f>
        <v>0</v>
      </c>
      <c r="H257" s="204"/>
    </row>
    <row r="258" spans="1:8" ht="47.25" hidden="1">
      <c r="A258" s="26" t="s">
        <v>324</v>
      </c>
      <c r="B258" s="17">
        <v>903</v>
      </c>
      <c r="C258" s="21" t="s">
        <v>316</v>
      </c>
      <c r="D258" s="21" t="s">
        <v>267</v>
      </c>
      <c r="E258" s="21" t="s">
        <v>340</v>
      </c>
      <c r="F258" s="21" t="s">
        <v>325</v>
      </c>
      <c r="G258" s="27">
        <f t="shared" si="25"/>
        <v>0</v>
      </c>
      <c r="H258" s="204"/>
    </row>
    <row r="259" spans="1:8" ht="15.75" hidden="1">
      <c r="A259" s="26" t="s">
        <v>326</v>
      </c>
      <c r="B259" s="17">
        <v>903</v>
      </c>
      <c r="C259" s="21" t="s">
        <v>316</v>
      </c>
      <c r="D259" s="21" t="s">
        <v>267</v>
      </c>
      <c r="E259" s="21" t="s">
        <v>340</v>
      </c>
      <c r="F259" s="21" t="s">
        <v>327</v>
      </c>
      <c r="G259" s="27">
        <v>0</v>
      </c>
      <c r="H259" s="204"/>
    </row>
    <row r="260" spans="1:8" ht="15.75">
      <c r="A260" s="26" t="s">
        <v>173</v>
      </c>
      <c r="B260" s="17">
        <v>903</v>
      </c>
      <c r="C260" s="21" t="s">
        <v>316</v>
      </c>
      <c r="D260" s="21" t="s">
        <v>267</v>
      </c>
      <c r="E260" s="21" t="s">
        <v>174</v>
      </c>
      <c r="F260" s="21"/>
      <c r="G260" s="27">
        <f aca="true" t="shared" si="26" ref="G260">G261</f>
        <v>1037.1000000000001</v>
      </c>
      <c r="H260" s="204"/>
    </row>
    <row r="261" spans="1:8" ht="31.5">
      <c r="A261" s="26" t="s">
        <v>237</v>
      </c>
      <c r="B261" s="17">
        <v>903</v>
      </c>
      <c r="C261" s="21" t="s">
        <v>316</v>
      </c>
      <c r="D261" s="21" t="s">
        <v>267</v>
      </c>
      <c r="E261" s="21" t="s">
        <v>238</v>
      </c>
      <c r="F261" s="21"/>
      <c r="G261" s="27">
        <f>G262+G265+G268</f>
        <v>1037.1000000000001</v>
      </c>
      <c r="H261" s="204"/>
    </row>
    <row r="262" spans="1:8" ht="63">
      <c r="A262" s="33" t="s">
        <v>341</v>
      </c>
      <c r="B262" s="17">
        <v>903</v>
      </c>
      <c r="C262" s="21" t="s">
        <v>316</v>
      </c>
      <c r="D262" s="21" t="s">
        <v>267</v>
      </c>
      <c r="E262" s="21" t="s">
        <v>342</v>
      </c>
      <c r="F262" s="21"/>
      <c r="G262" s="27">
        <f>G263</f>
        <v>126.69999999999999</v>
      </c>
      <c r="H262" s="204"/>
    </row>
    <row r="263" spans="1:8" ht="47.25">
      <c r="A263" s="26" t="s">
        <v>324</v>
      </c>
      <c r="B263" s="17">
        <v>903</v>
      </c>
      <c r="C263" s="21" t="s">
        <v>316</v>
      </c>
      <c r="D263" s="21" t="s">
        <v>267</v>
      </c>
      <c r="E263" s="21" t="s">
        <v>342</v>
      </c>
      <c r="F263" s="21" t="s">
        <v>325</v>
      </c>
      <c r="G263" s="27">
        <f>G264</f>
        <v>126.69999999999999</v>
      </c>
      <c r="H263" s="204"/>
    </row>
    <row r="264" spans="1:9" ht="15.75">
      <c r="A264" s="26" t="s">
        <v>326</v>
      </c>
      <c r="B264" s="17">
        <v>903</v>
      </c>
      <c r="C264" s="21" t="s">
        <v>316</v>
      </c>
      <c r="D264" s="21" t="s">
        <v>267</v>
      </c>
      <c r="E264" s="21" t="s">
        <v>342</v>
      </c>
      <c r="F264" s="21" t="s">
        <v>327</v>
      </c>
      <c r="G264" s="27">
        <f>162.6-35.9</f>
        <v>126.69999999999999</v>
      </c>
      <c r="H264" s="204"/>
      <c r="I264" s="138"/>
    </row>
    <row r="265" spans="1:8" ht="78.75">
      <c r="A265" s="33" t="s">
        <v>343</v>
      </c>
      <c r="B265" s="17">
        <v>903</v>
      </c>
      <c r="C265" s="21" t="s">
        <v>316</v>
      </c>
      <c r="D265" s="21" t="s">
        <v>267</v>
      </c>
      <c r="E265" s="21" t="s">
        <v>344</v>
      </c>
      <c r="F265" s="21"/>
      <c r="G265" s="27">
        <f>G266</f>
        <v>310.70000000000005</v>
      </c>
      <c r="H265" s="204"/>
    </row>
    <row r="266" spans="1:8" ht="47.25">
      <c r="A266" s="26" t="s">
        <v>324</v>
      </c>
      <c r="B266" s="17">
        <v>903</v>
      </c>
      <c r="C266" s="21" t="s">
        <v>316</v>
      </c>
      <c r="D266" s="21" t="s">
        <v>267</v>
      </c>
      <c r="E266" s="21" t="s">
        <v>344</v>
      </c>
      <c r="F266" s="21" t="s">
        <v>325</v>
      </c>
      <c r="G266" s="27">
        <f>G267</f>
        <v>310.70000000000005</v>
      </c>
      <c r="H266" s="204"/>
    </row>
    <row r="267" spans="1:9" ht="15.75">
      <c r="A267" s="26" t="s">
        <v>326</v>
      </c>
      <c r="B267" s="17">
        <v>903</v>
      </c>
      <c r="C267" s="21" t="s">
        <v>316</v>
      </c>
      <c r="D267" s="21" t="s">
        <v>267</v>
      </c>
      <c r="E267" s="21" t="s">
        <v>344</v>
      </c>
      <c r="F267" s="21" t="s">
        <v>327</v>
      </c>
      <c r="G267" s="27">
        <f>393.3-82.6</f>
        <v>310.70000000000005</v>
      </c>
      <c r="H267" s="204"/>
      <c r="I267" s="138"/>
    </row>
    <row r="268" spans="1:8" ht="110.25">
      <c r="A268" s="33" t="s">
        <v>345</v>
      </c>
      <c r="B268" s="17">
        <v>903</v>
      </c>
      <c r="C268" s="21" t="s">
        <v>316</v>
      </c>
      <c r="D268" s="21" t="s">
        <v>267</v>
      </c>
      <c r="E268" s="21" t="s">
        <v>346</v>
      </c>
      <c r="F268" s="21"/>
      <c r="G268" s="27">
        <f>G269</f>
        <v>599.7</v>
      </c>
      <c r="H268" s="204"/>
    </row>
    <row r="269" spans="1:8" ht="47.25">
      <c r="A269" s="26" t="s">
        <v>324</v>
      </c>
      <c r="B269" s="17">
        <v>903</v>
      </c>
      <c r="C269" s="21" t="s">
        <v>316</v>
      </c>
      <c r="D269" s="21" t="s">
        <v>267</v>
      </c>
      <c r="E269" s="21" t="s">
        <v>346</v>
      </c>
      <c r="F269" s="21" t="s">
        <v>325</v>
      </c>
      <c r="G269" s="27">
        <f>G270</f>
        <v>599.7</v>
      </c>
      <c r="H269" s="204"/>
    </row>
    <row r="270" spans="1:9" ht="15.75">
      <c r="A270" s="26" t="s">
        <v>326</v>
      </c>
      <c r="B270" s="17">
        <v>903</v>
      </c>
      <c r="C270" s="21" t="s">
        <v>316</v>
      </c>
      <c r="D270" s="21" t="s">
        <v>267</v>
      </c>
      <c r="E270" s="21" t="s">
        <v>346</v>
      </c>
      <c r="F270" s="21" t="s">
        <v>327</v>
      </c>
      <c r="G270" s="27">
        <f>600-0.3</f>
        <v>599.7</v>
      </c>
      <c r="H270" s="204"/>
      <c r="I270" s="138"/>
    </row>
    <row r="271" spans="1:8" ht="15.75" hidden="1">
      <c r="A271" s="24" t="s">
        <v>347</v>
      </c>
      <c r="B271" s="20">
        <v>903</v>
      </c>
      <c r="C271" s="25" t="s">
        <v>316</v>
      </c>
      <c r="D271" s="25" t="s">
        <v>271</v>
      </c>
      <c r="E271" s="25"/>
      <c r="F271" s="25"/>
      <c r="G271" s="27">
        <f aca="true" t="shared" si="27" ref="G271:G275">G272</f>
        <v>0</v>
      </c>
      <c r="H271" s="204"/>
    </row>
    <row r="272" spans="1:8" ht="15.75" hidden="1">
      <c r="A272" s="26" t="s">
        <v>173</v>
      </c>
      <c r="B272" s="17">
        <v>903</v>
      </c>
      <c r="C272" s="21" t="s">
        <v>316</v>
      </c>
      <c r="D272" s="21" t="s">
        <v>271</v>
      </c>
      <c r="E272" s="21" t="s">
        <v>174</v>
      </c>
      <c r="F272" s="21"/>
      <c r="G272" s="27">
        <f t="shared" si="27"/>
        <v>0</v>
      </c>
      <c r="H272" s="204"/>
    </row>
    <row r="273" spans="1:8" ht="31.5" hidden="1">
      <c r="A273" s="26" t="s">
        <v>237</v>
      </c>
      <c r="B273" s="17">
        <v>903</v>
      </c>
      <c r="C273" s="21" t="s">
        <v>316</v>
      </c>
      <c r="D273" s="21" t="s">
        <v>271</v>
      </c>
      <c r="E273" s="21" t="s">
        <v>238</v>
      </c>
      <c r="F273" s="21"/>
      <c r="G273" s="27">
        <f t="shared" si="27"/>
        <v>0</v>
      </c>
      <c r="H273" s="204"/>
    </row>
    <row r="274" spans="1:8" ht="31.5" hidden="1">
      <c r="A274" s="38" t="s">
        <v>348</v>
      </c>
      <c r="B274" s="39">
        <v>903</v>
      </c>
      <c r="C274" s="21" t="s">
        <v>316</v>
      </c>
      <c r="D274" s="21" t="s">
        <v>271</v>
      </c>
      <c r="E274" s="21" t="s">
        <v>349</v>
      </c>
      <c r="F274" s="21"/>
      <c r="G274" s="27">
        <f t="shared" si="27"/>
        <v>0</v>
      </c>
      <c r="H274" s="204"/>
    </row>
    <row r="275" spans="1:8" ht="15.75" hidden="1">
      <c r="A275" s="26" t="s">
        <v>187</v>
      </c>
      <c r="B275" s="17">
        <v>903</v>
      </c>
      <c r="C275" s="21" t="s">
        <v>316</v>
      </c>
      <c r="D275" s="21" t="s">
        <v>271</v>
      </c>
      <c r="E275" s="21" t="s">
        <v>349</v>
      </c>
      <c r="F275" s="21" t="s">
        <v>197</v>
      </c>
      <c r="G275" s="27">
        <f t="shared" si="27"/>
        <v>0</v>
      </c>
      <c r="H275" s="204"/>
    </row>
    <row r="276" spans="1:8" ht="63" hidden="1">
      <c r="A276" s="26" t="s">
        <v>236</v>
      </c>
      <c r="B276" s="17">
        <v>903</v>
      </c>
      <c r="C276" s="21" t="s">
        <v>316</v>
      </c>
      <c r="D276" s="21" t="s">
        <v>271</v>
      </c>
      <c r="E276" s="21" t="s">
        <v>349</v>
      </c>
      <c r="F276" s="21" t="s">
        <v>212</v>
      </c>
      <c r="G276" s="27"/>
      <c r="H276" s="204"/>
    </row>
    <row r="277" spans="1:8" ht="15.75">
      <c r="A277" s="24" t="s">
        <v>350</v>
      </c>
      <c r="B277" s="20">
        <v>903</v>
      </c>
      <c r="C277" s="25" t="s">
        <v>351</v>
      </c>
      <c r="D277" s="25"/>
      <c r="E277" s="25"/>
      <c r="F277" s="25"/>
      <c r="G277" s="22">
        <f>G278+G358</f>
        <v>61699.8</v>
      </c>
      <c r="H277" s="204"/>
    </row>
    <row r="278" spans="1:8" ht="15.75">
      <c r="A278" s="24" t="s">
        <v>352</v>
      </c>
      <c r="B278" s="20">
        <v>903</v>
      </c>
      <c r="C278" s="25" t="s">
        <v>351</v>
      </c>
      <c r="D278" s="25" t="s">
        <v>170</v>
      </c>
      <c r="E278" s="25"/>
      <c r="F278" s="25"/>
      <c r="G278" s="22">
        <f>G279+G337+G333</f>
        <v>44421.00000000001</v>
      </c>
      <c r="H278" s="204"/>
    </row>
    <row r="279" spans="1:8" ht="47.25">
      <c r="A279" s="26" t="s">
        <v>318</v>
      </c>
      <c r="B279" s="17">
        <v>903</v>
      </c>
      <c r="C279" s="21" t="s">
        <v>351</v>
      </c>
      <c r="D279" s="21" t="s">
        <v>170</v>
      </c>
      <c r="E279" s="21" t="s">
        <v>319</v>
      </c>
      <c r="F279" s="21"/>
      <c r="G279" s="27">
        <f>G280+G306</f>
        <v>42083.100000000006</v>
      </c>
      <c r="H279" s="204"/>
    </row>
    <row r="280" spans="1:8" ht="63">
      <c r="A280" s="26" t="s">
        <v>353</v>
      </c>
      <c r="B280" s="17">
        <v>903</v>
      </c>
      <c r="C280" s="21" t="s">
        <v>351</v>
      </c>
      <c r="D280" s="21" t="s">
        <v>170</v>
      </c>
      <c r="E280" s="21" t="s">
        <v>354</v>
      </c>
      <c r="F280" s="21"/>
      <c r="G280" s="27">
        <f>G281+G299+G284+G287+G290+G293+G296</f>
        <v>25422.5</v>
      </c>
      <c r="H280" s="204"/>
    </row>
    <row r="281" spans="1:8" ht="52.5" customHeight="1">
      <c r="A281" s="26" t="s">
        <v>355</v>
      </c>
      <c r="B281" s="17">
        <v>903</v>
      </c>
      <c r="C281" s="21" t="s">
        <v>351</v>
      </c>
      <c r="D281" s="21" t="s">
        <v>170</v>
      </c>
      <c r="E281" s="21" t="s">
        <v>356</v>
      </c>
      <c r="F281" s="21"/>
      <c r="G281" s="27">
        <f>G282</f>
        <v>23654.800000000003</v>
      </c>
      <c r="H281" s="204"/>
    </row>
    <row r="282" spans="1:8" ht="47.25">
      <c r="A282" s="26" t="s">
        <v>324</v>
      </c>
      <c r="B282" s="17">
        <v>903</v>
      </c>
      <c r="C282" s="21" t="s">
        <v>351</v>
      </c>
      <c r="D282" s="21" t="s">
        <v>170</v>
      </c>
      <c r="E282" s="21" t="s">
        <v>356</v>
      </c>
      <c r="F282" s="21" t="s">
        <v>325</v>
      </c>
      <c r="G282" s="27">
        <f aca="true" t="shared" si="28" ref="G282">G283</f>
        <v>23654.800000000003</v>
      </c>
      <c r="H282" s="204"/>
    </row>
    <row r="283" spans="1:9" ht="15.75">
      <c r="A283" s="26" t="s">
        <v>326</v>
      </c>
      <c r="B283" s="17">
        <v>903</v>
      </c>
      <c r="C283" s="21" t="s">
        <v>351</v>
      </c>
      <c r="D283" s="21" t="s">
        <v>170</v>
      </c>
      <c r="E283" s="21" t="s">
        <v>356</v>
      </c>
      <c r="F283" s="21" t="s">
        <v>327</v>
      </c>
      <c r="G283" s="28">
        <f>25081.9+2671.4-3136.8-961.7</f>
        <v>23654.800000000003</v>
      </c>
      <c r="H283" s="129"/>
      <c r="I283" s="148"/>
    </row>
    <row r="284" spans="1:12" ht="47.25">
      <c r="A284" s="26" t="s">
        <v>798</v>
      </c>
      <c r="B284" s="17">
        <v>903</v>
      </c>
      <c r="C284" s="21" t="s">
        <v>351</v>
      </c>
      <c r="D284" s="21" t="s">
        <v>170</v>
      </c>
      <c r="E284" s="21" t="s">
        <v>357</v>
      </c>
      <c r="F284" s="21"/>
      <c r="G284" s="27">
        <f aca="true" t="shared" si="29" ref="G284:G285">G285</f>
        <v>96.1</v>
      </c>
      <c r="H284" s="204"/>
      <c r="L284" s="140"/>
    </row>
    <row r="285" spans="1:8" ht="47.25">
      <c r="A285" s="26" t="s">
        <v>324</v>
      </c>
      <c r="B285" s="17">
        <v>903</v>
      </c>
      <c r="C285" s="21" t="s">
        <v>351</v>
      </c>
      <c r="D285" s="21" t="s">
        <v>170</v>
      </c>
      <c r="E285" s="21" t="s">
        <v>357</v>
      </c>
      <c r="F285" s="21" t="s">
        <v>325</v>
      </c>
      <c r="G285" s="27">
        <f t="shared" si="29"/>
        <v>96.1</v>
      </c>
      <c r="H285" s="204"/>
    </row>
    <row r="286" spans="1:8" ht="15.75">
      <c r="A286" s="26" t="s">
        <v>326</v>
      </c>
      <c r="B286" s="17">
        <v>903</v>
      </c>
      <c r="C286" s="21" t="s">
        <v>351</v>
      </c>
      <c r="D286" s="21" t="s">
        <v>170</v>
      </c>
      <c r="E286" s="21" t="s">
        <v>357</v>
      </c>
      <c r="F286" s="21" t="s">
        <v>327</v>
      </c>
      <c r="G286" s="27">
        <v>96.1</v>
      </c>
      <c r="H286" s="129"/>
    </row>
    <row r="287" spans="1:8" ht="47.25">
      <c r="A287" s="26" t="s">
        <v>330</v>
      </c>
      <c r="B287" s="17">
        <v>903</v>
      </c>
      <c r="C287" s="21" t="s">
        <v>351</v>
      </c>
      <c r="D287" s="21" t="s">
        <v>170</v>
      </c>
      <c r="E287" s="21" t="s">
        <v>358</v>
      </c>
      <c r="F287" s="21"/>
      <c r="G287" s="27">
        <f aca="true" t="shared" si="30" ref="G287">G288</f>
        <v>142.1</v>
      </c>
      <c r="H287" s="204"/>
    </row>
    <row r="288" spans="1:8" ht="47.25">
      <c r="A288" s="26" t="s">
        <v>324</v>
      </c>
      <c r="B288" s="17">
        <v>903</v>
      </c>
      <c r="C288" s="21" t="s">
        <v>351</v>
      </c>
      <c r="D288" s="21" t="s">
        <v>170</v>
      </c>
      <c r="E288" s="21" t="s">
        <v>358</v>
      </c>
      <c r="F288" s="21" t="s">
        <v>325</v>
      </c>
      <c r="G288" s="27">
        <f>G289</f>
        <v>142.1</v>
      </c>
      <c r="H288" s="204"/>
    </row>
    <row r="289" spans="1:9" ht="15.75">
      <c r="A289" s="26" t="s">
        <v>326</v>
      </c>
      <c r="B289" s="17">
        <v>903</v>
      </c>
      <c r="C289" s="21" t="s">
        <v>351</v>
      </c>
      <c r="D289" s="21" t="s">
        <v>170</v>
      </c>
      <c r="E289" s="21" t="s">
        <v>358</v>
      </c>
      <c r="F289" s="21" t="s">
        <v>327</v>
      </c>
      <c r="G289" s="27">
        <v>142.1</v>
      </c>
      <c r="H289" s="204"/>
      <c r="I289" s="138"/>
    </row>
    <row r="290" spans="1:8" ht="15.75">
      <c r="A290" s="26" t="s">
        <v>359</v>
      </c>
      <c r="B290" s="17">
        <v>903</v>
      </c>
      <c r="C290" s="21" t="s">
        <v>351</v>
      </c>
      <c r="D290" s="21" t="s">
        <v>170</v>
      </c>
      <c r="E290" s="21" t="s">
        <v>360</v>
      </c>
      <c r="F290" s="21"/>
      <c r="G290" s="27">
        <f>G291</f>
        <v>1529.5</v>
      </c>
      <c r="H290" s="204"/>
    </row>
    <row r="291" spans="1:8" ht="47.25">
      <c r="A291" s="26" t="s">
        <v>324</v>
      </c>
      <c r="B291" s="17">
        <v>903</v>
      </c>
      <c r="C291" s="21" t="s">
        <v>351</v>
      </c>
      <c r="D291" s="21" t="s">
        <v>170</v>
      </c>
      <c r="E291" s="21" t="s">
        <v>360</v>
      </c>
      <c r="F291" s="21" t="s">
        <v>325</v>
      </c>
      <c r="G291" s="27">
        <f aca="true" t="shared" si="31" ref="G291">G292</f>
        <v>1529.5</v>
      </c>
      <c r="H291" s="204"/>
    </row>
    <row r="292" spans="1:10" ht="15.75">
      <c r="A292" s="26" t="s">
        <v>326</v>
      </c>
      <c r="B292" s="17">
        <v>903</v>
      </c>
      <c r="C292" s="21" t="s">
        <v>351</v>
      </c>
      <c r="D292" s="21" t="s">
        <v>170</v>
      </c>
      <c r="E292" s="21" t="s">
        <v>360</v>
      </c>
      <c r="F292" s="21" t="s">
        <v>327</v>
      </c>
      <c r="G292" s="27">
        <f>411.9+1117.6</f>
        <v>1529.5</v>
      </c>
      <c r="H292" s="129"/>
      <c r="I292" s="148"/>
      <c r="J292" s="132"/>
    </row>
    <row r="293" spans="1:8" ht="31.5" hidden="1">
      <c r="A293" s="26" t="s">
        <v>336</v>
      </c>
      <c r="B293" s="17">
        <v>903</v>
      </c>
      <c r="C293" s="21" t="s">
        <v>351</v>
      </c>
      <c r="D293" s="21" t="s">
        <v>170</v>
      </c>
      <c r="E293" s="21" t="s">
        <v>337</v>
      </c>
      <c r="F293" s="21"/>
      <c r="G293" s="27">
        <f aca="true" t="shared" si="32" ref="G293:G294">G294</f>
        <v>0</v>
      </c>
      <c r="H293" s="204"/>
    </row>
    <row r="294" spans="1:8" ht="47.25" hidden="1">
      <c r="A294" s="26" t="s">
        <v>324</v>
      </c>
      <c r="B294" s="17">
        <v>903</v>
      </c>
      <c r="C294" s="21" t="s">
        <v>351</v>
      </c>
      <c r="D294" s="21" t="s">
        <v>170</v>
      </c>
      <c r="E294" s="21" t="s">
        <v>337</v>
      </c>
      <c r="F294" s="21" t="s">
        <v>325</v>
      </c>
      <c r="G294" s="27">
        <f t="shared" si="32"/>
        <v>0</v>
      </c>
      <c r="H294" s="204"/>
    </row>
    <row r="295" spans="1:8" ht="15.75" hidden="1">
      <c r="A295" s="26" t="s">
        <v>326</v>
      </c>
      <c r="B295" s="17">
        <v>903</v>
      </c>
      <c r="C295" s="21" t="s">
        <v>351</v>
      </c>
      <c r="D295" s="21" t="s">
        <v>170</v>
      </c>
      <c r="E295" s="21" t="s">
        <v>337</v>
      </c>
      <c r="F295" s="21" t="s">
        <v>327</v>
      </c>
      <c r="G295" s="27">
        <v>0</v>
      </c>
      <c r="H295" s="204"/>
    </row>
    <row r="296" spans="1:8" ht="47.25" hidden="1">
      <c r="A296" s="37" t="s">
        <v>339</v>
      </c>
      <c r="B296" s="17">
        <v>903</v>
      </c>
      <c r="C296" s="21" t="s">
        <v>351</v>
      </c>
      <c r="D296" s="21" t="s">
        <v>170</v>
      </c>
      <c r="E296" s="21" t="s">
        <v>361</v>
      </c>
      <c r="F296" s="21"/>
      <c r="G296" s="27">
        <f aca="true" t="shared" si="33" ref="G296:G297">G297</f>
        <v>0</v>
      </c>
      <c r="H296" s="204"/>
    </row>
    <row r="297" spans="1:8" ht="47.25" hidden="1">
      <c r="A297" s="26" t="s">
        <v>324</v>
      </c>
      <c r="B297" s="17">
        <v>903</v>
      </c>
      <c r="C297" s="21" t="s">
        <v>351</v>
      </c>
      <c r="D297" s="21" t="s">
        <v>170</v>
      </c>
      <c r="E297" s="21" t="s">
        <v>361</v>
      </c>
      <c r="F297" s="21" t="s">
        <v>325</v>
      </c>
      <c r="G297" s="27">
        <f t="shared" si="33"/>
        <v>0</v>
      </c>
      <c r="H297" s="204"/>
    </row>
    <row r="298" spans="1:8" ht="15.75" hidden="1">
      <c r="A298" s="26" t="s">
        <v>326</v>
      </c>
      <c r="B298" s="17">
        <v>903</v>
      </c>
      <c r="C298" s="21" t="s">
        <v>351</v>
      </c>
      <c r="D298" s="21" t="s">
        <v>170</v>
      </c>
      <c r="E298" s="21" t="s">
        <v>361</v>
      </c>
      <c r="F298" s="21" t="s">
        <v>327</v>
      </c>
      <c r="G298" s="27">
        <v>0</v>
      </c>
      <c r="H298" s="204"/>
    </row>
    <row r="299" spans="1:8" ht="47.25" customHeight="1" hidden="1">
      <c r="A299" s="26" t="s">
        <v>362</v>
      </c>
      <c r="B299" s="17">
        <v>903</v>
      </c>
      <c r="C299" s="21" t="s">
        <v>351</v>
      </c>
      <c r="D299" s="21" t="s">
        <v>170</v>
      </c>
      <c r="E299" s="21" t="s">
        <v>363</v>
      </c>
      <c r="F299" s="21"/>
      <c r="G299" s="27">
        <f aca="true" t="shared" si="34" ref="G299">G300+G302+G304</f>
        <v>0</v>
      </c>
      <c r="H299" s="204"/>
    </row>
    <row r="300" spans="1:8" ht="94.5" hidden="1">
      <c r="A300" s="26" t="s">
        <v>179</v>
      </c>
      <c r="B300" s="17">
        <v>903</v>
      </c>
      <c r="C300" s="21" t="s">
        <v>351</v>
      </c>
      <c r="D300" s="21" t="s">
        <v>170</v>
      </c>
      <c r="E300" s="21" t="s">
        <v>363</v>
      </c>
      <c r="F300" s="21" t="s">
        <v>180</v>
      </c>
      <c r="G300" s="27">
        <f aca="true" t="shared" si="35" ref="G300">G301</f>
        <v>0</v>
      </c>
      <c r="H300" s="204"/>
    </row>
    <row r="301" spans="1:8" ht="31.5" hidden="1">
      <c r="A301" s="26" t="s">
        <v>260</v>
      </c>
      <c r="B301" s="17">
        <v>903</v>
      </c>
      <c r="C301" s="21" t="s">
        <v>351</v>
      </c>
      <c r="D301" s="21" t="s">
        <v>170</v>
      </c>
      <c r="E301" s="21" t="s">
        <v>363</v>
      </c>
      <c r="F301" s="21" t="s">
        <v>261</v>
      </c>
      <c r="G301" s="28">
        <v>0</v>
      </c>
      <c r="H301" s="204"/>
    </row>
    <row r="302" spans="1:8" ht="31.5" hidden="1">
      <c r="A302" s="26" t="s">
        <v>183</v>
      </c>
      <c r="B302" s="17">
        <v>903</v>
      </c>
      <c r="C302" s="21" t="s">
        <v>351</v>
      </c>
      <c r="D302" s="21" t="s">
        <v>170</v>
      </c>
      <c r="E302" s="21" t="s">
        <v>363</v>
      </c>
      <c r="F302" s="21" t="s">
        <v>184</v>
      </c>
      <c r="G302" s="27">
        <f aca="true" t="shared" si="36" ref="G302">G303</f>
        <v>0</v>
      </c>
      <c r="H302" s="204"/>
    </row>
    <row r="303" spans="1:8" ht="47.25" hidden="1">
      <c r="A303" s="26" t="s">
        <v>185</v>
      </c>
      <c r="B303" s="17">
        <v>903</v>
      </c>
      <c r="C303" s="21" t="s">
        <v>351</v>
      </c>
      <c r="D303" s="21" t="s">
        <v>170</v>
      </c>
      <c r="E303" s="21" t="s">
        <v>363</v>
      </c>
      <c r="F303" s="21" t="s">
        <v>186</v>
      </c>
      <c r="G303" s="28">
        <v>0</v>
      </c>
      <c r="H303" s="204"/>
    </row>
    <row r="304" spans="1:8" ht="15.75" hidden="1">
      <c r="A304" s="26" t="s">
        <v>187</v>
      </c>
      <c r="B304" s="17">
        <v>903</v>
      </c>
      <c r="C304" s="21" t="s">
        <v>351</v>
      </c>
      <c r="D304" s="21" t="s">
        <v>170</v>
      </c>
      <c r="E304" s="21" t="s">
        <v>363</v>
      </c>
      <c r="F304" s="21" t="s">
        <v>197</v>
      </c>
      <c r="G304" s="27">
        <f aca="true" t="shared" si="37" ref="G304">G305</f>
        <v>0</v>
      </c>
      <c r="H304" s="204"/>
    </row>
    <row r="305" spans="1:8" ht="15.75" hidden="1">
      <c r="A305" s="26" t="s">
        <v>189</v>
      </c>
      <c r="B305" s="17">
        <v>903</v>
      </c>
      <c r="C305" s="21" t="s">
        <v>351</v>
      </c>
      <c r="D305" s="21" t="s">
        <v>170</v>
      </c>
      <c r="E305" s="21" t="s">
        <v>363</v>
      </c>
      <c r="F305" s="21" t="s">
        <v>190</v>
      </c>
      <c r="G305" s="27">
        <v>0</v>
      </c>
      <c r="H305" s="204"/>
    </row>
    <row r="306" spans="1:8" ht="47.25">
      <c r="A306" s="26" t="s">
        <v>364</v>
      </c>
      <c r="B306" s="17">
        <v>903</v>
      </c>
      <c r="C306" s="21" t="s">
        <v>351</v>
      </c>
      <c r="D306" s="21" t="s">
        <v>170</v>
      </c>
      <c r="E306" s="21" t="s">
        <v>365</v>
      </c>
      <c r="F306" s="21"/>
      <c r="G306" s="27">
        <f>G307+G330+G318+G321+G324+G327+G310+G315</f>
        <v>16660.600000000002</v>
      </c>
      <c r="H306" s="204"/>
    </row>
    <row r="307" spans="1:8" ht="51" customHeight="1">
      <c r="A307" s="26" t="s">
        <v>355</v>
      </c>
      <c r="B307" s="17">
        <v>903</v>
      </c>
      <c r="C307" s="21" t="s">
        <v>351</v>
      </c>
      <c r="D307" s="21" t="s">
        <v>170</v>
      </c>
      <c r="E307" s="21" t="s">
        <v>366</v>
      </c>
      <c r="F307" s="21"/>
      <c r="G307" s="27">
        <f>G308</f>
        <v>16655.2</v>
      </c>
      <c r="H307" s="204"/>
    </row>
    <row r="308" spans="1:8" ht="47.25">
      <c r="A308" s="26" t="s">
        <v>324</v>
      </c>
      <c r="B308" s="17">
        <v>903</v>
      </c>
      <c r="C308" s="21" t="s">
        <v>351</v>
      </c>
      <c r="D308" s="21" t="s">
        <v>170</v>
      </c>
      <c r="E308" s="21" t="s">
        <v>366</v>
      </c>
      <c r="F308" s="21" t="s">
        <v>325</v>
      </c>
      <c r="G308" s="27">
        <f aca="true" t="shared" si="38" ref="G308">G309</f>
        <v>16655.2</v>
      </c>
      <c r="H308" s="204"/>
    </row>
    <row r="309" spans="1:9" ht="15.75">
      <c r="A309" s="26" t="s">
        <v>326</v>
      </c>
      <c r="B309" s="17">
        <v>903</v>
      </c>
      <c r="C309" s="21" t="s">
        <v>351</v>
      </c>
      <c r="D309" s="21" t="s">
        <v>170</v>
      </c>
      <c r="E309" s="21" t="s">
        <v>366</v>
      </c>
      <c r="F309" s="21" t="s">
        <v>327</v>
      </c>
      <c r="G309" s="28">
        <f>18073+419.6-1705.8+78.4-210</f>
        <v>16655.2</v>
      </c>
      <c r="H309" s="129"/>
      <c r="I309" s="148"/>
    </row>
    <row r="310" spans="1:8" ht="38.25" customHeight="1">
      <c r="A310" s="26" t="s">
        <v>367</v>
      </c>
      <c r="B310" s="17">
        <v>903</v>
      </c>
      <c r="C310" s="21" t="s">
        <v>351</v>
      </c>
      <c r="D310" s="21" t="s">
        <v>170</v>
      </c>
      <c r="E310" s="21" t="s">
        <v>368</v>
      </c>
      <c r="F310" s="21"/>
      <c r="G310" s="28">
        <f aca="true" t="shared" si="39" ref="G310">G311+G313</f>
        <v>5</v>
      </c>
      <c r="H310" s="204"/>
    </row>
    <row r="311" spans="1:8" ht="31.5" hidden="1">
      <c r="A311" s="26" t="s">
        <v>183</v>
      </c>
      <c r="B311" s="17">
        <v>903</v>
      </c>
      <c r="C311" s="21" t="s">
        <v>351</v>
      </c>
      <c r="D311" s="21" t="s">
        <v>170</v>
      </c>
      <c r="E311" s="21" t="s">
        <v>368</v>
      </c>
      <c r="F311" s="21" t="s">
        <v>184</v>
      </c>
      <c r="G311" s="28">
        <f aca="true" t="shared" si="40" ref="G311">G312</f>
        <v>0</v>
      </c>
      <c r="H311" s="204"/>
    </row>
    <row r="312" spans="1:8" ht="47.25" hidden="1">
      <c r="A312" s="26" t="s">
        <v>185</v>
      </c>
      <c r="B312" s="17">
        <v>903</v>
      </c>
      <c r="C312" s="21" t="s">
        <v>351</v>
      </c>
      <c r="D312" s="21" t="s">
        <v>170</v>
      </c>
      <c r="E312" s="21" t="s">
        <v>368</v>
      </c>
      <c r="F312" s="21" t="s">
        <v>186</v>
      </c>
      <c r="G312" s="28">
        <v>0</v>
      </c>
      <c r="H312" s="204"/>
    </row>
    <row r="313" spans="1:8" ht="47.25">
      <c r="A313" s="26" t="s">
        <v>324</v>
      </c>
      <c r="B313" s="17">
        <v>903</v>
      </c>
      <c r="C313" s="21" t="s">
        <v>351</v>
      </c>
      <c r="D313" s="21" t="s">
        <v>170</v>
      </c>
      <c r="E313" s="21" t="s">
        <v>368</v>
      </c>
      <c r="F313" s="21" t="s">
        <v>325</v>
      </c>
      <c r="G313" s="28">
        <f>G314</f>
        <v>5</v>
      </c>
      <c r="H313" s="204"/>
    </row>
    <row r="314" spans="1:8" ht="15.75">
      <c r="A314" s="26" t="s">
        <v>326</v>
      </c>
      <c r="B314" s="17">
        <v>903</v>
      </c>
      <c r="C314" s="21" t="s">
        <v>351</v>
      </c>
      <c r="D314" s="21" t="s">
        <v>170</v>
      </c>
      <c r="E314" s="21" t="s">
        <v>368</v>
      </c>
      <c r="F314" s="21" t="s">
        <v>327</v>
      </c>
      <c r="G314" s="28">
        <v>5</v>
      </c>
      <c r="H314" s="204"/>
    </row>
    <row r="315" spans="1:8" ht="15.75">
      <c r="A315" s="26" t="s">
        <v>766</v>
      </c>
      <c r="B315" s="17">
        <v>903</v>
      </c>
      <c r="C315" s="21" t="s">
        <v>351</v>
      </c>
      <c r="D315" s="21" t="s">
        <v>170</v>
      </c>
      <c r="E315" s="21" t="s">
        <v>767</v>
      </c>
      <c r="F315" s="21"/>
      <c r="G315" s="28">
        <f>G316</f>
        <v>0.4</v>
      </c>
      <c r="H315" s="204"/>
    </row>
    <row r="316" spans="1:8" ht="47.25">
      <c r="A316" s="26" t="s">
        <v>324</v>
      </c>
      <c r="B316" s="17">
        <v>903</v>
      </c>
      <c r="C316" s="21" t="s">
        <v>351</v>
      </c>
      <c r="D316" s="21" t="s">
        <v>170</v>
      </c>
      <c r="E316" s="21" t="s">
        <v>767</v>
      </c>
      <c r="F316" s="21" t="s">
        <v>325</v>
      </c>
      <c r="G316" s="28">
        <f>G317</f>
        <v>0.4</v>
      </c>
      <c r="H316" s="204"/>
    </row>
    <row r="317" spans="1:8" ht="15.75">
      <c r="A317" s="26" t="s">
        <v>326</v>
      </c>
      <c r="B317" s="17">
        <v>903</v>
      </c>
      <c r="C317" s="21" t="s">
        <v>351</v>
      </c>
      <c r="D317" s="21" t="s">
        <v>170</v>
      </c>
      <c r="E317" s="21" t="s">
        <v>767</v>
      </c>
      <c r="F317" s="21" t="s">
        <v>327</v>
      </c>
      <c r="G317" s="28">
        <v>0.4</v>
      </c>
      <c r="H317" s="129"/>
    </row>
    <row r="318" spans="1:8" ht="47.25" hidden="1">
      <c r="A318" s="26" t="s">
        <v>328</v>
      </c>
      <c r="B318" s="17">
        <v>903</v>
      </c>
      <c r="C318" s="21" t="s">
        <v>351</v>
      </c>
      <c r="D318" s="21" t="s">
        <v>170</v>
      </c>
      <c r="E318" s="21" t="s">
        <v>369</v>
      </c>
      <c r="F318" s="21"/>
      <c r="G318" s="27">
        <f aca="true" t="shared" si="41" ref="G318:G319">G319</f>
        <v>0</v>
      </c>
      <c r="H318" s="204"/>
    </row>
    <row r="319" spans="1:8" ht="47.25" hidden="1">
      <c r="A319" s="26" t="s">
        <v>324</v>
      </c>
      <c r="B319" s="17">
        <v>903</v>
      </c>
      <c r="C319" s="21" t="s">
        <v>351</v>
      </c>
      <c r="D319" s="21" t="s">
        <v>170</v>
      </c>
      <c r="E319" s="21" t="s">
        <v>369</v>
      </c>
      <c r="F319" s="21" t="s">
        <v>325</v>
      </c>
      <c r="G319" s="27">
        <f t="shared" si="41"/>
        <v>0</v>
      </c>
      <c r="H319" s="204"/>
    </row>
    <row r="320" spans="1:8" ht="15.75" hidden="1">
      <c r="A320" s="26" t="s">
        <v>326</v>
      </c>
      <c r="B320" s="17">
        <v>903</v>
      </c>
      <c r="C320" s="21" t="s">
        <v>351</v>
      </c>
      <c r="D320" s="21" t="s">
        <v>170</v>
      </c>
      <c r="E320" s="21" t="s">
        <v>369</v>
      </c>
      <c r="F320" s="21" t="s">
        <v>327</v>
      </c>
      <c r="G320" s="27">
        <v>0</v>
      </c>
      <c r="H320" s="204"/>
    </row>
    <row r="321" spans="1:8" ht="47.25" hidden="1">
      <c r="A321" s="26" t="s">
        <v>330</v>
      </c>
      <c r="B321" s="17">
        <v>903</v>
      </c>
      <c r="C321" s="21" t="s">
        <v>351</v>
      </c>
      <c r="D321" s="21" t="s">
        <v>170</v>
      </c>
      <c r="E321" s="21" t="s">
        <v>370</v>
      </c>
      <c r="F321" s="21"/>
      <c r="G321" s="27">
        <f aca="true" t="shared" si="42" ref="G321:G322">G322</f>
        <v>0</v>
      </c>
      <c r="H321" s="204"/>
    </row>
    <row r="322" spans="1:8" ht="47.25" hidden="1">
      <c r="A322" s="26" t="s">
        <v>324</v>
      </c>
      <c r="B322" s="17">
        <v>903</v>
      </c>
      <c r="C322" s="21" t="s">
        <v>351</v>
      </c>
      <c r="D322" s="21" t="s">
        <v>170</v>
      </c>
      <c r="E322" s="21" t="s">
        <v>370</v>
      </c>
      <c r="F322" s="21" t="s">
        <v>325</v>
      </c>
      <c r="G322" s="27">
        <f t="shared" si="42"/>
        <v>0</v>
      </c>
      <c r="H322" s="204"/>
    </row>
    <row r="323" spans="1:8" ht="15.75" hidden="1">
      <c r="A323" s="26" t="s">
        <v>326</v>
      </c>
      <c r="B323" s="17">
        <v>903</v>
      </c>
      <c r="C323" s="21" t="s">
        <v>351</v>
      </c>
      <c r="D323" s="21" t="s">
        <v>170</v>
      </c>
      <c r="E323" s="21" t="s">
        <v>370</v>
      </c>
      <c r="F323" s="21" t="s">
        <v>327</v>
      </c>
      <c r="G323" s="27">
        <v>0</v>
      </c>
      <c r="H323" s="204"/>
    </row>
    <row r="324" spans="1:8" ht="31.5" hidden="1">
      <c r="A324" s="26" t="s">
        <v>332</v>
      </c>
      <c r="B324" s="17">
        <v>903</v>
      </c>
      <c r="C324" s="21" t="s">
        <v>351</v>
      </c>
      <c r="D324" s="21" t="s">
        <v>170</v>
      </c>
      <c r="E324" s="21" t="s">
        <v>371</v>
      </c>
      <c r="F324" s="21"/>
      <c r="G324" s="27">
        <f aca="true" t="shared" si="43" ref="G324:G325">G325</f>
        <v>0</v>
      </c>
      <c r="H324" s="204"/>
    </row>
    <row r="325" spans="1:8" ht="47.25" hidden="1">
      <c r="A325" s="26" t="s">
        <v>324</v>
      </c>
      <c r="B325" s="17">
        <v>903</v>
      </c>
      <c r="C325" s="21" t="s">
        <v>351</v>
      </c>
      <c r="D325" s="21" t="s">
        <v>170</v>
      </c>
      <c r="E325" s="21" t="s">
        <v>371</v>
      </c>
      <c r="F325" s="21" t="s">
        <v>325</v>
      </c>
      <c r="G325" s="27">
        <f t="shared" si="43"/>
        <v>0</v>
      </c>
      <c r="H325" s="204"/>
    </row>
    <row r="326" spans="1:8" ht="15.75" hidden="1">
      <c r="A326" s="26" t="s">
        <v>326</v>
      </c>
      <c r="B326" s="17">
        <v>903</v>
      </c>
      <c r="C326" s="21" t="s">
        <v>351</v>
      </c>
      <c r="D326" s="21" t="s">
        <v>170</v>
      </c>
      <c r="E326" s="21" t="s">
        <v>371</v>
      </c>
      <c r="F326" s="21" t="s">
        <v>327</v>
      </c>
      <c r="G326" s="27">
        <v>0</v>
      </c>
      <c r="H326" s="204"/>
    </row>
    <row r="327" spans="1:8" ht="31.5" hidden="1">
      <c r="A327" s="26" t="s">
        <v>336</v>
      </c>
      <c r="B327" s="17">
        <v>903</v>
      </c>
      <c r="C327" s="21" t="s">
        <v>351</v>
      </c>
      <c r="D327" s="21" t="s">
        <v>170</v>
      </c>
      <c r="E327" s="21" t="s">
        <v>372</v>
      </c>
      <c r="F327" s="21"/>
      <c r="G327" s="27">
        <f aca="true" t="shared" si="44" ref="G327:G328">G328</f>
        <v>0</v>
      </c>
      <c r="H327" s="204"/>
    </row>
    <row r="328" spans="1:8" ht="47.25" hidden="1">
      <c r="A328" s="26" t="s">
        <v>324</v>
      </c>
      <c r="B328" s="17">
        <v>903</v>
      </c>
      <c r="C328" s="21" t="s">
        <v>351</v>
      </c>
      <c r="D328" s="21" t="s">
        <v>170</v>
      </c>
      <c r="E328" s="21" t="s">
        <v>372</v>
      </c>
      <c r="F328" s="21" t="s">
        <v>325</v>
      </c>
      <c r="G328" s="27">
        <f t="shared" si="44"/>
        <v>0</v>
      </c>
      <c r="H328" s="204"/>
    </row>
    <row r="329" spans="1:8" ht="15.75" hidden="1">
      <c r="A329" s="26" t="s">
        <v>326</v>
      </c>
      <c r="B329" s="17">
        <v>903</v>
      </c>
      <c r="C329" s="21" t="s">
        <v>351</v>
      </c>
      <c r="D329" s="21" t="s">
        <v>170</v>
      </c>
      <c r="E329" s="21" t="s">
        <v>372</v>
      </c>
      <c r="F329" s="21" t="s">
        <v>327</v>
      </c>
      <c r="G329" s="27">
        <v>0</v>
      </c>
      <c r="H329" s="204"/>
    </row>
    <row r="330" spans="1:8" ht="47.25" hidden="1">
      <c r="A330" s="37" t="s">
        <v>373</v>
      </c>
      <c r="B330" s="17">
        <v>903</v>
      </c>
      <c r="C330" s="21" t="s">
        <v>351</v>
      </c>
      <c r="D330" s="21" t="s">
        <v>170</v>
      </c>
      <c r="E330" s="21" t="s">
        <v>374</v>
      </c>
      <c r="F330" s="21"/>
      <c r="G330" s="27">
        <f aca="true" t="shared" si="45" ref="G330:G331">G331</f>
        <v>0</v>
      </c>
      <c r="H330" s="204"/>
    </row>
    <row r="331" spans="1:8" ht="47.25" hidden="1">
      <c r="A331" s="26" t="s">
        <v>324</v>
      </c>
      <c r="B331" s="17">
        <v>903</v>
      </c>
      <c r="C331" s="21" t="s">
        <v>351</v>
      </c>
      <c r="D331" s="21" t="s">
        <v>170</v>
      </c>
      <c r="E331" s="21" t="s">
        <v>374</v>
      </c>
      <c r="F331" s="21" t="s">
        <v>325</v>
      </c>
      <c r="G331" s="27">
        <f t="shared" si="45"/>
        <v>0</v>
      </c>
      <c r="H331" s="204"/>
    </row>
    <row r="332" spans="1:8" ht="15.75" hidden="1">
      <c r="A332" s="26" t="s">
        <v>326</v>
      </c>
      <c r="B332" s="17">
        <v>903</v>
      </c>
      <c r="C332" s="21" t="s">
        <v>351</v>
      </c>
      <c r="D332" s="21" t="s">
        <v>170</v>
      </c>
      <c r="E332" s="21" t="s">
        <v>374</v>
      </c>
      <c r="F332" s="21" t="s">
        <v>327</v>
      </c>
      <c r="G332" s="27">
        <v>0</v>
      </c>
      <c r="H332" s="204"/>
    </row>
    <row r="333" spans="1:8" ht="78.75">
      <c r="A333" s="31" t="s">
        <v>375</v>
      </c>
      <c r="B333" s="17">
        <v>903</v>
      </c>
      <c r="C333" s="21" t="s">
        <v>351</v>
      </c>
      <c r="D333" s="21" t="s">
        <v>170</v>
      </c>
      <c r="E333" s="42" t="s">
        <v>376</v>
      </c>
      <c r="F333" s="21"/>
      <c r="G333" s="27">
        <f>G334</f>
        <v>200</v>
      </c>
      <c r="H333" s="204"/>
    </row>
    <row r="334" spans="1:8" ht="47.25">
      <c r="A334" s="26" t="s">
        <v>377</v>
      </c>
      <c r="B334" s="17">
        <v>903</v>
      </c>
      <c r="C334" s="21" t="s">
        <v>351</v>
      </c>
      <c r="D334" s="21" t="s">
        <v>170</v>
      </c>
      <c r="E334" s="42" t="s">
        <v>378</v>
      </c>
      <c r="F334" s="21"/>
      <c r="G334" s="27">
        <f aca="true" t="shared" si="46" ref="G334">G335</f>
        <v>200</v>
      </c>
      <c r="H334" s="204"/>
    </row>
    <row r="335" spans="1:8" ht="47.25">
      <c r="A335" s="26" t="s">
        <v>324</v>
      </c>
      <c r="B335" s="17">
        <v>903</v>
      </c>
      <c r="C335" s="21" t="s">
        <v>351</v>
      </c>
      <c r="D335" s="21" t="s">
        <v>170</v>
      </c>
      <c r="E335" s="42" t="s">
        <v>378</v>
      </c>
      <c r="F335" s="21" t="s">
        <v>325</v>
      </c>
      <c r="G335" s="27">
        <f>G336</f>
        <v>200</v>
      </c>
      <c r="H335" s="204"/>
    </row>
    <row r="336" spans="1:8" ht="15.75">
      <c r="A336" s="26" t="s">
        <v>326</v>
      </c>
      <c r="B336" s="17">
        <v>903</v>
      </c>
      <c r="C336" s="21" t="s">
        <v>351</v>
      </c>
      <c r="D336" s="21" t="s">
        <v>170</v>
      </c>
      <c r="E336" s="42" t="s">
        <v>378</v>
      </c>
      <c r="F336" s="21" t="s">
        <v>327</v>
      </c>
      <c r="G336" s="27">
        <v>200</v>
      </c>
      <c r="H336" s="204"/>
    </row>
    <row r="337" spans="1:8" ht="15.75">
      <c r="A337" s="26" t="s">
        <v>173</v>
      </c>
      <c r="B337" s="17">
        <v>903</v>
      </c>
      <c r="C337" s="21" t="s">
        <v>351</v>
      </c>
      <c r="D337" s="21" t="s">
        <v>170</v>
      </c>
      <c r="E337" s="21" t="s">
        <v>174</v>
      </c>
      <c r="F337" s="21"/>
      <c r="G337" s="27">
        <f>G338</f>
        <v>2137.9</v>
      </c>
      <c r="H337" s="204"/>
    </row>
    <row r="338" spans="1:8" ht="31.5">
      <c r="A338" s="26" t="s">
        <v>237</v>
      </c>
      <c r="B338" s="17">
        <v>903</v>
      </c>
      <c r="C338" s="21" t="s">
        <v>351</v>
      </c>
      <c r="D338" s="21" t="s">
        <v>170</v>
      </c>
      <c r="E338" s="21" t="s">
        <v>238</v>
      </c>
      <c r="F338" s="21"/>
      <c r="G338" s="27">
        <f>G339+G344+G349+G352+G355</f>
        <v>2137.9</v>
      </c>
      <c r="H338" s="204"/>
    </row>
    <row r="339" spans="1:8" ht="31.5" hidden="1">
      <c r="A339" s="38" t="s">
        <v>379</v>
      </c>
      <c r="B339" s="39">
        <v>903</v>
      </c>
      <c r="C339" s="21" t="s">
        <v>351</v>
      </c>
      <c r="D339" s="21" t="s">
        <v>170</v>
      </c>
      <c r="E339" s="21" t="s">
        <v>380</v>
      </c>
      <c r="F339" s="21"/>
      <c r="G339" s="27">
        <f aca="true" t="shared" si="47" ref="G339">G340+G342</f>
        <v>0</v>
      </c>
      <c r="H339" s="204"/>
    </row>
    <row r="340" spans="1:8" ht="31.5" hidden="1">
      <c r="A340" s="26" t="s">
        <v>183</v>
      </c>
      <c r="B340" s="39">
        <v>903</v>
      </c>
      <c r="C340" s="21" t="s">
        <v>351</v>
      </c>
      <c r="D340" s="21" t="s">
        <v>170</v>
      </c>
      <c r="E340" s="21" t="s">
        <v>380</v>
      </c>
      <c r="F340" s="21" t="s">
        <v>184</v>
      </c>
      <c r="G340" s="27">
        <f aca="true" t="shared" si="48" ref="G340">G341</f>
        <v>0</v>
      </c>
      <c r="H340" s="204"/>
    </row>
    <row r="341" spans="1:9" ht="47.25" hidden="1">
      <c r="A341" s="26" t="s">
        <v>185</v>
      </c>
      <c r="B341" s="17">
        <v>903</v>
      </c>
      <c r="C341" s="21" t="s">
        <v>351</v>
      </c>
      <c r="D341" s="21" t="s">
        <v>170</v>
      </c>
      <c r="E341" s="21" t="s">
        <v>380</v>
      </c>
      <c r="F341" s="21" t="s">
        <v>186</v>
      </c>
      <c r="G341" s="27">
        <f>1.4-1.4</f>
        <v>0</v>
      </c>
      <c r="H341" s="204"/>
      <c r="I341" s="138"/>
    </row>
    <row r="342" spans="1:8" ht="47.25" hidden="1">
      <c r="A342" s="26" t="s">
        <v>324</v>
      </c>
      <c r="B342" s="17">
        <v>903</v>
      </c>
      <c r="C342" s="21" t="s">
        <v>351</v>
      </c>
      <c r="D342" s="21" t="s">
        <v>170</v>
      </c>
      <c r="E342" s="21" t="s">
        <v>380</v>
      </c>
      <c r="F342" s="21" t="s">
        <v>325</v>
      </c>
      <c r="G342" s="27">
        <f aca="true" t="shared" si="49" ref="G342">G343</f>
        <v>0</v>
      </c>
      <c r="H342" s="204"/>
    </row>
    <row r="343" spans="1:9" ht="15.75" hidden="1">
      <c r="A343" s="26" t="s">
        <v>326</v>
      </c>
      <c r="B343" s="17">
        <v>903</v>
      </c>
      <c r="C343" s="21" t="s">
        <v>351</v>
      </c>
      <c r="D343" s="21" t="s">
        <v>170</v>
      </c>
      <c r="E343" s="21" t="s">
        <v>380</v>
      </c>
      <c r="F343" s="21" t="s">
        <v>327</v>
      </c>
      <c r="G343" s="27">
        <f>2.9-2.9</f>
        <v>0</v>
      </c>
      <c r="H343" s="204"/>
      <c r="I343" s="138"/>
    </row>
    <row r="344" spans="1:8" ht="31.5">
      <c r="A344" s="26" t="s">
        <v>381</v>
      </c>
      <c r="B344" s="17">
        <v>903</v>
      </c>
      <c r="C344" s="21" t="s">
        <v>351</v>
      </c>
      <c r="D344" s="21" t="s">
        <v>170</v>
      </c>
      <c r="E344" s="21" t="s">
        <v>382</v>
      </c>
      <c r="F344" s="21"/>
      <c r="G344" s="27">
        <f>G345+G347</f>
        <v>177.3</v>
      </c>
      <c r="H344" s="204"/>
    </row>
    <row r="345" spans="1:8" ht="31.5" hidden="1">
      <c r="A345" s="26" t="s">
        <v>183</v>
      </c>
      <c r="B345" s="17">
        <v>903</v>
      </c>
      <c r="C345" s="21" t="s">
        <v>351</v>
      </c>
      <c r="D345" s="21" t="s">
        <v>170</v>
      </c>
      <c r="E345" s="21" t="s">
        <v>382</v>
      </c>
      <c r="F345" s="21" t="s">
        <v>184</v>
      </c>
      <c r="G345" s="27">
        <f aca="true" t="shared" si="50" ref="G345">G346</f>
        <v>0</v>
      </c>
      <c r="H345" s="204"/>
    </row>
    <row r="346" spans="1:8" ht="47.25" hidden="1">
      <c r="A346" s="26" t="s">
        <v>185</v>
      </c>
      <c r="B346" s="17">
        <v>903</v>
      </c>
      <c r="C346" s="21" t="s">
        <v>351</v>
      </c>
      <c r="D346" s="21" t="s">
        <v>170</v>
      </c>
      <c r="E346" s="21" t="s">
        <v>382</v>
      </c>
      <c r="F346" s="40">
        <v>240</v>
      </c>
      <c r="G346" s="27">
        <v>0</v>
      </c>
      <c r="H346" s="204"/>
    </row>
    <row r="347" spans="1:8" ht="47.25">
      <c r="A347" s="26" t="s">
        <v>324</v>
      </c>
      <c r="B347" s="17">
        <v>903</v>
      </c>
      <c r="C347" s="21" t="s">
        <v>351</v>
      </c>
      <c r="D347" s="21" t="s">
        <v>170</v>
      </c>
      <c r="E347" s="21" t="s">
        <v>382</v>
      </c>
      <c r="F347" s="21" t="s">
        <v>325</v>
      </c>
      <c r="G347" s="27">
        <f aca="true" t="shared" si="51" ref="G347">G348</f>
        <v>177.3</v>
      </c>
      <c r="H347" s="204"/>
    </row>
    <row r="348" spans="1:9" ht="15.75">
      <c r="A348" s="26" t="s">
        <v>326</v>
      </c>
      <c r="B348" s="17">
        <v>903</v>
      </c>
      <c r="C348" s="21" t="s">
        <v>351</v>
      </c>
      <c r="D348" s="21" t="s">
        <v>170</v>
      </c>
      <c r="E348" s="21" t="s">
        <v>382</v>
      </c>
      <c r="F348" s="21" t="s">
        <v>327</v>
      </c>
      <c r="G348" s="27">
        <f>274.5-97.2</f>
        <v>177.3</v>
      </c>
      <c r="H348" s="204"/>
      <c r="I348" s="138"/>
    </row>
    <row r="349" spans="1:8" ht="78.75">
      <c r="A349" s="26" t="s">
        <v>383</v>
      </c>
      <c r="B349" s="17">
        <v>903</v>
      </c>
      <c r="C349" s="21" t="s">
        <v>351</v>
      </c>
      <c r="D349" s="21" t="s">
        <v>170</v>
      </c>
      <c r="E349" s="21" t="s">
        <v>384</v>
      </c>
      <c r="F349" s="21"/>
      <c r="G349" s="27">
        <f aca="true" t="shared" si="52" ref="G349">G350</f>
        <v>263.3</v>
      </c>
      <c r="H349" s="204"/>
    </row>
    <row r="350" spans="1:8" ht="47.25">
      <c r="A350" s="26" t="s">
        <v>324</v>
      </c>
      <c r="B350" s="17">
        <v>903</v>
      </c>
      <c r="C350" s="21" t="s">
        <v>351</v>
      </c>
      <c r="D350" s="21" t="s">
        <v>170</v>
      </c>
      <c r="E350" s="21" t="s">
        <v>384</v>
      </c>
      <c r="F350" s="21" t="s">
        <v>325</v>
      </c>
      <c r="G350" s="27">
        <f>G351</f>
        <v>263.3</v>
      </c>
      <c r="H350" s="204"/>
    </row>
    <row r="351" spans="1:9" ht="15.75">
      <c r="A351" s="26" t="s">
        <v>326</v>
      </c>
      <c r="B351" s="17">
        <v>903</v>
      </c>
      <c r="C351" s="21" t="s">
        <v>351</v>
      </c>
      <c r="D351" s="21" t="s">
        <v>170</v>
      </c>
      <c r="E351" s="21" t="s">
        <v>384</v>
      </c>
      <c r="F351" s="21" t="s">
        <v>327</v>
      </c>
      <c r="G351" s="27">
        <f>247.6+15.7</f>
        <v>263.3</v>
      </c>
      <c r="H351" s="204"/>
      <c r="I351" s="138"/>
    </row>
    <row r="352" spans="1:8" ht="110.25">
      <c r="A352" s="33" t="s">
        <v>345</v>
      </c>
      <c r="B352" s="17">
        <v>903</v>
      </c>
      <c r="C352" s="21" t="s">
        <v>351</v>
      </c>
      <c r="D352" s="21" t="s">
        <v>170</v>
      </c>
      <c r="E352" s="21" t="s">
        <v>346</v>
      </c>
      <c r="F352" s="21"/>
      <c r="G352" s="27">
        <f aca="true" t="shared" si="53" ref="G352">G353</f>
        <v>1693.3000000000002</v>
      </c>
      <c r="H352" s="204"/>
    </row>
    <row r="353" spans="1:8" ht="47.25">
      <c r="A353" s="26" t="s">
        <v>324</v>
      </c>
      <c r="B353" s="17">
        <v>903</v>
      </c>
      <c r="C353" s="21" t="s">
        <v>351</v>
      </c>
      <c r="D353" s="21" t="s">
        <v>170</v>
      </c>
      <c r="E353" s="21" t="s">
        <v>346</v>
      </c>
      <c r="F353" s="21" t="s">
        <v>325</v>
      </c>
      <c r="G353" s="27">
        <f>G354</f>
        <v>1693.3000000000002</v>
      </c>
      <c r="H353" s="204"/>
    </row>
    <row r="354" spans="1:8" ht="15.75">
      <c r="A354" s="26" t="s">
        <v>326</v>
      </c>
      <c r="B354" s="17">
        <v>903</v>
      </c>
      <c r="C354" s="21" t="s">
        <v>351</v>
      </c>
      <c r="D354" s="21" t="s">
        <v>170</v>
      </c>
      <c r="E354" s="21" t="s">
        <v>346</v>
      </c>
      <c r="F354" s="21" t="s">
        <v>327</v>
      </c>
      <c r="G354" s="27">
        <f>1929.4-236.1</f>
        <v>1693.3000000000002</v>
      </c>
      <c r="H354" s="204"/>
    </row>
    <row r="355" spans="1:8" ht="15.75">
      <c r="A355" s="33" t="s">
        <v>768</v>
      </c>
      <c r="B355" s="17">
        <v>903</v>
      </c>
      <c r="C355" s="21" t="s">
        <v>351</v>
      </c>
      <c r="D355" s="21" t="s">
        <v>170</v>
      </c>
      <c r="E355" s="21" t="s">
        <v>769</v>
      </c>
      <c r="F355" s="21"/>
      <c r="G355" s="27">
        <f>G356</f>
        <v>4</v>
      </c>
      <c r="H355" s="204"/>
    </row>
    <row r="356" spans="1:8" ht="47.25">
      <c r="A356" s="26" t="s">
        <v>324</v>
      </c>
      <c r="B356" s="17">
        <v>903</v>
      </c>
      <c r="C356" s="21" t="s">
        <v>351</v>
      </c>
      <c r="D356" s="21" t="s">
        <v>170</v>
      </c>
      <c r="E356" s="21" t="s">
        <v>769</v>
      </c>
      <c r="F356" s="21" t="s">
        <v>325</v>
      </c>
      <c r="G356" s="27">
        <f>G357</f>
        <v>4</v>
      </c>
      <c r="H356" s="204"/>
    </row>
    <row r="357" spans="1:8" ht="15.75">
      <c r="A357" s="26" t="s">
        <v>326</v>
      </c>
      <c r="B357" s="17">
        <v>903</v>
      </c>
      <c r="C357" s="21" t="s">
        <v>351</v>
      </c>
      <c r="D357" s="21" t="s">
        <v>170</v>
      </c>
      <c r="E357" s="21" t="s">
        <v>769</v>
      </c>
      <c r="F357" s="21" t="s">
        <v>327</v>
      </c>
      <c r="G357" s="27">
        <v>4</v>
      </c>
      <c r="H357" s="129"/>
    </row>
    <row r="358" spans="1:8" ht="31.5">
      <c r="A358" s="24" t="s">
        <v>385</v>
      </c>
      <c r="B358" s="20">
        <v>903</v>
      </c>
      <c r="C358" s="25" t="s">
        <v>351</v>
      </c>
      <c r="D358" s="25" t="s">
        <v>202</v>
      </c>
      <c r="E358" s="25"/>
      <c r="F358" s="25"/>
      <c r="G358" s="22">
        <f>G359+G373+G369</f>
        <v>17278.8</v>
      </c>
      <c r="H358" s="204"/>
    </row>
    <row r="359" spans="1:9" ht="47.25">
      <c r="A359" s="26" t="s">
        <v>386</v>
      </c>
      <c r="B359" s="17">
        <v>903</v>
      </c>
      <c r="C359" s="21" t="s">
        <v>351</v>
      </c>
      <c r="D359" s="21" t="s">
        <v>202</v>
      </c>
      <c r="E359" s="21" t="s">
        <v>387</v>
      </c>
      <c r="F359" s="21"/>
      <c r="G359" s="27">
        <f>G360+G363+G366</f>
        <v>125</v>
      </c>
      <c r="H359" s="204"/>
      <c r="I359" s="138"/>
    </row>
    <row r="360" spans="1:8" ht="31.5" hidden="1">
      <c r="A360" s="26" t="s">
        <v>388</v>
      </c>
      <c r="B360" s="17">
        <v>903</v>
      </c>
      <c r="C360" s="21" t="s">
        <v>351</v>
      </c>
      <c r="D360" s="21" t="s">
        <v>202</v>
      </c>
      <c r="E360" s="21" t="s">
        <v>389</v>
      </c>
      <c r="F360" s="21"/>
      <c r="G360" s="27">
        <f>G361</f>
        <v>0</v>
      </c>
      <c r="H360" s="204"/>
    </row>
    <row r="361" spans="1:8" ht="31.5" hidden="1">
      <c r="A361" s="26" t="s">
        <v>183</v>
      </c>
      <c r="B361" s="17">
        <v>903</v>
      </c>
      <c r="C361" s="21" t="s">
        <v>351</v>
      </c>
      <c r="D361" s="21" t="s">
        <v>202</v>
      </c>
      <c r="E361" s="21" t="s">
        <v>389</v>
      </c>
      <c r="F361" s="21" t="s">
        <v>184</v>
      </c>
      <c r="G361" s="27">
        <f>G362</f>
        <v>0</v>
      </c>
      <c r="H361" s="204"/>
    </row>
    <row r="362" spans="1:8" ht="47.25" hidden="1">
      <c r="A362" s="26" t="s">
        <v>185</v>
      </c>
      <c r="B362" s="17">
        <v>903</v>
      </c>
      <c r="C362" s="21" t="s">
        <v>351</v>
      </c>
      <c r="D362" s="21" t="s">
        <v>202</v>
      </c>
      <c r="E362" s="21" t="s">
        <v>389</v>
      </c>
      <c r="F362" s="21" t="s">
        <v>186</v>
      </c>
      <c r="G362" s="27">
        <v>0</v>
      </c>
      <c r="H362" s="204"/>
    </row>
    <row r="363" spans="1:8" ht="31.5">
      <c r="A363" s="26" t="s">
        <v>390</v>
      </c>
      <c r="B363" s="17">
        <v>903</v>
      </c>
      <c r="C363" s="21" t="s">
        <v>351</v>
      </c>
      <c r="D363" s="21" t="s">
        <v>202</v>
      </c>
      <c r="E363" s="21" t="s">
        <v>391</v>
      </c>
      <c r="F363" s="21"/>
      <c r="G363" s="27">
        <f>G364</f>
        <v>20</v>
      </c>
      <c r="H363" s="204"/>
    </row>
    <row r="364" spans="1:8" ht="31.5">
      <c r="A364" s="26" t="s">
        <v>183</v>
      </c>
      <c r="B364" s="17">
        <v>903</v>
      </c>
      <c r="C364" s="21" t="s">
        <v>351</v>
      </c>
      <c r="D364" s="21" t="s">
        <v>202</v>
      </c>
      <c r="E364" s="21" t="s">
        <v>391</v>
      </c>
      <c r="F364" s="21" t="s">
        <v>184</v>
      </c>
      <c r="G364" s="27">
        <f>G365</f>
        <v>20</v>
      </c>
      <c r="H364" s="204"/>
    </row>
    <row r="365" spans="1:8" ht="47.25">
      <c r="A365" s="26" t="s">
        <v>185</v>
      </c>
      <c r="B365" s="17">
        <v>903</v>
      </c>
      <c r="C365" s="21" t="s">
        <v>351</v>
      </c>
      <c r="D365" s="21" t="s">
        <v>202</v>
      </c>
      <c r="E365" s="21" t="s">
        <v>391</v>
      </c>
      <c r="F365" s="21" t="s">
        <v>186</v>
      </c>
      <c r="G365" s="27">
        <v>20</v>
      </c>
      <c r="H365" s="204"/>
    </row>
    <row r="366" spans="1:8" ht="63">
      <c r="A366" s="26" t="s">
        <v>806</v>
      </c>
      <c r="B366" s="17">
        <v>903</v>
      </c>
      <c r="C366" s="21" t="s">
        <v>351</v>
      </c>
      <c r="D366" s="21" t="s">
        <v>202</v>
      </c>
      <c r="E366" s="21" t="s">
        <v>763</v>
      </c>
      <c r="F366" s="21"/>
      <c r="G366" s="27">
        <f>G367</f>
        <v>105</v>
      </c>
      <c r="H366" s="204"/>
    </row>
    <row r="367" spans="1:8" ht="39.75" customHeight="1">
      <c r="A367" s="26" t="s">
        <v>183</v>
      </c>
      <c r="B367" s="17">
        <v>903</v>
      </c>
      <c r="C367" s="21" t="s">
        <v>351</v>
      </c>
      <c r="D367" s="21" t="s">
        <v>202</v>
      </c>
      <c r="E367" s="21" t="s">
        <v>763</v>
      </c>
      <c r="F367" s="21" t="s">
        <v>184</v>
      </c>
      <c r="G367" s="27">
        <f>G368</f>
        <v>105</v>
      </c>
      <c r="H367" s="204"/>
    </row>
    <row r="368" spans="1:9" ht="47.25">
      <c r="A368" s="26" t="s">
        <v>185</v>
      </c>
      <c r="B368" s="17">
        <v>903</v>
      </c>
      <c r="C368" s="21" t="s">
        <v>351</v>
      </c>
      <c r="D368" s="21" t="s">
        <v>202</v>
      </c>
      <c r="E368" s="21" t="s">
        <v>763</v>
      </c>
      <c r="F368" s="21" t="s">
        <v>186</v>
      </c>
      <c r="G368" s="27">
        <f>55+50</f>
        <v>105</v>
      </c>
      <c r="H368" s="129"/>
      <c r="I368" s="147"/>
    </row>
    <row r="369" spans="1:8" ht="63">
      <c r="A369" s="31" t="s">
        <v>805</v>
      </c>
      <c r="B369" s="17">
        <v>903</v>
      </c>
      <c r="C369" s="21" t="s">
        <v>351</v>
      </c>
      <c r="D369" s="21" t="s">
        <v>202</v>
      </c>
      <c r="E369" s="21" t="s">
        <v>803</v>
      </c>
      <c r="F369" s="21"/>
      <c r="G369" s="27">
        <f>G370</f>
        <v>5</v>
      </c>
      <c r="H369" s="204"/>
    </row>
    <row r="370" spans="1:8" ht="31.5">
      <c r="A370" s="26" t="s">
        <v>421</v>
      </c>
      <c r="B370" s="17">
        <v>903</v>
      </c>
      <c r="C370" s="21" t="s">
        <v>351</v>
      </c>
      <c r="D370" s="21" t="s">
        <v>202</v>
      </c>
      <c r="E370" s="21" t="s">
        <v>811</v>
      </c>
      <c r="F370" s="21"/>
      <c r="G370" s="27">
        <f>G371</f>
        <v>5</v>
      </c>
      <c r="H370" s="204"/>
    </row>
    <row r="371" spans="1:8" ht="31.5">
      <c r="A371" s="26" t="s">
        <v>183</v>
      </c>
      <c r="B371" s="17">
        <v>903</v>
      </c>
      <c r="C371" s="21" t="s">
        <v>351</v>
      </c>
      <c r="D371" s="21" t="s">
        <v>202</v>
      </c>
      <c r="E371" s="21" t="s">
        <v>811</v>
      </c>
      <c r="F371" s="21" t="s">
        <v>184</v>
      </c>
      <c r="G371" s="27">
        <f>G372</f>
        <v>5</v>
      </c>
      <c r="H371" s="204"/>
    </row>
    <row r="372" spans="1:9" ht="47.25">
      <c r="A372" s="26" t="s">
        <v>185</v>
      </c>
      <c r="B372" s="17">
        <v>903</v>
      </c>
      <c r="C372" s="21" t="s">
        <v>351</v>
      </c>
      <c r="D372" s="21" t="s">
        <v>202</v>
      </c>
      <c r="E372" s="21" t="s">
        <v>811</v>
      </c>
      <c r="F372" s="21" t="s">
        <v>186</v>
      </c>
      <c r="G372" s="27">
        <v>5</v>
      </c>
      <c r="H372" s="129"/>
      <c r="I372" s="147"/>
    </row>
    <row r="373" spans="1:8" ht="15.75">
      <c r="A373" s="26" t="s">
        <v>173</v>
      </c>
      <c r="B373" s="17">
        <v>903</v>
      </c>
      <c r="C373" s="21" t="s">
        <v>351</v>
      </c>
      <c r="D373" s="21" t="s">
        <v>202</v>
      </c>
      <c r="E373" s="21" t="s">
        <v>174</v>
      </c>
      <c r="F373" s="21"/>
      <c r="G373" s="27">
        <f aca="true" t="shared" si="54" ref="G373">G374+G380</f>
        <v>17148.8</v>
      </c>
      <c r="H373" s="204"/>
    </row>
    <row r="374" spans="1:8" ht="31.5">
      <c r="A374" s="26" t="s">
        <v>175</v>
      </c>
      <c r="B374" s="17">
        <v>903</v>
      </c>
      <c r="C374" s="21" t="s">
        <v>351</v>
      </c>
      <c r="D374" s="21" t="s">
        <v>202</v>
      </c>
      <c r="E374" s="21" t="s">
        <v>176</v>
      </c>
      <c r="F374" s="21"/>
      <c r="G374" s="27">
        <f>G375</f>
        <v>6754.9</v>
      </c>
      <c r="H374" s="204"/>
    </row>
    <row r="375" spans="1:8" ht="47.25">
      <c r="A375" s="26" t="s">
        <v>177</v>
      </c>
      <c r="B375" s="17">
        <v>903</v>
      </c>
      <c r="C375" s="21" t="s">
        <v>351</v>
      </c>
      <c r="D375" s="21" t="s">
        <v>202</v>
      </c>
      <c r="E375" s="21" t="s">
        <v>178</v>
      </c>
      <c r="F375" s="21"/>
      <c r="G375" s="27">
        <f aca="true" t="shared" si="55" ref="G375">G376+G378</f>
        <v>6754.9</v>
      </c>
      <c r="H375" s="204"/>
    </row>
    <row r="376" spans="1:8" ht="94.5">
      <c r="A376" s="26" t="s">
        <v>179</v>
      </c>
      <c r="B376" s="17">
        <v>903</v>
      </c>
      <c r="C376" s="21" t="s">
        <v>351</v>
      </c>
      <c r="D376" s="21" t="s">
        <v>202</v>
      </c>
      <c r="E376" s="21" t="s">
        <v>178</v>
      </c>
      <c r="F376" s="21" t="s">
        <v>180</v>
      </c>
      <c r="G376" s="27">
        <f>G377</f>
        <v>6754.9</v>
      </c>
      <c r="H376" s="204"/>
    </row>
    <row r="377" spans="1:8" ht="31.5">
      <c r="A377" s="26" t="s">
        <v>181</v>
      </c>
      <c r="B377" s="17">
        <v>903</v>
      </c>
      <c r="C377" s="21" t="s">
        <v>351</v>
      </c>
      <c r="D377" s="21" t="s">
        <v>202</v>
      </c>
      <c r="E377" s="21" t="s">
        <v>178</v>
      </c>
      <c r="F377" s="21" t="s">
        <v>182</v>
      </c>
      <c r="G377" s="28">
        <v>6754.9</v>
      </c>
      <c r="H377" s="204"/>
    </row>
    <row r="378" spans="1:8" ht="31.5" hidden="1">
      <c r="A378" s="26" t="s">
        <v>183</v>
      </c>
      <c r="B378" s="17">
        <v>903</v>
      </c>
      <c r="C378" s="21" t="s">
        <v>351</v>
      </c>
      <c r="D378" s="21" t="s">
        <v>202</v>
      </c>
      <c r="E378" s="21" t="s">
        <v>178</v>
      </c>
      <c r="F378" s="21" t="s">
        <v>184</v>
      </c>
      <c r="G378" s="27">
        <f aca="true" t="shared" si="56" ref="G378">G379</f>
        <v>0</v>
      </c>
      <c r="H378" s="204"/>
    </row>
    <row r="379" spans="1:8" ht="47.25" hidden="1">
      <c r="A379" s="26" t="s">
        <v>185</v>
      </c>
      <c r="B379" s="17">
        <v>903</v>
      </c>
      <c r="C379" s="21" t="s">
        <v>351</v>
      </c>
      <c r="D379" s="21" t="s">
        <v>202</v>
      </c>
      <c r="E379" s="21" t="s">
        <v>178</v>
      </c>
      <c r="F379" s="21" t="s">
        <v>186</v>
      </c>
      <c r="G379" s="27"/>
      <c r="H379" s="204"/>
    </row>
    <row r="380" spans="1:8" ht="15.75">
      <c r="A380" s="26" t="s">
        <v>193</v>
      </c>
      <c r="B380" s="17">
        <v>903</v>
      </c>
      <c r="C380" s="21" t="s">
        <v>351</v>
      </c>
      <c r="D380" s="21" t="s">
        <v>202</v>
      </c>
      <c r="E380" s="21" t="s">
        <v>194</v>
      </c>
      <c r="F380" s="21"/>
      <c r="G380" s="27">
        <f>G381</f>
        <v>10393.9</v>
      </c>
      <c r="H380" s="204"/>
    </row>
    <row r="381" spans="1:11" ht="31.5">
      <c r="A381" s="26" t="s">
        <v>392</v>
      </c>
      <c r="B381" s="17">
        <v>903</v>
      </c>
      <c r="C381" s="21" t="s">
        <v>351</v>
      </c>
      <c r="D381" s="21" t="s">
        <v>202</v>
      </c>
      <c r="E381" s="21" t="s">
        <v>393</v>
      </c>
      <c r="F381" s="21"/>
      <c r="G381" s="27">
        <f aca="true" t="shared" si="57" ref="G381">G382+G384+G386</f>
        <v>10393.9</v>
      </c>
      <c r="H381" s="204"/>
      <c r="J381" s="335"/>
      <c r="K381" s="335"/>
    </row>
    <row r="382" spans="1:11" ht="94.5">
      <c r="A382" s="26" t="s">
        <v>179</v>
      </c>
      <c r="B382" s="17">
        <v>903</v>
      </c>
      <c r="C382" s="21" t="s">
        <v>351</v>
      </c>
      <c r="D382" s="21" t="s">
        <v>202</v>
      </c>
      <c r="E382" s="21" t="s">
        <v>393</v>
      </c>
      <c r="F382" s="21" t="s">
        <v>180</v>
      </c>
      <c r="G382" s="27">
        <f>G383</f>
        <v>8721.4</v>
      </c>
      <c r="H382" s="204"/>
      <c r="J382" s="335"/>
      <c r="K382" s="335"/>
    </row>
    <row r="383" spans="1:11" ht="31.5">
      <c r="A383" s="26" t="s">
        <v>394</v>
      </c>
      <c r="B383" s="17">
        <v>903</v>
      </c>
      <c r="C383" s="21" t="s">
        <v>351</v>
      </c>
      <c r="D383" s="21" t="s">
        <v>202</v>
      </c>
      <c r="E383" s="21" t="s">
        <v>393</v>
      </c>
      <c r="F383" s="21" t="s">
        <v>261</v>
      </c>
      <c r="G383" s="28">
        <f>8596.3-84.9+210</f>
        <v>8721.4</v>
      </c>
      <c r="H383" s="129"/>
      <c r="I383" s="147"/>
      <c r="J383" s="335"/>
      <c r="K383" s="335"/>
    </row>
    <row r="384" spans="1:11" ht="31.5">
      <c r="A384" s="26" t="s">
        <v>183</v>
      </c>
      <c r="B384" s="17">
        <v>903</v>
      </c>
      <c r="C384" s="21" t="s">
        <v>351</v>
      </c>
      <c r="D384" s="21" t="s">
        <v>202</v>
      </c>
      <c r="E384" s="21" t="s">
        <v>393</v>
      </c>
      <c r="F384" s="21" t="s">
        <v>184</v>
      </c>
      <c r="G384" s="27">
        <f>G385</f>
        <v>1652.5</v>
      </c>
      <c r="H384" s="204"/>
      <c r="J384" s="335"/>
      <c r="K384" s="335"/>
    </row>
    <row r="385" spans="1:11" ht="47.25">
      <c r="A385" s="26" t="s">
        <v>185</v>
      </c>
      <c r="B385" s="17">
        <v>903</v>
      </c>
      <c r="C385" s="21" t="s">
        <v>351</v>
      </c>
      <c r="D385" s="21" t="s">
        <v>202</v>
      </c>
      <c r="E385" s="21" t="s">
        <v>393</v>
      </c>
      <c r="F385" s="21" t="s">
        <v>186</v>
      </c>
      <c r="G385" s="28">
        <f>1663.9+135.6-147</f>
        <v>1652.5</v>
      </c>
      <c r="H385" s="129"/>
      <c r="I385" s="148"/>
      <c r="J385" s="335"/>
      <c r="K385" s="335"/>
    </row>
    <row r="386" spans="1:11" ht="15.75">
      <c r="A386" s="26" t="s">
        <v>187</v>
      </c>
      <c r="B386" s="17">
        <v>903</v>
      </c>
      <c r="C386" s="21" t="s">
        <v>351</v>
      </c>
      <c r="D386" s="21" t="s">
        <v>202</v>
      </c>
      <c r="E386" s="21" t="s">
        <v>393</v>
      </c>
      <c r="F386" s="21" t="s">
        <v>197</v>
      </c>
      <c r="G386" s="27">
        <f>G387</f>
        <v>20</v>
      </c>
      <c r="H386" s="204"/>
      <c r="J386" s="335"/>
      <c r="K386" s="335"/>
    </row>
    <row r="387" spans="1:11" ht="15.75">
      <c r="A387" s="26" t="s">
        <v>621</v>
      </c>
      <c r="B387" s="17">
        <v>903</v>
      </c>
      <c r="C387" s="21" t="s">
        <v>351</v>
      </c>
      <c r="D387" s="21" t="s">
        <v>202</v>
      </c>
      <c r="E387" s="21" t="s">
        <v>393</v>
      </c>
      <c r="F387" s="21" t="s">
        <v>190</v>
      </c>
      <c r="G387" s="27">
        <v>20</v>
      </c>
      <c r="H387" s="204"/>
      <c r="J387" s="335"/>
      <c r="K387" s="335"/>
    </row>
    <row r="388" spans="1:8" ht="15.75">
      <c r="A388" s="24" t="s">
        <v>295</v>
      </c>
      <c r="B388" s="20">
        <v>903</v>
      </c>
      <c r="C388" s="25" t="s">
        <v>296</v>
      </c>
      <c r="D388" s="25"/>
      <c r="E388" s="25"/>
      <c r="F388" s="25"/>
      <c r="G388" s="22">
        <f>G389</f>
        <v>4625</v>
      </c>
      <c r="H388" s="204"/>
    </row>
    <row r="389" spans="1:8" ht="15.75">
      <c r="A389" s="24" t="s">
        <v>304</v>
      </c>
      <c r="B389" s="20">
        <v>903</v>
      </c>
      <c r="C389" s="25" t="s">
        <v>296</v>
      </c>
      <c r="D389" s="25" t="s">
        <v>267</v>
      </c>
      <c r="E389" s="25"/>
      <c r="F389" s="25"/>
      <c r="G389" s="22">
        <f aca="true" t="shared" si="58" ref="G389">G390+G443</f>
        <v>4625</v>
      </c>
      <c r="H389" s="204"/>
    </row>
    <row r="390" spans="1:8" ht="47.25">
      <c r="A390" s="26" t="s">
        <v>395</v>
      </c>
      <c r="B390" s="17">
        <v>903</v>
      </c>
      <c r="C390" s="21" t="s">
        <v>296</v>
      </c>
      <c r="D390" s="21" t="s">
        <v>267</v>
      </c>
      <c r="E390" s="21" t="s">
        <v>396</v>
      </c>
      <c r="F390" s="21"/>
      <c r="G390" s="27">
        <f>G391+G399+G403+G407+G413+G417+G421+G439</f>
        <v>3693</v>
      </c>
      <c r="H390" s="204"/>
    </row>
    <row r="391" spans="1:8" ht="31.5">
      <c r="A391" s="26" t="s">
        <v>397</v>
      </c>
      <c r="B391" s="17">
        <v>903</v>
      </c>
      <c r="C391" s="21" t="s">
        <v>296</v>
      </c>
      <c r="D391" s="21" t="s">
        <v>267</v>
      </c>
      <c r="E391" s="21" t="s">
        <v>398</v>
      </c>
      <c r="F391" s="21"/>
      <c r="G391" s="27">
        <f>G392+G396</f>
        <v>935</v>
      </c>
      <c r="H391" s="204"/>
    </row>
    <row r="392" spans="1:8" ht="31.5">
      <c r="A392" s="26" t="s">
        <v>183</v>
      </c>
      <c r="B392" s="17">
        <v>903</v>
      </c>
      <c r="C392" s="21" t="s">
        <v>296</v>
      </c>
      <c r="D392" s="21" t="s">
        <v>267</v>
      </c>
      <c r="E392" s="21" t="s">
        <v>399</v>
      </c>
      <c r="F392" s="21" t="s">
        <v>184</v>
      </c>
      <c r="G392" s="27">
        <f>G393</f>
        <v>666.4</v>
      </c>
      <c r="H392" s="204"/>
    </row>
    <row r="393" spans="1:8" ht="47.25">
      <c r="A393" s="26" t="s">
        <v>185</v>
      </c>
      <c r="B393" s="17">
        <v>903</v>
      </c>
      <c r="C393" s="21" t="s">
        <v>296</v>
      </c>
      <c r="D393" s="21" t="s">
        <v>267</v>
      </c>
      <c r="E393" s="21" t="s">
        <v>399</v>
      </c>
      <c r="F393" s="21" t="s">
        <v>186</v>
      </c>
      <c r="G393" s="27">
        <f>669.4-3</f>
        <v>666.4</v>
      </c>
      <c r="H393" s="204"/>
    </row>
    <row r="394" spans="1:8" ht="31.5" hidden="1">
      <c r="A394" s="26" t="s">
        <v>300</v>
      </c>
      <c r="B394" s="17">
        <v>903</v>
      </c>
      <c r="C394" s="21" t="s">
        <v>296</v>
      </c>
      <c r="D394" s="21" t="s">
        <v>267</v>
      </c>
      <c r="E394" s="21" t="s">
        <v>399</v>
      </c>
      <c r="F394" s="21" t="s">
        <v>301</v>
      </c>
      <c r="G394" s="27">
        <f aca="true" t="shared" si="59" ref="G394">G395</f>
        <v>0</v>
      </c>
      <c r="H394" s="204"/>
    </row>
    <row r="395" spans="1:8" ht="31.5" hidden="1">
      <c r="A395" s="26" t="s">
        <v>400</v>
      </c>
      <c r="B395" s="17">
        <v>903</v>
      </c>
      <c r="C395" s="21" t="s">
        <v>296</v>
      </c>
      <c r="D395" s="21" t="s">
        <v>267</v>
      </c>
      <c r="E395" s="21" t="s">
        <v>399</v>
      </c>
      <c r="F395" s="21" t="s">
        <v>401</v>
      </c>
      <c r="G395" s="27">
        <v>0</v>
      </c>
      <c r="H395" s="204"/>
    </row>
    <row r="396" spans="1:8" ht="31.5">
      <c r="A396" s="26" t="s">
        <v>402</v>
      </c>
      <c r="B396" s="17">
        <v>903</v>
      </c>
      <c r="C396" s="21" t="s">
        <v>296</v>
      </c>
      <c r="D396" s="21" t="s">
        <v>267</v>
      </c>
      <c r="E396" s="21" t="s">
        <v>403</v>
      </c>
      <c r="F396" s="21"/>
      <c r="G396" s="27">
        <f>G397</f>
        <v>268.6</v>
      </c>
      <c r="H396" s="204"/>
    </row>
    <row r="397" spans="1:8" ht="47.25">
      <c r="A397" s="26" t="s">
        <v>324</v>
      </c>
      <c r="B397" s="17">
        <v>903</v>
      </c>
      <c r="C397" s="21" t="s">
        <v>296</v>
      </c>
      <c r="D397" s="21" t="s">
        <v>267</v>
      </c>
      <c r="E397" s="21" t="s">
        <v>403</v>
      </c>
      <c r="F397" s="21" t="s">
        <v>325</v>
      </c>
      <c r="G397" s="27">
        <f>G398</f>
        <v>268.6</v>
      </c>
      <c r="H397" s="204"/>
    </row>
    <row r="398" spans="1:8" ht="15.75">
      <c r="A398" s="26" t="s">
        <v>326</v>
      </c>
      <c r="B398" s="17">
        <v>903</v>
      </c>
      <c r="C398" s="21" t="s">
        <v>296</v>
      </c>
      <c r="D398" s="21" t="s">
        <v>267</v>
      </c>
      <c r="E398" s="21" t="s">
        <v>403</v>
      </c>
      <c r="F398" s="21" t="s">
        <v>327</v>
      </c>
      <c r="G398" s="27">
        <f>160.5+108.1</f>
        <v>268.6</v>
      </c>
      <c r="H398" s="129"/>
    </row>
    <row r="399" spans="1:8" ht="31.5">
      <c r="A399" s="26" t="s">
        <v>404</v>
      </c>
      <c r="B399" s="17">
        <v>903</v>
      </c>
      <c r="C399" s="21" t="s">
        <v>296</v>
      </c>
      <c r="D399" s="21" t="s">
        <v>267</v>
      </c>
      <c r="E399" s="21" t="s">
        <v>405</v>
      </c>
      <c r="F399" s="21"/>
      <c r="G399" s="27">
        <f>G400</f>
        <v>63</v>
      </c>
      <c r="H399" s="204"/>
    </row>
    <row r="400" spans="1:8" ht="31.5">
      <c r="A400" s="26" t="s">
        <v>209</v>
      </c>
      <c r="B400" s="17">
        <v>903</v>
      </c>
      <c r="C400" s="21" t="s">
        <v>296</v>
      </c>
      <c r="D400" s="21" t="s">
        <v>267</v>
      </c>
      <c r="E400" s="21" t="s">
        <v>406</v>
      </c>
      <c r="F400" s="21"/>
      <c r="G400" s="27">
        <f>G401</f>
        <v>63</v>
      </c>
      <c r="H400" s="204"/>
    </row>
    <row r="401" spans="1:8" ht="31.5">
      <c r="A401" s="26" t="s">
        <v>300</v>
      </c>
      <c r="B401" s="17">
        <v>903</v>
      </c>
      <c r="C401" s="21" t="s">
        <v>296</v>
      </c>
      <c r="D401" s="21" t="s">
        <v>267</v>
      </c>
      <c r="E401" s="21" t="s">
        <v>406</v>
      </c>
      <c r="F401" s="21" t="s">
        <v>301</v>
      </c>
      <c r="G401" s="27">
        <f>G402</f>
        <v>63</v>
      </c>
      <c r="H401" s="204"/>
    </row>
    <row r="402" spans="1:8" ht="31.5">
      <c r="A402" s="26" t="s">
        <v>302</v>
      </c>
      <c r="B402" s="17">
        <v>903</v>
      </c>
      <c r="C402" s="21" t="s">
        <v>296</v>
      </c>
      <c r="D402" s="21" t="s">
        <v>267</v>
      </c>
      <c r="E402" s="21" t="s">
        <v>406</v>
      </c>
      <c r="F402" s="21" t="s">
        <v>303</v>
      </c>
      <c r="G402" s="27">
        <f>60+3</f>
        <v>63</v>
      </c>
      <c r="H402" s="204"/>
    </row>
    <row r="403" spans="1:8" ht="31.5">
      <c r="A403" s="26" t="s">
        <v>407</v>
      </c>
      <c r="B403" s="17">
        <v>903</v>
      </c>
      <c r="C403" s="17">
        <v>10</v>
      </c>
      <c r="D403" s="21" t="s">
        <v>267</v>
      </c>
      <c r="E403" s="21" t="s">
        <v>408</v>
      </c>
      <c r="F403" s="21"/>
      <c r="G403" s="27">
        <f aca="true" t="shared" si="60" ref="G403:G405">G404</f>
        <v>420</v>
      </c>
      <c r="H403" s="204"/>
    </row>
    <row r="404" spans="1:8" ht="31.5">
      <c r="A404" s="26" t="s">
        <v>209</v>
      </c>
      <c r="B404" s="17">
        <v>903</v>
      </c>
      <c r="C404" s="21" t="s">
        <v>296</v>
      </c>
      <c r="D404" s="21" t="s">
        <v>267</v>
      </c>
      <c r="E404" s="21" t="s">
        <v>409</v>
      </c>
      <c r="F404" s="21"/>
      <c r="G404" s="27">
        <f>G405</f>
        <v>420</v>
      </c>
      <c r="H404" s="204"/>
    </row>
    <row r="405" spans="1:8" ht="31.5">
      <c r="A405" s="26" t="s">
        <v>300</v>
      </c>
      <c r="B405" s="17">
        <v>903</v>
      </c>
      <c r="C405" s="21" t="s">
        <v>296</v>
      </c>
      <c r="D405" s="21" t="s">
        <v>267</v>
      </c>
      <c r="E405" s="21" t="s">
        <v>409</v>
      </c>
      <c r="F405" s="21" t="s">
        <v>301</v>
      </c>
      <c r="G405" s="27">
        <f t="shared" si="60"/>
        <v>420</v>
      </c>
      <c r="H405" s="204"/>
    </row>
    <row r="406" spans="1:8" ht="31.5">
      <c r="A406" s="26" t="s">
        <v>400</v>
      </c>
      <c r="B406" s="17">
        <v>903</v>
      </c>
      <c r="C406" s="21" t="s">
        <v>296</v>
      </c>
      <c r="D406" s="21" t="s">
        <v>267</v>
      </c>
      <c r="E406" s="21" t="s">
        <v>409</v>
      </c>
      <c r="F406" s="21" t="s">
        <v>401</v>
      </c>
      <c r="G406" s="27">
        <v>420</v>
      </c>
      <c r="H406" s="204"/>
    </row>
    <row r="407" spans="1:8" ht="15.75">
      <c r="A407" s="26" t="s">
        <v>410</v>
      </c>
      <c r="B407" s="17">
        <v>903</v>
      </c>
      <c r="C407" s="17">
        <v>10</v>
      </c>
      <c r="D407" s="21" t="s">
        <v>267</v>
      </c>
      <c r="E407" s="21" t="s">
        <v>411</v>
      </c>
      <c r="F407" s="21"/>
      <c r="G407" s="27">
        <f>G408</f>
        <v>1595</v>
      </c>
      <c r="H407" s="204"/>
    </row>
    <row r="408" spans="1:8" ht="31.5">
      <c r="A408" s="26" t="s">
        <v>209</v>
      </c>
      <c r="B408" s="17">
        <v>903</v>
      </c>
      <c r="C408" s="21" t="s">
        <v>296</v>
      </c>
      <c r="D408" s="21" t="s">
        <v>267</v>
      </c>
      <c r="E408" s="21" t="s">
        <v>412</v>
      </c>
      <c r="F408" s="21"/>
      <c r="G408" s="27">
        <f>G409+G411</f>
        <v>1595</v>
      </c>
      <c r="H408" s="204"/>
    </row>
    <row r="409" spans="1:8" ht="31.5">
      <c r="A409" s="26" t="s">
        <v>183</v>
      </c>
      <c r="B409" s="17">
        <v>903</v>
      </c>
      <c r="C409" s="21" t="s">
        <v>296</v>
      </c>
      <c r="D409" s="21" t="s">
        <v>267</v>
      </c>
      <c r="E409" s="21" t="s">
        <v>412</v>
      </c>
      <c r="F409" s="21" t="s">
        <v>184</v>
      </c>
      <c r="G409" s="27">
        <f>G410</f>
        <v>547</v>
      </c>
      <c r="H409" s="204"/>
    </row>
    <row r="410" spans="1:8" ht="47.25">
      <c r="A410" s="26" t="s">
        <v>185</v>
      </c>
      <c r="B410" s="17">
        <v>903</v>
      </c>
      <c r="C410" s="21" t="s">
        <v>296</v>
      </c>
      <c r="D410" s="21" t="s">
        <v>267</v>
      </c>
      <c r="E410" s="21" t="s">
        <v>412</v>
      </c>
      <c r="F410" s="21" t="s">
        <v>186</v>
      </c>
      <c r="G410" s="188">
        <f>552-50+45</f>
        <v>547</v>
      </c>
      <c r="H410" s="183" t="s">
        <v>846</v>
      </c>
    </row>
    <row r="411" spans="1:8" ht="31.5">
      <c r="A411" s="26" t="s">
        <v>300</v>
      </c>
      <c r="B411" s="17">
        <v>903</v>
      </c>
      <c r="C411" s="21" t="s">
        <v>296</v>
      </c>
      <c r="D411" s="21" t="s">
        <v>267</v>
      </c>
      <c r="E411" s="21" t="s">
        <v>412</v>
      </c>
      <c r="F411" s="21" t="s">
        <v>301</v>
      </c>
      <c r="G411" s="27">
        <f>G412</f>
        <v>1048</v>
      </c>
      <c r="H411" s="204"/>
    </row>
    <row r="412" spans="1:8" ht="31.5">
      <c r="A412" s="26" t="s">
        <v>400</v>
      </c>
      <c r="B412" s="17">
        <v>903</v>
      </c>
      <c r="C412" s="21" t="s">
        <v>296</v>
      </c>
      <c r="D412" s="21" t="s">
        <v>267</v>
      </c>
      <c r="E412" s="21" t="s">
        <v>412</v>
      </c>
      <c r="F412" s="21" t="s">
        <v>401</v>
      </c>
      <c r="G412" s="27">
        <v>1048</v>
      </c>
      <c r="H412" s="204"/>
    </row>
    <row r="413" spans="1:8" ht="47.25">
      <c r="A413" s="26" t="s">
        <v>413</v>
      </c>
      <c r="B413" s="17">
        <v>903</v>
      </c>
      <c r="C413" s="21" t="s">
        <v>296</v>
      </c>
      <c r="D413" s="21" t="s">
        <v>267</v>
      </c>
      <c r="E413" s="21" t="s">
        <v>414</v>
      </c>
      <c r="F413" s="21"/>
      <c r="G413" s="27">
        <f>G414</f>
        <v>335</v>
      </c>
      <c r="H413" s="204"/>
    </row>
    <row r="414" spans="1:8" ht="31.5">
      <c r="A414" s="26" t="s">
        <v>209</v>
      </c>
      <c r="B414" s="17">
        <v>903</v>
      </c>
      <c r="C414" s="21" t="s">
        <v>296</v>
      </c>
      <c r="D414" s="21" t="s">
        <v>267</v>
      </c>
      <c r="E414" s="21" t="s">
        <v>415</v>
      </c>
      <c r="F414" s="21"/>
      <c r="G414" s="27">
        <f>G415</f>
        <v>335</v>
      </c>
      <c r="H414" s="204"/>
    </row>
    <row r="415" spans="1:8" ht="31.5">
      <c r="A415" s="26" t="s">
        <v>300</v>
      </c>
      <c r="B415" s="17">
        <v>903</v>
      </c>
      <c r="C415" s="21" t="s">
        <v>296</v>
      </c>
      <c r="D415" s="21" t="s">
        <v>267</v>
      </c>
      <c r="E415" s="21" t="s">
        <v>415</v>
      </c>
      <c r="F415" s="21" t="s">
        <v>301</v>
      </c>
      <c r="G415" s="27">
        <f>G416</f>
        <v>335</v>
      </c>
      <c r="H415" s="204"/>
    </row>
    <row r="416" spans="1:8" ht="31.5">
      <c r="A416" s="26" t="s">
        <v>400</v>
      </c>
      <c r="B416" s="17">
        <v>903</v>
      </c>
      <c r="C416" s="21" t="s">
        <v>296</v>
      </c>
      <c r="D416" s="21" t="s">
        <v>267</v>
      </c>
      <c r="E416" s="21" t="s">
        <v>415</v>
      </c>
      <c r="F416" s="21" t="s">
        <v>401</v>
      </c>
      <c r="G416" s="27">
        <f>400-65</f>
        <v>335</v>
      </c>
      <c r="H416" s="204"/>
    </row>
    <row r="417" spans="1:8" ht="63">
      <c r="A417" s="26" t="s">
        <v>416</v>
      </c>
      <c r="B417" s="17">
        <v>903</v>
      </c>
      <c r="C417" s="21" t="s">
        <v>296</v>
      </c>
      <c r="D417" s="21" t="s">
        <v>267</v>
      </c>
      <c r="E417" s="21" t="s">
        <v>417</v>
      </c>
      <c r="F417" s="21"/>
      <c r="G417" s="27">
        <f>G418</f>
        <v>210</v>
      </c>
      <c r="H417" s="204"/>
    </row>
    <row r="418" spans="1:8" ht="31.5">
      <c r="A418" s="26" t="s">
        <v>209</v>
      </c>
      <c r="B418" s="17">
        <v>903</v>
      </c>
      <c r="C418" s="21" t="s">
        <v>296</v>
      </c>
      <c r="D418" s="21" t="s">
        <v>267</v>
      </c>
      <c r="E418" s="21" t="s">
        <v>418</v>
      </c>
      <c r="F418" s="21"/>
      <c r="G418" s="27">
        <f>G419</f>
        <v>210</v>
      </c>
      <c r="H418" s="204"/>
    </row>
    <row r="419" spans="1:8" ht="31.5">
      <c r="A419" s="26" t="s">
        <v>183</v>
      </c>
      <c r="B419" s="17">
        <v>903</v>
      </c>
      <c r="C419" s="21" t="s">
        <v>296</v>
      </c>
      <c r="D419" s="21" t="s">
        <v>267</v>
      </c>
      <c r="E419" s="21" t="s">
        <v>418</v>
      </c>
      <c r="F419" s="21" t="s">
        <v>184</v>
      </c>
      <c r="G419" s="27">
        <f>G420</f>
        <v>210</v>
      </c>
      <c r="H419" s="204"/>
    </row>
    <row r="420" spans="1:8" ht="47.25">
      <c r="A420" s="26" t="s">
        <v>185</v>
      </c>
      <c r="B420" s="17">
        <v>903</v>
      </c>
      <c r="C420" s="21" t="s">
        <v>296</v>
      </c>
      <c r="D420" s="21" t="s">
        <v>267</v>
      </c>
      <c r="E420" s="21" t="s">
        <v>418</v>
      </c>
      <c r="F420" s="21" t="s">
        <v>186</v>
      </c>
      <c r="G420" s="27">
        <f>150+60</f>
        <v>210</v>
      </c>
      <c r="H420" s="204"/>
    </row>
    <row r="421" spans="1:8" ht="63">
      <c r="A421" s="26" t="s">
        <v>419</v>
      </c>
      <c r="B421" s="17">
        <v>903</v>
      </c>
      <c r="C421" s="21" t="s">
        <v>296</v>
      </c>
      <c r="D421" s="21" t="s">
        <v>267</v>
      </c>
      <c r="E421" s="21" t="s">
        <v>420</v>
      </c>
      <c r="F421" s="21"/>
      <c r="G421" s="27">
        <f aca="true" t="shared" si="61" ref="G421">G422+G434+G428+G431</f>
        <v>30</v>
      </c>
      <c r="H421" s="204"/>
    </row>
    <row r="422" spans="1:8" ht="47.25" customHeight="1">
      <c r="A422" s="26" t="s">
        <v>421</v>
      </c>
      <c r="B422" s="17">
        <v>903</v>
      </c>
      <c r="C422" s="21" t="s">
        <v>296</v>
      </c>
      <c r="D422" s="21" t="s">
        <v>267</v>
      </c>
      <c r="E422" s="21" t="s">
        <v>422</v>
      </c>
      <c r="F422" s="21"/>
      <c r="G422" s="27">
        <f>G423</f>
        <v>20</v>
      </c>
      <c r="H422" s="204"/>
    </row>
    <row r="423" spans="1:8" ht="47.25">
      <c r="A423" s="26" t="s">
        <v>324</v>
      </c>
      <c r="B423" s="17">
        <v>903</v>
      </c>
      <c r="C423" s="21" t="s">
        <v>296</v>
      </c>
      <c r="D423" s="21" t="s">
        <v>267</v>
      </c>
      <c r="E423" s="21" t="s">
        <v>422</v>
      </c>
      <c r="F423" s="21" t="s">
        <v>325</v>
      </c>
      <c r="G423" s="27">
        <f aca="true" t="shared" si="62" ref="G423">G424</f>
        <v>20</v>
      </c>
      <c r="H423" s="204"/>
    </row>
    <row r="424" spans="1:8" ht="63">
      <c r="A424" s="41" t="s">
        <v>423</v>
      </c>
      <c r="B424" s="17">
        <v>903</v>
      </c>
      <c r="C424" s="21" t="s">
        <v>296</v>
      </c>
      <c r="D424" s="21" t="s">
        <v>267</v>
      </c>
      <c r="E424" s="21" t="s">
        <v>422</v>
      </c>
      <c r="F424" s="21" t="s">
        <v>424</v>
      </c>
      <c r="G424" s="27">
        <f>30-10</f>
        <v>20</v>
      </c>
      <c r="H424" s="129"/>
    </row>
    <row r="425" spans="1:8" ht="15.75" hidden="1">
      <c r="A425" s="41"/>
      <c r="B425" s="17"/>
      <c r="C425" s="21"/>
      <c r="D425" s="21"/>
      <c r="E425" s="21"/>
      <c r="F425" s="21"/>
      <c r="G425" s="27"/>
      <c r="H425" s="131"/>
    </row>
    <row r="426" spans="1:8" ht="15.75" hidden="1">
      <c r="A426" s="41"/>
      <c r="B426" s="17"/>
      <c r="C426" s="21"/>
      <c r="D426" s="21"/>
      <c r="E426" s="21"/>
      <c r="F426" s="21"/>
      <c r="G426" s="27"/>
      <c r="H426" s="131"/>
    </row>
    <row r="427" spans="1:8" ht="15.75" hidden="1">
      <c r="A427" s="41"/>
      <c r="B427" s="17"/>
      <c r="C427" s="21"/>
      <c r="D427" s="21"/>
      <c r="E427" s="21"/>
      <c r="F427" s="21"/>
      <c r="G427" s="27"/>
      <c r="H427" s="131"/>
    </row>
    <row r="428" spans="1:8" ht="126" hidden="1">
      <c r="A428" s="26" t="s">
        <v>425</v>
      </c>
      <c r="B428" s="17">
        <v>903</v>
      </c>
      <c r="C428" s="21" t="s">
        <v>296</v>
      </c>
      <c r="D428" s="21" t="s">
        <v>267</v>
      </c>
      <c r="E428" s="21" t="s">
        <v>426</v>
      </c>
      <c r="F428" s="21"/>
      <c r="G428" s="27">
        <f aca="true" t="shared" si="63" ref="G428:G429">G429</f>
        <v>0</v>
      </c>
      <c r="H428" s="204"/>
    </row>
    <row r="429" spans="1:8" ht="15.75" hidden="1">
      <c r="A429" s="26" t="s">
        <v>187</v>
      </c>
      <c r="B429" s="17">
        <v>903</v>
      </c>
      <c r="C429" s="21" t="s">
        <v>296</v>
      </c>
      <c r="D429" s="21" t="s">
        <v>267</v>
      </c>
      <c r="E429" s="21" t="s">
        <v>426</v>
      </c>
      <c r="F429" s="21" t="s">
        <v>197</v>
      </c>
      <c r="G429" s="27">
        <f t="shared" si="63"/>
        <v>0</v>
      </c>
      <c r="H429" s="204"/>
    </row>
    <row r="430" spans="1:8" ht="63" hidden="1">
      <c r="A430" s="26" t="s">
        <v>236</v>
      </c>
      <c r="B430" s="17">
        <v>903</v>
      </c>
      <c r="C430" s="21" t="s">
        <v>296</v>
      </c>
      <c r="D430" s="21" t="s">
        <v>267</v>
      </c>
      <c r="E430" s="21" t="s">
        <v>426</v>
      </c>
      <c r="F430" s="21" t="s">
        <v>212</v>
      </c>
      <c r="G430" s="27">
        <v>0</v>
      </c>
      <c r="H430" s="204"/>
    </row>
    <row r="431" spans="1:8" ht="63">
      <c r="A431" s="26" t="s">
        <v>427</v>
      </c>
      <c r="B431" s="17">
        <v>903</v>
      </c>
      <c r="C431" s="21" t="s">
        <v>296</v>
      </c>
      <c r="D431" s="21" t="s">
        <v>267</v>
      </c>
      <c r="E431" s="21" t="s">
        <v>428</v>
      </c>
      <c r="F431" s="21"/>
      <c r="G431" s="27">
        <f aca="true" t="shared" si="64" ref="G431:G432">G432</f>
        <v>10</v>
      </c>
      <c r="H431" s="204"/>
    </row>
    <row r="432" spans="1:8" ht="31.5">
      <c r="A432" s="26" t="s">
        <v>300</v>
      </c>
      <c r="B432" s="17">
        <v>903</v>
      </c>
      <c r="C432" s="21" t="s">
        <v>296</v>
      </c>
      <c r="D432" s="21" t="s">
        <v>267</v>
      </c>
      <c r="E432" s="21" t="s">
        <v>428</v>
      </c>
      <c r="F432" s="21" t="s">
        <v>301</v>
      </c>
      <c r="G432" s="27">
        <f t="shared" si="64"/>
        <v>10</v>
      </c>
      <c r="H432" s="204"/>
    </row>
    <row r="433" spans="1:8" ht="31.5">
      <c r="A433" s="26" t="s">
        <v>302</v>
      </c>
      <c r="B433" s="17">
        <v>903</v>
      </c>
      <c r="C433" s="21" t="s">
        <v>296</v>
      </c>
      <c r="D433" s="21" t="s">
        <v>267</v>
      </c>
      <c r="E433" s="21" t="s">
        <v>428</v>
      </c>
      <c r="F433" s="21" t="s">
        <v>303</v>
      </c>
      <c r="G433" s="27">
        <v>10</v>
      </c>
      <c r="H433" s="129"/>
    </row>
    <row r="434" spans="1:8" ht="31.5" hidden="1">
      <c r="A434" s="26" t="s">
        <v>429</v>
      </c>
      <c r="B434" s="17">
        <v>903</v>
      </c>
      <c r="C434" s="21" t="s">
        <v>296</v>
      </c>
      <c r="D434" s="21" t="s">
        <v>267</v>
      </c>
      <c r="E434" s="21" t="s">
        <v>430</v>
      </c>
      <c r="F434" s="21"/>
      <c r="G434" s="27">
        <f aca="true" t="shared" si="65" ref="G434">G435+G437</f>
        <v>0</v>
      </c>
      <c r="H434" s="204"/>
    </row>
    <row r="435" spans="1:8" ht="31.5" hidden="1">
      <c r="A435" s="26" t="s">
        <v>183</v>
      </c>
      <c r="B435" s="17">
        <v>903</v>
      </c>
      <c r="C435" s="21" t="s">
        <v>296</v>
      </c>
      <c r="D435" s="21" t="s">
        <v>267</v>
      </c>
      <c r="E435" s="21" t="s">
        <v>430</v>
      </c>
      <c r="F435" s="21" t="s">
        <v>184</v>
      </c>
      <c r="G435" s="27">
        <f aca="true" t="shared" si="66" ref="G435">G436</f>
        <v>0</v>
      </c>
      <c r="H435" s="204"/>
    </row>
    <row r="436" spans="1:8" ht="47.25" hidden="1">
      <c r="A436" s="26" t="s">
        <v>185</v>
      </c>
      <c r="B436" s="17">
        <v>903</v>
      </c>
      <c r="C436" s="21" t="s">
        <v>296</v>
      </c>
      <c r="D436" s="21" t="s">
        <v>267</v>
      </c>
      <c r="E436" s="21" t="s">
        <v>430</v>
      </c>
      <c r="F436" s="21" t="s">
        <v>186</v>
      </c>
      <c r="G436" s="27">
        <v>0</v>
      </c>
      <c r="H436" s="204"/>
    </row>
    <row r="437" spans="1:8" ht="15.75" hidden="1">
      <c r="A437" s="26" t="s">
        <v>187</v>
      </c>
      <c r="B437" s="17">
        <v>903</v>
      </c>
      <c r="C437" s="21" t="s">
        <v>296</v>
      </c>
      <c r="D437" s="21" t="s">
        <v>267</v>
      </c>
      <c r="E437" s="21" t="s">
        <v>431</v>
      </c>
      <c r="F437" s="21" t="s">
        <v>197</v>
      </c>
      <c r="G437" s="27">
        <f aca="true" t="shared" si="67" ref="G437">G438</f>
        <v>0</v>
      </c>
      <c r="H437" s="204"/>
    </row>
    <row r="438" spans="1:8" ht="63" hidden="1">
      <c r="A438" s="26" t="s">
        <v>236</v>
      </c>
      <c r="B438" s="17">
        <v>903</v>
      </c>
      <c r="C438" s="21" t="s">
        <v>296</v>
      </c>
      <c r="D438" s="21" t="s">
        <v>267</v>
      </c>
      <c r="E438" s="21" t="s">
        <v>431</v>
      </c>
      <c r="F438" s="21" t="s">
        <v>212</v>
      </c>
      <c r="G438" s="27">
        <v>0</v>
      </c>
      <c r="H438" s="204"/>
    </row>
    <row r="439" spans="1:8" ht="94.5">
      <c r="A439" s="31" t="s">
        <v>432</v>
      </c>
      <c r="B439" s="17">
        <v>903</v>
      </c>
      <c r="C439" s="42" t="s">
        <v>296</v>
      </c>
      <c r="D439" s="42" t="s">
        <v>267</v>
      </c>
      <c r="E439" s="42" t="s">
        <v>433</v>
      </c>
      <c r="F439" s="42"/>
      <c r="G439" s="27">
        <f>G440</f>
        <v>105</v>
      </c>
      <c r="H439" s="204"/>
    </row>
    <row r="440" spans="1:8" ht="31.5">
      <c r="A440" s="31" t="s">
        <v>209</v>
      </c>
      <c r="B440" s="17">
        <v>903</v>
      </c>
      <c r="C440" s="42" t="s">
        <v>296</v>
      </c>
      <c r="D440" s="42" t="s">
        <v>267</v>
      </c>
      <c r="E440" s="42" t="s">
        <v>434</v>
      </c>
      <c r="F440" s="42"/>
      <c r="G440" s="27">
        <f>G441</f>
        <v>105</v>
      </c>
      <c r="H440" s="204"/>
    </row>
    <row r="441" spans="1:8" ht="31.5">
      <c r="A441" s="31" t="s">
        <v>183</v>
      </c>
      <c r="B441" s="17">
        <v>903</v>
      </c>
      <c r="C441" s="42" t="s">
        <v>296</v>
      </c>
      <c r="D441" s="42" t="s">
        <v>267</v>
      </c>
      <c r="E441" s="42" t="s">
        <v>434</v>
      </c>
      <c r="F441" s="42" t="s">
        <v>184</v>
      </c>
      <c r="G441" s="27">
        <f>G442</f>
        <v>105</v>
      </c>
      <c r="H441" s="204"/>
    </row>
    <row r="442" spans="1:8" ht="47.25">
      <c r="A442" s="31" t="s">
        <v>185</v>
      </c>
      <c r="B442" s="17">
        <v>903</v>
      </c>
      <c r="C442" s="42" t="s">
        <v>296</v>
      </c>
      <c r="D442" s="42" t="s">
        <v>267</v>
      </c>
      <c r="E442" s="42" t="s">
        <v>434</v>
      </c>
      <c r="F442" s="42" t="s">
        <v>186</v>
      </c>
      <c r="G442" s="27">
        <f>50+55</f>
        <v>105</v>
      </c>
      <c r="H442" s="204"/>
    </row>
    <row r="443" spans="1:8" ht="15.75">
      <c r="A443" s="26" t="s">
        <v>173</v>
      </c>
      <c r="B443" s="17">
        <v>903</v>
      </c>
      <c r="C443" s="21" t="s">
        <v>296</v>
      </c>
      <c r="D443" s="21" t="s">
        <v>267</v>
      </c>
      <c r="E443" s="21" t="s">
        <v>174</v>
      </c>
      <c r="F443" s="21"/>
      <c r="G443" s="27">
        <f>G444+G455</f>
        <v>932</v>
      </c>
      <c r="H443" s="204"/>
    </row>
    <row r="444" spans="1:8" ht="31.5">
      <c r="A444" s="26" t="s">
        <v>237</v>
      </c>
      <c r="B444" s="17">
        <v>903</v>
      </c>
      <c r="C444" s="21" t="s">
        <v>296</v>
      </c>
      <c r="D444" s="21" t="s">
        <v>267</v>
      </c>
      <c r="E444" s="21" t="s">
        <v>238</v>
      </c>
      <c r="F444" s="21"/>
      <c r="G444" s="27">
        <f>G451+G445+G448</f>
        <v>932</v>
      </c>
      <c r="H444" s="204"/>
    </row>
    <row r="445" spans="1:8" ht="15.75">
      <c r="A445" s="26" t="s">
        <v>435</v>
      </c>
      <c r="B445" s="17">
        <v>903</v>
      </c>
      <c r="C445" s="21" t="s">
        <v>296</v>
      </c>
      <c r="D445" s="21" t="s">
        <v>267</v>
      </c>
      <c r="E445" s="21" t="s">
        <v>436</v>
      </c>
      <c r="F445" s="21"/>
      <c r="G445" s="27">
        <f aca="true" t="shared" si="68" ref="G445:G446">G446</f>
        <v>372.6</v>
      </c>
      <c r="H445" s="204"/>
    </row>
    <row r="446" spans="1:8" ht="31.5">
      <c r="A446" s="26" t="s">
        <v>300</v>
      </c>
      <c r="B446" s="17">
        <v>903</v>
      </c>
      <c r="C446" s="21" t="s">
        <v>296</v>
      </c>
      <c r="D446" s="21" t="s">
        <v>267</v>
      </c>
      <c r="E446" s="21" t="s">
        <v>436</v>
      </c>
      <c r="F446" s="21" t="s">
        <v>301</v>
      </c>
      <c r="G446" s="27">
        <f t="shared" si="68"/>
        <v>372.6</v>
      </c>
      <c r="H446" s="204"/>
    </row>
    <row r="447" spans="1:9" ht="31.5">
      <c r="A447" s="26" t="s">
        <v>302</v>
      </c>
      <c r="B447" s="17">
        <v>903</v>
      </c>
      <c r="C447" s="21" t="s">
        <v>296</v>
      </c>
      <c r="D447" s="21" t="s">
        <v>267</v>
      </c>
      <c r="E447" s="21" t="s">
        <v>436</v>
      </c>
      <c r="F447" s="21" t="s">
        <v>303</v>
      </c>
      <c r="G447" s="27">
        <v>372.6</v>
      </c>
      <c r="H447" s="129"/>
      <c r="I447" s="147"/>
    </row>
    <row r="448" spans="1:10" ht="63">
      <c r="A448" s="26" t="s">
        <v>427</v>
      </c>
      <c r="B448" s="17">
        <v>903</v>
      </c>
      <c r="C448" s="21" t="s">
        <v>296</v>
      </c>
      <c r="D448" s="21" t="s">
        <v>267</v>
      </c>
      <c r="E448" s="21" t="s">
        <v>437</v>
      </c>
      <c r="F448" s="21"/>
      <c r="G448" s="27">
        <f aca="true" t="shared" si="69" ref="G448:G449">G449</f>
        <v>500</v>
      </c>
      <c r="H448" s="204"/>
      <c r="J448" s="132"/>
    </row>
    <row r="449" spans="1:10" ht="31.5">
      <c r="A449" s="26" t="s">
        <v>300</v>
      </c>
      <c r="B449" s="17">
        <v>903</v>
      </c>
      <c r="C449" s="21" t="s">
        <v>296</v>
      </c>
      <c r="D449" s="21" t="s">
        <v>267</v>
      </c>
      <c r="E449" s="21" t="s">
        <v>437</v>
      </c>
      <c r="F449" s="21" t="s">
        <v>301</v>
      </c>
      <c r="G449" s="27">
        <f t="shared" si="69"/>
        <v>500</v>
      </c>
      <c r="H449" s="204"/>
      <c r="J449" s="132"/>
    </row>
    <row r="450" spans="1:10" ht="31.5">
      <c r="A450" s="26" t="s">
        <v>302</v>
      </c>
      <c r="B450" s="17">
        <v>903</v>
      </c>
      <c r="C450" s="21" t="s">
        <v>296</v>
      </c>
      <c r="D450" s="21" t="s">
        <v>267</v>
      </c>
      <c r="E450" s="21" t="s">
        <v>437</v>
      </c>
      <c r="F450" s="21" t="s">
        <v>303</v>
      </c>
      <c r="G450" s="27">
        <v>500</v>
      </c>
      <c r="H450" s="129"/>
      <c r="J450" s="132"/>
    </row>
    <row r="451" spans="1:10" ht="54" customHeight="1">
      <c r="A451" s="190" t="s">
        <v>834</v>
      </c>
      <c r="B451" s="17">
        <v>903</v>
      </c>
      <c r="C451" s="21" t="s">
        <v>296</v>
      </c>
      <c r="D451" s="21" t="s">
        <v>267</v>
      </c>
      <c r="E451" s="21" t="s">
        <v>439</v>
      </c>
      <c r="F451" s="21"/>
      <c r="G451" s="27">
        <f aca="true" t="shared" si="70" ref="G451">G452</f>
        <v>59.4</v>
      </c>
      <c r="H451" s="204"/>
      <c r="J451" s="132"/>
    </row>
    <row r="452" spans="1:10" ht="31.5">
      <c r="A452" s="26" t="s">
        <v>300</v>
      </c>
      <c r="B452" s="17">
        <v>903</v>
      </c>
      <c r="C452" s="21" t="s">
        <v>296</v>
      </c>
      <c r="D452" s="21" t="s">
        <v>267</v>
      </c>
      <c r="E452" s="21" t="s">
        <v>439</v>
      </c>
      <c r="F452" s="21" t="s">
        <v>301</v>
      </c>
      <c r="G452" s="27">
        <f aca="true" t="shared" si="71" ref="G452">G453+G454</f>
        <v>59.4</v>
      </c>
      <c r="H452" s="204"/>
      <c r="J452" s="132"/>
    </row>
    <row r="453" spans="1:10" ht="31.5">
      <c r="A453" s="26" t="s">
        <v>400</v>
      </c>
      <c r="B453" s="17">
        <v>903</v>
      </c>
      <c r="C453" s="21" t="s">
        <v>296</v>
      </c>
      <c r="D453" s="21" t="s">
        <v>267</v>
      </c>
      <c r="E453" s="21" t="s">
        <v>439</v>
      </c>
      <c r="F453" s="21" t="s">
        <v>401</v>
      </c>
      <c r="G453" s="188">
        <v>59.4</v>
      </c>
      <c r="H453" s="183" t="s">
        <v>824</v>
      </c>
      <c r="J453" s="132"/>
    </row>
    <row r="454" spans="1:8" ht="31.5">
      <c r="A454" s="26" t="s">
        <v>302</v>
      </c>
      <c r="B454" s="17">
        <v>903</v>
      </c>
      <c r="C454" s="21" t="s">
        <v>296</v>
      </c>
      <c r="D454" s="21" t="s">
        <v>267</v>
      </c>
      <c r="E454" s="21" t="s">
        <v>439</v>
      </c>
      <c r="F454" s="21" t="s">
        <v>303</v>
      </c>
      <c r="G454" s="27"/>
      <c r="H454" s="204"/>
    </row>
    <row r="455" spans="1:8" ht="15.75">
      <c r="A455" s="26" t="s">
        <v>193</v>
      </c>
      <c r="B455" s="17">
        <v>903</v>
      </c>
      <c r="C455" s="21" t="s">
        <v>296</v>
      </c>
      <c r="D455" s="21" t="s">
        <v>267</v>
      </c>
      <c r="E455" s="21" t="s">
        <v>194</v>
      </c>
      <c r="F455" s="21"/>
      <c r="G455" s="27">
        <f aca="true" t="shared" si="72" ref="G455:G457">G456</f>
        <v>0</v>
      </c>
      <c r="H455" s="204"/>
    </row>
    <row r="456" spans="1:8" ht="15.75">
      <c r="A456" s="26" t="s">
        <v>253</v>
      </c>
      <c r="B456" s="17">
        <v>903</v>
      </c>
      <c r="C456" s="21" t="s">
        <v>296</v>
      </c>
      <c r="D456" s="21" t="s">
        <v>267</v>
      </c>
      <c r="E456" s="21" t="s">
        <v>254</v>
      </c>
      <c r="F456" s="21"/>
      <c r="G456" s="27">
        <f t="shared" si="72"/>
        <v>0</v>
      </c>
      <c r="H456" s="204"/>
    </row>
    <row r="457" spans="1:8" ht="31.5">
      <c r="A457" s="26" t="s">
        <v>300</v>
      </c>
      <c r="B457" s="17">
        <v>903</v>
      </c>
      <c r="C457" s="21" t="s">
        <v>296</v>
      </c>
      <c r="D457" s="21" t="s">
        <v>267</v>
      </c>
      <c r="E457" s="21" t="s">
        <v>254</v>
      </c>
      <c r="F457" s="21" t="s">
        <v>301</v>
      </c>
      <c r="G457" s="27">
        <f t="shared" si="72"/>
        <v>0</v>
      </c>
      <c r="H457" s="204"/>
    </row>
    <row r="458" spans="1:8" ht="31.5">
      <c r="A458" s="26" t="s">
        <v>400</v>
      </c>
      <c r="B458" s="17">
        <v>903</v>
      </c>
      <c r="C458" s="21" t="s">
        <v>296</v>
      </c>
      <c r="D458" s="21" t="s">
        <v>267</v>
      </c>
      <c r="E458" s="21" t="s">
        <v>254</v>
      </c>
      <c r="F458" s="21" t="s">
        <v>401</v>
      </c>
      <c r="G458" s="27">
        <v>0</v>
      </c>
      <c r="H458" s="204"/>
    </row>
    <row r="459" spans="1:8" ht="47.25">
      <c r="A459" s="20" t="s">
        <v>440</v>
      </c>
      <c r="B459" s="20">
        <v>905</v>
      </c>
      <c r="C459" s="21"/>
      <c r="D459" s="21"/>
      <c r="E459" s="21"/>
      <c r="F459" s="21"/>
      <c r="G459" s="22">
        <f>G460+G477+G492</f>
        <v>15801.74</v>
      </c>
      <c r="H459" s="204"/>
    </row>
    <row r="460" spans="1:8" ht="15.75">
      <c r="A460" s="24" t="s">
        <v>169</v>
      </c>
      <c r="B460" s="20">
        <v>905</v>
      </c>
      <c r="C460" s="25" t="s">
        <v>170</v>
      </c>
      <c r="D460" s="21"/>
      <c r="E460" s="21"/>
      <c r="F460" s="21"/>
      <c r="G460" s="22">
        <f>G461+G471</f>
        <v>14701.94</v>
      </c>
      <c r="H460" s="204"/>
    </row>
    <row r="461" spans="1:8" ht="78.75">
      <c r="A461" s="24" t="s">
        <v>201</v>
      </c>
      <c r="B461" s="20">
        <v>905</v>
      </c>
      <c r="C461" s="25" t="s">
        <v>170</v>
      </c>
      <c r="D461" s="25" t="s">
        <v>202</v>
      </c>
      <c r="E461" s="25"/>
      <c r="F461" s="25"/>
      <c r="G461" s="22">
        <f aca="true" t="shared" si="73" ref="G461:G463">G462</f>
        <v>11089</v>
      </c>
      <c r="H461" s="204"/>
    </row>
    <row r="462" spans="1:8" ht="15.75">
      <c r="A462" s="26" t="s">
        <v>173</v>
      </c>
      <c r="B462" s="17">
        <v>905</v>
      </c>
      <c r="C462" s="21" t="s">
        <v>170</v>
      </c>
      <c r="D462" s="21" t="s">
        <v>202</v>
      </c>
      <c r="E462" s="21" t="s">
        <v>174</v>
      </c>
      <c r="F462" s="21"/>
      <c r="G462" s="27">
        <f>G463</f>
        <v>11089</v>
      </c>
      <c r="H462" s="204"/>
    </row>
    <row r="463" spans="1:8" ht="31.5">
      <c r="A463" s="26" t="s">
        <v>175</v>
      </c>
      <c r="B463" s="17">
        <v>905</v>
      </c>
      <c r="C463" s="21" t="s">
        <v>170</v>
      </c>
      <c r="D463" s="21" t="s">
        <v>202</v>
      </c>
      <c r="E463" s="21" t="s">
        <v>176</v>
      </c>
      <c r="F463" s="21"/>
      <c r="G463" s="27">
        <f t="shared" si="73"/>
        <v>11089</v>
      </c>
      <c r="H463" s="204"/>
    </row>
    <row r="464" spans="1:8" ht="47.25">
      <c r="A464" s="26" t="s">
        <v>177</v>
      </c>
      <c r="B464" s="17">
        <v>905</v>
      </c>
      <c r="C464" s="21" t="s">
        <v>170</v>
      </c>
      <c r="D464" s="21" t="s">
        <v>202</v>
      </c>
      <c r="E464" s="21" t="s">
        <v>178</v>
      </c>
      <c r="F464" s="21"/>
      <c r="G464" s="27">
        <f>G465+G467+G469</f>
        <v>11089</v>
      </c>
      <c r="H464" s="204"/>
    </row>
    <row r="465" spans="1:8" ht="94.5">
      <c r="A465" s="26" t="s">
        <v>179</v>
      </c>
      <c r="B465" s="17">
        <v>905</v>
      </c>
      <c r="C465" s="21" t="s">
        <v>170</v>
      </c>
      <c r="D465" s="21" t="s">
        <v>202</v>
      </c>
      <c r="E465" s="21" t="s">
        <v>178</v>
      </c>
      <c r="F465" s="21" t="s">
        <v>180</v>
      </c>
      <c r="G465" s="27">
        <f aca="true" t="shared" si="74" ref="G465">G466</f>
        <v>10200.7</v>
      </c>
      <c r="H465" s="204"/>
    </row>
    <row r="466" spans="1:8" ht="31.5">
      <c r="A466" s="26" t="s">
        <v>181</v>
      </c>
      <c r="B466" s="17">
        <v>905</v>
      </c>
      <c r="C466" s="21" t="s">
        <v>170</v>
      </c>
      <c r="D466" s="21" t="s">
        <v>202</v>
      </c>
      <c r="E466" s="21" t="s">
        <v>178</v>
      </c>
      <c r="F466" s="21" t="s">
        <v>182</v>
      </c>
      <c r="G466" s="28">
        <v>10200.7</v>
      </c>
      <c r="H466" s="204"/>
    </row>
    <row r="467" spans="1:8" ht="31.5">
      <c r="A467" s="26" t="s">
        <v>183</v>
      </c>
      <c r="B467" s="17">
        <v>905</v>
      </c>
      <c r="C467" s="21" t="s">
        <v>170</v>
      </c>
      <c r="D467" s="21" t="s">
        <v>202</v>
      </c>
      <c r="E467" s="21" t="s">
        <v>178</v>
      </c>
      <c r="F467" s="21" t="s">
        <v>184</v>
      </c>
      <c r="G467" s="27">
        <f aca="true" t="shared" si="75" ref="G467">G468</f>
        <v>811.8</v>
      </c>
      <c r="H467" s="204"/>
    </row>
    <row r="468" spans="1:8" ht="47.25">
      <c r="A468" s="26" t="s">
        <v>185</v>
      </c>
      <c r="B468" s="17">
        <v>905</v>
      </c>
      <c r="C468" s="21" t="s">
        <v>170</v>
      </c>
      <c r="D468" s="21" t="s">
        <v>202</v>
      </c>
      <c r="E468" s="21" t="s">
        <v>178</v>
      </c>
      <c r="F468" s="21" t="s">
        <v>186</v>
      </c>
      <c r="G468" s="182">
        <f>885.8-74</f>
        <v>811.8</v>
      </c>
      <c r="H468" s="183" t="s">
        <v>819</v>
      </c>
    </row>
    <row r="469" spans="1:8" ht="15.75">
      <c r="A469" s="26" t="s">
        <v>187</v>
      </c>
      <c r="B469" s="17">
        <v>905</v>
      </c>
      <c r="C469" s="21" t="s">
        <v>170</v>
      </c>
      <c r="D469" s="21" t="s">
        <v>202</v>
      </c>
      <c r="E469" s="21" t="s">
        <v>178</v>
      </c>
      <c r="F469" s="21" t="s">
        <v>197</v>
      </c>
      <c r="G469" s="27">
        <f aca="true" t="shared" si="76" ref="G469">G470</f>
        <v>76.5</v>
      </c>
      <c r="H469" s="204"/>
    </row>
    <row r="470" spans="1:8" ht="15.75">
      <c r="A470" s="26" t="s">
        <v>621</v>
      </c>
      <c r="B470" s="17">
        <v>905</v>
      </c>
      <c r="C470" s="21" t="s">
        <v>170</v>
      </c>
      <c r="D470" s="21" t="s">
        <v>202</v>
      </c>
      <c r="E470" s="21" t="s">
        <v>178</v>
      </c>
      <c r="F470" s="21" t="s">
        <v>190</v>
      </c>
      <c r="G470" s="184">
        <f>2.5+74</f>
        <v>76.5</v>
      </c>
      <c r="H470" s="183" t="s">
        <v>820</v>
      </c>
    </row>
    <row r="471" spans="1:8" ht="15.75">
      <c r="A471" s="24" t="s">
        <v>191</v>
      </c>
      <c r="B471" s="20">
        <v>905</v>
      </c>
      <c r="C471" s="25" t="s">
        <v>170</v>
      </c>
      <c r="D471" s="25" t="s">
        <v>192</v>
      </c>
      <c r="E471" s="25"/>
      <c r="F471" s="25"/>
      <c r="G471" s="22">
        <f aca="true" t="shared" si="77" ref="G471:G475">G472</f>
        <v>3612.94</v>
      </c>
      <c r="H471" s="204"/>
    </row>
    <row r="472" spans="1:8" ht="15.75">
      <c r="A472" s="26" t="s">
        <v>173</v>
      </c>
      <c r="B472" s="17">
        <v>905</v>
      </c>
      <c r="C472" s="21" t="s">
        <v>170</v>
      </c>
      <c r="D472" s="21" t="s">
        <v>192</v>
      </c>
      <c r="E472" s="21" t="s">
        <v>174</v>
      </c>
      <c r="F472" s="21"/>
      <c r="G472" s="27">
        <f>G473</f>
        <v>3612.94</v>
      </c>
      <c r="H472" s="204"/>
    </row>
    <row r="473" spans="1:8" ht="15.75">
      <c r="A473" s="26" t="s">
        <v>193</v>
      </c>
      <c r="B473" s="17">
        <v>905</v>
      </c>
      <c r="C473" s="21" t="s">
        <v>170</v>
      </c>
      <c r="D473" s="21" t="s">
        <v>192</v>
      </c>
      <c r="E473" s="21" t="s">
        <v>194</v>
      </c>
      <c r="F473" s="21"/>
      <c r="G473" s="27">
        <f t="shared" si="77"/>
        <v>3612.94</v>
      </c>
      <c r="H473" s="204"/>
    </row>
    <row r="474" spans="1:8" ht="47.25">
      <c r="A474" s="26" t="s">
        <v>441</v>
      </c>
      <c r="B474" s="17">
        <v>905</v>
      </c>
      <c r="C474" s="21" t="s">
        <v>170</v>
      </c>
      <c r="D474" s="21" t="s">
        <v>192</v>
      </c>
      <c r="E474" s="21" t="s">
        <v>442</v>
      </c>
      <c r="F474" s="21"/>
      <c r="G474" s="27">
        <f>G475</f>
        <v>3612.94</v>
      </c>
      <c r="H474" s="204"/>
    </row>
    <row r="475" spans="1:8" ht="31.5">
      <c r="A475" s="26" t="s">
        <v>183</v>
      </c>
      <c r="B475" s="17">
        <v>905</v>
      </c>
      <c r="C475" s="21" t="s">
        <v>170</v>
      </c>
      <c r="D475" s="21" t="s">
        <v>192</v>
      </c>
      <c r="E475" s="21" t="s">
        <v>442</v>
      </c>
      <c r="F475" s="21" t="s">
        <v>184</v>
      </c>
      <c r="G475" s="27">
        <f t="shared" si="77"/>
        <v>3612.94</v>
      </c>
      <c r="H475" s="204"/>
    </row>
    <row r="476" spans="1:9" ht="47.25">
      <c r="A476" s="26" t="s">
        <v>185</v>
      </c>
      <c r="B476" s="17">
        <v>905</v>
      </c>
      <c r="C476" s="21" t="s">
        <v>170</v>
      </c>
      <c r="D476" s="21" t="s">
        <v>192</v>
      </c>
      <c r="E476" s="21" t="s">
        <v>442</v>
      </c>
      <c r="F476" s="21" t="s">
        <v>186</v>
      </c>
      <c r="G476" s="188">
        <f>1961.14+1251.8+400</f>
        <v>3612.94</v>
      </c>
      <c r="H476" s="129" t="s">
        <v>837</v>
      </c>
      <c r="I476" s="147"/>
    </row>
    <row r="477" spans="1:8" ht="15.75">
      <c r="A477" s="43" t="s">
        <v>443</v>
      </c>
      <c r="B477" s="20">
        <v>905</v>
      </c>
      <c r="C477" s="25" t="s">
        <v>286</v>
      </c>
      <c r="D477" s="25"/>
      <c r="E477" s="25"/>
      <c r="F477" s="25"/>
      <c r="G477" s="22">
        <f aca="true" t="shared" si="78" ref="G477">G478</f>
        <v>1099.8</v>
      </c>
      <c r="H477" s="204"/>
    </row>
    <row r="478" spans="1:8" ht="15.75">
      <c r="A478" s="43" t="s">
        <v>444</v>
      </c>
      <c r="B478" s="20">
        <v>905</v>
      </c>
      <c r="C478" s="25" t="s">
        <v>286</v>
      </c>
      <c r="D478" s="25" t="s">
        <v>170</v>
      </c>
      <c r="E478" s="25"/>
      <c r="F478" s="25"/>
      <c r="G478" s="27">
        <f>G479</f>
        <v>1099.8</v>
      </c>
      <c r="H478" s="204"/>
    </row>
    <row r="479" spans="1:8" ht="15.75">
      <c r="A479" s="31" t="s">
        <v>173</v>
      </c>
      <c r="B479" s="17">
        <v>905</v>
      </c>
      <c r="C479" s="21" t="s">
        <v>286</v>
      </c>
      <c r="D479" s="21" t="s">
        <v>170</v>
      </c>
      <c r="E479" s="21" t="s">
        <v>174</v>
      </c>
      <c r="F479" s="21"/>
      <c r="G479" s="27">
        <f aca="true" t="shared" si="79" ref="G479">G485+G480</f>
        <v>1099.8</v>
      </c>
      <c r="H479" s="204"/>
    </row>
    <row r="480" spans="1:8" ht="31.5" hidden="1">
      <c r="A480" s="26" t="s">
        <v>237</v>
      </c>
      <c r="B480" s="39">
        <v>905</v>
      </c>
      <c r="C480" s="21" t="s">
        <v>286</v>
      </c>
      <c r="D480" s="21" t="s">
        <v>170</v>
      </c>
      <c r="E480" s="21" t="s">
        <v>238</v>
      </c>
      <c r="F480" s="21"/>
      <c r="G480" s="27">
        <f aca="true" t="shared" si="80" ref="G480:G483">G481</f>
        <v>0</v>
      </c>
      <c r="H480" s="204"/>
    </row>
    <row r="481" spans="1:8" ht="47.25" hidden="1">
      <c r="A481" s="38" t="s">
        <v>445</v>
      </c>
      <c r="B481" s="39">
        <v>905</v>
      </c>
      <c r="C481" s="21" t="s">
        <v>286</v>
      </c>
      <c r="D481" s="21" t="s">
        <v>170</v>
      </c>
      <c r="E481" s="21" t="s">
        <v>446</v>
      </c>
      <c r="F481" s="21"/>
      <c r="G481" s="27">
        <f t="shared" si="80"/>
        <v>0</v>
      </c>
      <c r="H481" s="204"/>
    </row>
    <row r="482" spans="1:8" ht="31.5" hidden="1">
      <c r="A482" s="44" t="s">
        <v>447</v>
      </c>
      <c r="B482" s="39">
        <v>905</v>
      </c>
      <c r="C482" s="21" t="s">
        <v>286</v>
      </c>
      <c r="D482" s="21" t="s">
        <v>170</v>
      </c>
      <c r="E482" s="21" t="s">
        <v>448</v>
      </c>
      <c r="F482" s="21"/>
      <c r="G482" s="27">
        <f t="shared" si="80"/>
        <v>0</v>
      </c>
      <c r="H482" s="204"/>
    </row>
    <row r="483" spans="1:8" ht="31.5" hidden="1">
      <c r="A483" s="26" t="s">
        <v>183</v>
      </c>
      <c r="B483" s="17">
        <v>905</v>
      </c>
      <c r="C483" s="21" t="s">
        <v>286</v>
      </c>
      <c r="D483" s="21" t="s">
        <v>170</v>
      </c>
      <c r="E483" s="21" t="s">
        <v>448</v>
      </c>
      <c r="F483" s="21" t="s">
        <v>184</v>
      </c>
      <c r="G483" s="27">
        <f t="shared" si="80"/>
        <v>0</v>
      </c>
      <c r="H483" s="204"/>
    </row>
    <row r="484" spans="1:8" ht="47.25" hidden="1">
      <c r="A484" s="26" t="s">
        <v>185</v>
      </c>
      <c r="B484" s="17">
        <v>905</v>
      </c>
      <c r="C484" s="21" t="s">
        <v>286</v>
      </c>
      <c r="D484" s="21" t="s">
        <v>170</v>
      </c>
      <c r="E484" s="21" t="s">
        <v>448</v>
      </c>
      <c r="F484" s="21" t="s">
        <v>186</v>
      </c>
      <c r="G484" s="27"/>
      <c r="H484" s="204"/>
    </row>
    <row r="485" spans="1:8" ht="15.75">
      <c r="A485" s="31" t="s">
        <v>193</v>
      </c>
      <c r="B485" s="17">
        <v>905</v>
      </c>
      <c r="C485" s="21" t="s">
        <v>286</v>
      </c>
      <c r="D485" s="21" t="s">
        <v>170</v>
      </c>
      <c r="E485" s="21" t="s">
        <v>194</v>
      </c>
      <c r="F485" s="21"/>
      <c r="G485" s="27">
        <f>G486+G489</f>
        <v>1099.8</v>
      </c>
      <c r="H485" s="204"/>
    </row>
    <row r="486" spans="1:8" ht="31.5">
      <c r="A486" s="31" t="s">
        <v>451</v>
      </c>
      <c r="B486" s="17">
        <v>905</v>
      </c>
      <c r="C486" s="21" t="s">
        <v>286</v>
      </c>
      <c r="D486" s="21" t="s">
        <v>170</v>
      </c>
      <c r="E486" s="21" t="s">
        <v>452</v>
      </c>
      <c r="F486" s="21"/>
      <c r="G486" s="27">
        <f>G487</f>
        <v>260.8</v>
      </c>
      <c r="H486" s="204"/>
    </row>
    <row r="487" spans="1:8" ht="31.5">
      <c r="A487" s="26" t="s">
        <v>183</v>
      </c>
      <c r="B487" s="17">
        <v>905</v>
      </c>
      <c r="C487" s="21" t="s">
        <v>286</v>
      </c>
      <c r="D487" s="21" t="s">
        <v>170</v>
      </c>
      <c r="E487" s="21" t="s">
        <v>452</v>
      </c>
      <c r="F487" s="21" t="s">
        <v>184</v>
      </c>
      <c r="G487" s="27">
        <f aca="true" t="shared" si="81" ref="G487">G488</f>
        <v>260.8</v>
      </c>
      <c r="H487" s="204"/>
    </row>
    <row r="488" spans="1:8" ht="47.25">
      <c r="A488" s="26" t="s">
        <v>185</v>
      </c>
      <c r="B488" s="17">
        <v>905</v>
      </c>
      <c r="C488" s="21" t="s">
        <v>286</v>
      </c>
      <c r="D488" s="21" t="s">
        <v>170</v>
      </c>
      <c r="E488" s="21" t="s">
        <v>452</v>
      </c>
      <c r="F488" s="21" t="s">
        <v>186</v>
      </c>
      <c r="G488" s="27">
        <v>260.8</v>
      </c>
      <c r="H488" s="204"/>
    </row>
    <row r="489" spans="1:8" ht="15.75">
      <c r="A489" s="31" t="s">
        <v>449</v>
      </c>
      <c r="B489" s="17">
        <v>905</v>
      </c>
      <c r="C489" s="21" t="s">
        <v>286</v>
      </c>
      <c r="D489" s="21" t="s">
        <v>170</v>
      </c>
      <c r="E489" s="21" t="s">
        <v>450</v>
      </c>
      <c r="F489" s="21"/>
      <c r="G489" s="27">
        <f>G490</f>
        <v>839</v>
      </c>
      <c r="H489" s="204"/>
    </row>
    <row r="490" spans="1:8" ht="31.5">
      <c r="A490" s="26" t="s">
        <v>183</v>
      </c>
      <c r="B490" s="17">
        <v>905</v>
      </c>
      <c r="C490" s="21" t="s">
        <v>286</v>
      </c>
      <c r="D490" s="21" t="s">
        <v>170</v>
      </c>
      <c r="E490" s="21" t="s">
        <v>450</v>
      </c>
      <c r="F490" s="21" t="s">
        <v>184</v>
      </c>
      <c r="G490" s="27">
        <f>G491</f>
        <v>839</v>
      </c>
      <c r="H490" s="204"/>
    </row>
    <row r="491" spans="1:9" ht="47.25">
      <c r="A491" s="26" t="s">
        <v>185</v>
      </c>
      <c r="B491" s="17">
        <v>905</v>
      </c>
      <c r="C491" s="21" t="s">
        <v>286</v>
      </c>
      <c r="D491" s="21" t="s">
        <v>170</v>
      </c>
      <c r="E491" s="21" t="s">
        <v>450</v>
      </c>
      <c r="F491" s="21" t="s">
        <v>186</v>
      </c>
      <c r="G491" s="27">
        <v>839</v>
      </c>
      <c r="H491" s="204"/>
      <c r="I491" s="138"/>
    </row>
    <row r="492" spans="1:8" ht="15.75" hidden="1">
      <c r="A492" s="45" t="s">
        <v>295</v>
      </c>
      <c r="B492" s="20">
        <v>905</v>
      </c>
      <c r="C492" s="25" t="s">
        <v>296</v>
      </c>
      <c r="D492" s="25"/>
      <c r="E492" s="25"/>
      <c r="F492" s="25"/>
      <c r="G492" s="22">
        <f aca="true" t="shared" si="82" ref="G492:G496">G493</f>
        <v>0</v>
      </c>
      <c r="H492" s="204"/>
    </row>
    <row r="493" spans="1:8" ht="15.75" hidden="1">
      <c r="A493" s="24" t="s">
        <v>453</v>
      </c>
      <c r="B493" s="20">
        <v>905</v>
      </c>
      <c r="C493" s="25" t="s">
        <v>296</v>
      </c>
      <c r="D493" s="25" t="s">
        <v>202</v>
      </c>
      <c r="E493" s="25"/>
      <c r="F493" s="25"/>
      <c r="G493" s="22">
        <f t="shared" si="82"/>
        <v>0</v>
      </c>
      <c r="H493" s="204"/>
    </row>
    <row r="494" spans="1:8" ht="31.5" hidden="1">
      <c r="A494" s="26" t="s">
        <v>237</v>
      </c>
      <c r="B494" s="17">
        <v>905</v>
      </c>
      <c r="C494" s="21" t="s">
        <v>296</v>
      </c>
      <c r="D494" s="21" t="s">
        <v>202</v>
      </c>
      <c r="E494" s="21" t="s">
        <v>238</v>
      </c>
      <c r="F494" s="21"/>
      <c r="G494" s="27">
        <f t="shared" si="82"/>
        <v>0</v>
      </c>
      <c r="H494" s="204"/>
    </row>
    <row r="495" spans="1:8" ht="47.25" hidden="1">
      <c r="A495" s="33" t="s">
        <v>454</v>
      </c>
      <c r="B495" s="17">
        <v>905</v>
      </c>
      <c r="C495" s="21" t="s">
        <v>296</v>
      </c>
      <c r="D495" s="21" t="s">
        <v>202</v>
      </c>
      <c r="E495" s="21" t="s">
        <v>455</v>
      </c>
      <c r="F495" s="21"/>
      <c r="G495" s="27">
        <f t="shared" si="82"/>
        <v>0</v>
      </c>
      <c r="H495" s="204"/>
    </row>
    <row r="496" spans="1:8" ht="31.5" hidden="1">
      <c r="A496" s="26" t="s">
        <v>183</v>
      </c>
      <c r="B496" s="17">
        <v>905</v>
      </c>
      <c r="C496" s="21" t="s">
        <v>296</v>
      </c>
      <c r="D496" s="21" t="s">
        <v>202</v>
      </c>
      <c r="E496" s="21" t="s">
        <v>455</v>
      </c>
      <c r="F496" s="21" t="s">
        <v>184</v>
      </c>
      <c r="G496" s="27">
        <f t="shared" si="82"/>
        <v>0</v>
      </c>
      <c r="H496" s="204"/>
    </row>
    <row r="497" spans="1:9" ht="47.25" hidden="1">
      <c r="A497" s="26" t="s">
        <v>185</v>
      </c>
      <c r="B497" s="17">
        <v>905</v>
      </c>
      <c r="C497" s="21" t="s">
        <v>296</v>
      </c>
      <c r="D497" s="21" t="s">
        <v>202</v>
      </c>
      <c r="E497" s="21" t="s">
        <v>455</v>
      </c>
      <c r="F497" s="21" t="s">
        <v>186</v>
      </c>
      <c r="G497" s="27">
        <f>1330-1330</f>
        <v>0</v>
      </c>
      <c r="H497" s="204"/>
      <c r="I497" s="138"/>
    </row>
    <row r="498" spans="1:12" ht="31.5">
      <c r="A498" s="20" t="s">
        <v>456</v>
      </c>
      <c r="B498" s="20">
        <v>906</v>
      </c>
      <c r="C498" s="25"/>
      <c r="D498" s="25"/>
      <c r="E498" s="25"/>
      <c r="F498" s="25"/>
      <c r="G498" s="22">
        <f>G506+G499</f>
        <v>261521.80000000002</v>
      </c>
      <c r="H498" s="204"/>
      <c r="L498" s="139"/>
    </row>
    <row r="499" spans="1:8" ht="15.75">
      <c r="A499" s="24" t="s">
        <v>169</v>
      </c>
      <c r="B499" s="20">
        <v>906</v>
      </c>
      <c r="C499" s="25" t="s">
        <v>170</v>
      </c>
      <c r="D499" s="25"/>
      <c r="E499" s="25"/>
      <c r="F499" s="25"/>
      <c r="G499" s="22">
        <f>G500</f>
        <v>5</v>
      </c>
      <c r="H499" s="204"/>
    </row>
    <row r="500" spans="1:8" ht="15.75">
      <c r="A500" s="36" t="s">
        <v>191</v>
      </c>
      <c r="B500" s="20">
        <v>906</v>
      </c>
      <c r="C500" s="25" t="s">
        <v>170</v>
      </c>
      <c r="D500" s="25" t="s">
        <v>192</v>
      </c>
      <c r="E500" s="25"/>
      <c r="F500" s="25"/>
      <c r="G500" s="22">
        <f aca="true" t="shared" si="83" ref="G500:G504">G501</f>
        <v>5</v>
      </c>
      <c r="H500" s="204"/>
    </row>
    <row r="501" spans="1:8" ht="18" customHeight="1">
      <c r="A501" s="33" t="s">
        <v>173</v>
      </c>
      <c r="B501" s="17">
        <v>906</v>
      </c>
      <c r="C501" s="21" t="s">
        <v>170</v>
      </c>
      <c r="D501" s="21" t="s">
        <v>192</v>
      </c>
      <c r="E501" s="21" t="s">
        <v>174</v>
      </c>
      <c r="F501" s="21"/>
      <c r="G501" s="27">
        <f>G502</f>
        <v>5</v>
      </c>
      <c r="H501" s="204"/>
    </row>
    <row r="502" spans="1:8" ht="15.75">
      <c r="A502" s="33" t="s">
        <v>193</v>
      </c>
      <c r="B502" s="17">
        <v>906</v>
      </c>
      <c r="C502" s="21" t="s">
        <v>170</v>
      </c>
      <c r="D502" s="21" t="s">
        <v>192</v>
      </c>
      <c r="E502" s="21" t="s">
        <v>194</v>
      </c>
      <c r="F502" s="21"/>
      <c r="G502" s="27">
        <f t="shared" si="83"/>
        <v>5</v>
      </c>
      <c r="H502" s="204"/>
    </row>
    <row r="503" spans="1:8" ht="15.75">
      <c r="A503" s="26" t="s">
        <v>231</v>
      </c>
      <c r="B503" s="17">
        <v>906</v>
      </c>
      <c r="C503" s="21" t="s">
        <v>170</v>
      </c>
      <c r="D503" s="21" t="s">
        <v>192</v>
      </c>
      <c r="E503" s="21" t="s">
        <v>257</v>
      </c>
      <c r="F503" s="21"/>
      <c r="G503" s="27">
        <f>G504</f>
        <v>5</v>
      </c>
      <c r="H503" s="204"/>
    </row>
    <row r="504" spans="1:8" ht="31.5">
      <c r="A504" s="26" t="s">
        <v>183</v>
      </c>
      <c r="B504" s="17">
        <v>906</v>
      </c>
      <c r="C504" s="21" t="s">
        <v>170</v>
      </c>
      <c r="D504" s="21" t="s">
        <v>192</v>
      </c>
      <c r="E504" s="21" t="s">
        <v>257</v>
      </c>
      <c r="F504" s="21" t="s">
        <v>184</v>
      </c>
      <c r="G504" s="27">
        <f t="shared" si="83"/>
        <v>5</v>
      </c>
      <c r="H504" s="204"/>
    </row>
    <row r="505" spans="1:8" ht="47.25">
      <c r="A505" s="26" t="s">
        <v>185</v>
      </c>
      <c r="B505" s="17">
        <v>906</v>
      </c>
      <c r="C505" s="21" t="s">
        <v>170</v>
      </c>
      <c r="D505" s="21" t="s">
        <v>192</v>
      </c>
      <c r="E505" s="21" t="s">
        <v>257</v>
      </c>
      <c r="F505" s="21" t="s">
        <v>186</v>
      </c>
      <c r="G505" s="27">
        <v>5</v>
      </c>
      <c r="H505" s="204"/>
    </row>
    <row r="506" spans="1:8" ht="15.75">
      <c r="A506" s="24" t="s">
        <v>315</v>
      </c>
      <c r="B506" s="20">
        <v>906</v>
      </c>
      <c r="C506" s="25" t="s">
        <v>316</v>
      </c>
      <c r="D506" s="25"/>
      <c r="E506" s="25"/>
      <c r="F506" s="25"/>
      <c r="G506" s="22">
        <f>G507+G546+G633+G645+G612</f>
        <v>261516.80000000002</v>
      </c>
      <c r="H506" s="204"/>
    </row>
    <row r="507" spans="1:8" ht="15.75">
      <c r="A507" s="24" t="s">
        <v>457</v>
      </c>
      <c r="B507" s="20">
        <v>906</v>
      </c>
      <c r="C507" s="25" t="s">
        <v>316</v>
      </c>
      <c r="D507" s="25" t="s">
        <v>170</v>
      </c>
      <c r="E507" s="25"/>
      <c r="F507" s="25"/>
      <c r="G507" s="22">
        <f>G508+G526</f>
        <v>84659.4</v>
      </c>
      <c r="H507" s="204"/>
    </row>
    <row r="508" spans="1:8" ht="47.25">
      <c r="A508" s="26" t="s">
        <v>458</v>
      </c>
      <c r="B508" s="17">
        <v>906</v>
      </c>
      <c r="C508" s="21" t="s">
        <v>316</v>
      </c>
      <c r="D508" s="21" t="s">
        <v>170</v>
      </c>
      <c r="E508" s="21" t="s">
        <v>459</v>
      </c>
      <c r="F508" s="21"/>
      <c r="G508" s="27">
        <f aca="true" t="shared" si="84" ref="G508">G509+G513</f>
        <v>23453.4</v>
      </c>
      <c r="H508" s="204"/>
    </row>
    <row r="509" spans="1:8" ht="47.25">
      <c r="A509" s="26" t="s">
        <v>460</v>
      </c>
      <c r="B509" s="17">
        <v>906</v>
      </c>
      <c r="C509" s="21" t="s">
        <v>316</v>
      </c>
      <c r="D509" s="21" t="s">
        <v>170</v>
      </c>
      <c r="E509" s="21" t="s">
        <v>461</v>
      </c>
      <c r="F509" s="21"/>
      <c r="G509" s="27">
        <f>G510</f>
        <v>15578.400000000001</v>
      </c>
      <c r="H509" s="204"/>
    </row>
    <row r="510" spans="1:8" ht="47.25">
      <c r="A510" s="26" t="s">
        <v>462</v>
      </c>
      <c r="B510" s="17">
        <v>906</v>
      </c>
      <c r="C510" s="21" t="s">
        <v>316</v>
      </c>
      <c r="D510" s="21" t="s">
        <v>170</v>
      </c>
      <c r="E510" s="21" t="s">
        <v>463</v>
      </c>
      <c r="F510" s="21"/>
      <c r="G510" s="27">
        <f aca="true" t="shared" si="85" ref="G510">G511</f>
        <v>15578.400000000001</v>
      </c>
      <c r="H510" s="204"/>
    </row>
    <row r="511" spans="1:8" ht="47.25">
      <c r="A511" s="26" t="s">
        <v>324</v>
      </c>
      <c r="B511" s="17">
        <v>906</v>
      </c>
      <c r="C511" s="21" t="s">
        <v>316</v>
      </c>
      <c r="D511" s="21" t="s">
        <v>170</v>
      </c>
      <c r="E511" s="21" t="s">
        <v>463</v>
      </c>
      <c r="F511" s="21" t="s">
        <v>325</v>
      </c>
      <c r="G511" s="27">
        <f>G512</f>
        <v>15578.400000000001</v>
      </c>
      <c r="H511" s="204"/>
    </row>
    <row r="512" spans="1:9" ht="15.75">
      <c r="A512" s="26" t="s">
        <v>326</v>
      </c>
      <c r="B512" s="17">
        <v>906</v>
      </c>
      <c r="C512" s="21" t="s">
        <v>316</v>
      </c>
      <c r="D512" s="21" t="s">
        <v>170</v>
      </c>
      <c r="E512" s="21" t="s">
        <v>463</v>
      </c>
      <c r="F512" s="21" t="s">
        <v>327</v>
      </c>
      <c r="G512" s="28">
        <f>17368.2+6858.7-6314-1360.2-974.3</f>
        <v>15578.400000000001</v>
      </c>
      <c r="H512" s="206"/>
      <c r="I512" s="148"/>
    </row>
    <row r="513" spans="1:8" ht="47.25">
      <c r="A513" s="26" t="s">
        <v>464</v>
      </c>
      <c r="B513" s="17">
        <v>906</v>
      </c>
      <c r="C513" s="21" t="s">
        <v>316</v>
      </c>
      <c r="D513" s="21" t="s">
        <v>170</v>
      </c>
      <c r="E513" s="21" t="s">
        <v>465</v>
      </c>
      <c r="F513" s="21"/>
      <c r="G513" s="27">
        <f>G514+G517+G520+G523</f>
        <v>7875</v>
      </c>
      <c r="H513" s="204"/>
    </row>
    <row r="514" spans="1:8" ht="47.25" hidden="1">
      <c r="A514" s="26" t="s">
        <v>330</v>
      </c>
      <c r="B514" s="17">
        <v>906</v>
      </c>
      <c r="C514" s="21" t="s">
        <v>316</v>
      </c>
      <c r="D514" s="21" t="s">
        <v>170</v>
      </c>
      <c r="E514" s="21" t="s">
        <v>466</v>
      </c>
      <c r="F514" s="21"/>
      <c r="G514" s="27">
        <f aca="true" t="shared" si="86" ref="G514:G515">G515</f>
        <v>0</v>
      </c>
      <c r="H514" s="204"/>
    </row>
    <row r="515" spans="1:8" ht="47.25" hidden="1">
      <c r="A515" s="26" t="s">
        <v>324</v>
      </c>
      <c r="B515" s="17">
        <v>906</v>
      </c>
      <c r="C515" s="21" t="s">
        <v>316</v>
      </c>
      <c r="D515" s="21" t="s">
        <v>170</v>
      </c>
      <c r="E515" s="21" t="s">
        <v>466</v>
      </c>
      <c r="F515" s="21" t="s">
        <v>325</v>
      </c>
      <c r="G515" s="27">
        <f t="shared" si="86"/>
        <v>0</v>
      </c>
      <c r="H515" s="204"/>
    </row>
    <row r="516" spans="1:8" ht="15.75" hidden="1">
      <c r="A516" s="26" t="s">
        <v>326</v>
      </c>
      <c r="B516" s="17">
        <v>906</v>
      </c>
      <c r="C516" s="21" t="s">
        <v>316</v>
      </c>
      <c r="D516" s="21" t="s">
        <v>170</v>
      </c>
      <c r="E516" s="21" t="s">
        <v>466</v>
      </c>
      <c r="F516" s="21" t="s">
        <v>327</v>
      </c>
      <c r="G516" s="27">
        <v>0</v>
      </c>
      <c r="H516" s="204"/>
    </row>
    <row r="517" spans="1:8" ht="31.5">
      <c r="A517" s="26" t="s">
        <v>332</v>
      </c>
      <c r="B517" s="17">
        <v>906</v>
      </c>
      <c r="C517" s="21" t="s">
        <v>316</v>
      </c>
      <c r="D517" s="21" t="s">
        <v>170</v>
      </c>
      <c r="E517" s="21" t="s">
        <v>467</v>
      </c>
      <c r="F517" s="21"/>
      <c r="G517" s="27">
        <f aca="true" t="shared" si="87" ref="G517:G518">G518</f>
        <v>1145</v>
      </c>
      <c r="H517" s="204"/>
    </row>
    <row r="518" spans="1:8" ht="47.25">
      <c r="A518" s="26" t="s">
        <v>324</v>
      </c>
      <c r="B518" s="17">
        <v>906</v>
      </c>
      <c r="C518" s="21" t="s">
        <v>316</v>
      </c>
      <c r="D518" s="21" t="s">
        <v>170</v>
      </c>
      <c r="E518" s="21" t="s">
        <v>467</v>
      </c>
      <c r="F518" s="21" t="s">
        <v>325</v>
      </c>
      <c r="G518" s="27">
        <f t="shared" si="87"/>
        <v>1145</v>
      </c>
      <c r="H518" s="204"/>
    </row>
    <row r="519" spans="1:8" ht="15.75">
      <c r="A519" s="26" t="s">
        <v>326</v>
      </c>
      <c r="B519" s="17">
        <v>906</v>
      </c>
      <c r="C519" s="21" t="s">
        <v>316</v>
      </c>
      <c r="D519" s="21" t="s">
        <v>170</v>
      </c>
      <c r="E519" s="21" t="s">
        <v>467</v>
      </c>
      <c r="F519" s="21" t="s">
        <v>327</v>
      </c>
      <c r="G519" s="184">
        <f>800+300+45</f>
        <v>1145</v>
      </c>
      <c r="H519" s="191" t="s">
        <v>839</v>
      </c>
    </row>
    <row r="520" spans="1:8" ht="47.25">
      <c r="A520" s="26" t="s">
        <v>468</v>
      </c>
      <c r="B520" s="17">
        <v>906</v>
      </c>
      <c r="C520" s="21" t="s">
        <v>316</v>
      </c>
      <c r="D520" s="21" t="s">
        <v>170</v>
      </c>
      <c r="E520" s="21" t="s">
        <v>469</v>
      </c>
      <c r="F520" s="21"/>
      <c r="G520" s="27">
        <f aca="true" t="shared" si="88" ref="G520">G521</f>
        <v>6730</v>
      </c>
      <c r="H520" s="204"/>
    </row>
    <row r="521" spans="1:8" ht="47.25">
      <c r="A521" s="26" t="s">
        <v>324</v>
      </c>
      <c r="B521" s="17">
        <v>906</v>
      </c>
      <c r="C521" s="21" t="s">
        <v>316</v>
      </c>
      <c r="D521" s="21" t="s">
        <v>170</v>
      </c>
      <c r="E521" s="21" t="s">
        <v>469</v>
      </c>
      <c r="F521" s="21" t="s">
        <v>325</v>
      </c>
      <c r="G521" s="27">
        <f>G522</f>
        <v>6730</v>
      </c>
      <c r="H521" s="204"/>
    </row>
    <row r="522" spans="1:8" ht="15.75">
      <c r="A522" s="26" t="s">
        <v>326</v>
      </c>
      <c r="B522" s="17">
        <v>906</v>
      </c>
      <c r="C522" s="21" t="s">
        <v>316</v>
      </c>
      <c r="D522" s="21" t="s">
        <v>170</v>
      </c>
      <c r="E522" s="21" t="s">
        <v>469</v>
      </c>
      <c r="F522" s="21" t="s">
        <v>327</v>
      </c>
      <c r="G522" s="28">
        <v>6730</v>
      </c>
      <c r="H522" s="204"/>
    </row>
    <row r="523" spans="1:8" ht="31.5" hidden="1">
      <c r="A523" s="26" t="s">
        <v>336</v>
      </c>
      <c r="B523" s="17">
        <v>906</v>
      </c>
      <c r="C523" s="21" t="s">
        <v>316</v>
      </c>
      <c r="D523" s="21" t="s">
        <v>170</v>
      </c>
      <c r="E523" s="21" t="s">
        <v>470</v>
      </c>
      <c r="F523" s="21"/>
      <c r="G523" s="27">
        <f aca="true" t="shared" si="89" ref="G523:G524">G524</f>
        <v>0</v>
      </c>
      <c r="H523" s="204"/>
    </row>
    <row r="524" spans="1:8" ht="47.25" hidden="1">
      <c r="A524" s="26" t="s">
        <v>324</v>
      </c>
      <c r="B524" s="17">
        <v>906</v>
      </c>
      <c r="C524" s="21" t="s">
        <v>316</v>
      </c>
      <c r="D524" s="21" t="s">
        <v>170</v>
      </c>
      <c r="E524" s="21" t="s">
        <v>470</v>
      </c>
      <c r="F524" s="21" t="s">
        <v>325</v>
      </c>
      <c r="G524" s="27">
        <f t="shared" si="89"/>
        <v>0</v>
      </c>
      <c r="H524" s="204"/>
    </row>
    <row r="525" spans="1:8" ht="15.75" hidden="1">
      <c r="A525" s="26" t="s">
        <v>326</v>
      </c>
      <c r="B525" s="17">
        <v>906</v>
      </c>
      <c r="C525" s="21" t="s">
        <v>316</v>
      </c>
      <c r="D525" s="21" t="s">
        <v>170</v>
      </c>
      <c r="E525" s="21" t="s">
        <v>470</v>
      </c>
      <c r="F525" s="21" t="s">
        <v>327</v>
      </c>
      <c r="G525" s="27">
        <v>0</v>
      </c>
      <c r="H525" s="204"/>
    </row>
    <row r="526" spans="1:8" ht="15.75">
      <c r="A526" s="26" t="s">
        <v>173</v>
      </c>
      <c r="B526" s="17">
        <v>906</v>
      </c>
      <c r="C526" s="21" t="s">
        <v>316</v>
      </c>
      <c r="D526" s="21" t="s">
        <v>170</v>
      </c>
      <c r="E526" s="21" t="s">
        <v>174</v>
      </c>
      <c r="F526" s="21"/>
      <c r="G526" s="27">
        <f>G527</f>
        <v>61206</v>
      </c>
      <c r="H526" s="204"/>
    </row>
    <row r="527" spans="1:8" ht="31.5">
      <c r="A527" s="26" t="s">
        <v>237</v>
      </c>
      <c r="B527" s="17">
        <v>906</v>
      </c>
      <c r="C527" s="21" t="s">
        <v>316</v>
      </c>
      <c r="D527" s="21" t="s">
        <v>170</v>
      </c>
      <c r="E527" s="21" t="s">
        <v>238</v>
      </c>
      <c r="F527" s="21"/>
      <c r="G527" s="27">
        <f aca="true" t="shared" si="90" ref="G527">G528+G531+G534+G537+G540+G543</f>
        <v>61206</v>
      </c>
      <c r="H527" s="204"/>
    </row>
    <row r="528" spans="1:8" ht="31.5" hidden="1">
      <c r="A528" s="26" t="s">
        <v>471</v>
      </c>
      <c r="B528" s="17">
        <v>906</v>
      </c>
      <c r="C528" s="21" t="s">
        <v>316</v>
      </c>
      <c r="D528" s="21" t="s">
        <v>170</v>
      </c>
      <c r="E528" s="21" t="s">
        <v>472</v>
      </c>
      <c r="F528" s="21"/>
      <c r="G528" s="27">
        <f aca="true" t="shared" si="91" ref="G528:G529">G529</f>
        <v>0</v>
      </c>
      <c r="H528" s="204"/>
    </row>
    <row r="529" spans="1:8" ht="47.25" hidden="1">
      <c r="A529" s="26" t="s">
        <v>324</v>
      </c>
      <c r="B529" s="17">
        <v>906</v>
      </c>
      <c r="C529" s="21" t="s">
        <v>316</v>
      </c>
      <c r="D529" s="21" t="s">
        <v>170</v>
      </c>
      <c r="E529" s="21" t="s">
        <v>472</v>
      </c>
      <c r="F529" s="21" t="s">
        <v>325</v>
      </c>
      <c r="G529" s="27">
        <f t="shared" si="91"/>
        <v>0</v>
      </c>
      <c r="H529" s="204"/>
    </row>
    <row r="530" spans="1:8" ht="15.75" hidden="1">
      <c r="A530" s="26" t="s">
        <v>326</v>
      </c>
      <c r="B530" s="17">
        <v>906</v>
      </c>
      <c r="C530" s="21" t="s">
        <v>316</v>
      </c>
      <c r="D530" s="21" t="s">
        <v>170</v>
      </c>
      <c r="E530" s="21" t="s">
        <v>472</v>
      </c>
      <c r="F530" s="21" t="s">
        <v>327</v>
      </c>
      <c r="G530" s="27"/>
      <c r="H530" s="204"/>
    </row>
    <row r="531" spans="1:8" ht="63">
      <c r="A531" s="33" t="s">
        <v>341</v>
      </c>
      <c r="B531" s="17">
        <v>906</v>
      </c>
      <c r="C531" s="21" t="s">
        <v>316</v>
      </c>
      <c r="D531" s="21" t="s">
        <v>170</v>
      </c>
      <c r="E531" s="21" t="s">
        <v>342</v>
      </c>
      <c r="F531" s="21"/>
      <c r="G531" s="27">
        <f>G532</f>
        <v>310.2</v>
      </c>
      <c r="H531" s="204"/>
    </row>
    <row r="532" spans="1:8" ht="47.25">
      <c r="A532" s="26" t="s">
        <v>324</v>
      </c>
      <c r="B532" s="17">
        <v>906</v>
      </c>
      <c r="C532" s="21" t="s">
        <v>316</v>
      </c>
      <c r="D532" s="21" t="s">
        <v>170</v>
      </c>
      <c r="E532" s="21" t="s">
        <v>342</v>
      </c>
      <c r="F532" s="21" t="s">
        <v>325</v>
      </c>
      <c r="G532" s="27">
        <f aca="true" t="shared" si="92" ref="G532">G533</f>
        <v>310.2</v>
      </c>
      <c r="H532" s="204"/>
    </row>
    <row r="533" spans="1:9" ht="15.75">
      <c r="A533" s="26" t="s">
        <v>326</v>
      </c>
      <c r="B533" s="17">
        <v>906</v>
      </c>
      <c r="C533" s="21" t="s">
        <v>316</v>
      </c>
      <c r="D533" s="21" t="s">
        <v>170</v>
      </c>
      <c r="E533" s="21" t="s">
        <v>342</v>
      </c>
      <c r="F533" s="21" t="s">
        <v>327</v>
      </c>
      <c r="G533" s="27">
        <f>416.2-106</f>
        <v>310.2</v>
      </c>
      <c r="H533" s="204"/>
      <c r="I533" s="138"/>
    </row>
    <row r="534" spans="1:8" ht="78.75">
      <c r="A534" s="33" t="s">
        <v>473</v>
      </c>
      <c r="B534" s="17">
        <v>906</v>
      </c>
      <c r="C534" s="21" t="s">
        <v>316</v>
      </c>
      <c r="D534" s="21" t="s">
        <v>170</v>
      </c>
      <c r="E534" s="21" t="s">
        <v>344</v>
      </c>
      <c r="F534" s="21"/>
      <c r="G534" s="27">
        <f aca="true" t="shared" si="93" ref="G534">G535</f>
        <v>1696.8</v>
      </c>
      <c r="H534" s="204"/>
    </row>
    <row r="535" spans="1:8" ht="47.25">
      <c r="A535" s="26" t="s">
        <v>324</v>
      </c>
      <c r="B535" s="17">
        <v>906</v>
      </c>
      <c r="C535" s="21" t="s">
        <v>316</v>
      </c>
      <c r="D535" s="21" t="s">
        <v>170</v>
      </c>
      <c r="E535" s="21" t="s">
        <v>344</v>
      </c>
      <c r="F535" s="21" t="s">
        <v>325</v>
      </c>
      <c r="G535" s="27">
        <f>G536</f>
        <v>1696.8</v>
      </c>
      <c r="H535" s="204"/>
    </row>
    <row r="536" spans="1:9" ht="15.75">
      <c r="A536" s="26" t="s">
        <v>326</v>
      </c>
      <c r="B536" s="17">
        <v>906</v>
      </c>
      <c r="C536" s="21" t="s">
        <v>316</v>
      </c>
      <c r="D536" s="21" t="s">
        <v>170</v>
      </c>
      <c r="E536" s="21" t="s">
        <v>344</v>
      </c>
      <c r="F536" s="21" t="s">
        <v>327</v>
      </c>
      <c r="G536" s="27">
        <f>1900-203.2</f>
        <v>1696.8</v>
      </c>
      <c r="H536" s="204"/>
      <c r="I536" s="138"/>
    </row>
    <row r="537" spans="1:8" ht="94.5">
      <c r="A537" s="33" t="s">
        <v>474</v>
      </c>
      <c r="B537" s="17">
        <v>906</v>
      </c>
      <c r="C537" s="21" t="s">
        <v>316</v>
      </c>
      <c r="D537" s="21" t="s">
        <v>170</v>
      </c>
      <c r="E537" s="21" t="s">
        <v>475</v>
      </c>
      <c r="F537" s="21"/>
      <c r="G537" s="27">
        <f>G538</f>
        <v>56320</v>
      </c>
      <c r="H537" s="204"/>
    </row>
    <row r="538" spans="1:8" ht="47.25">
      <c r="A538" s="26" t="s">
        <v>324</v>
      </c>
      <c r="B538" s="17">
        <v>906</v>
      </c>
      <c r="C538" s="21" t="s">
        <v>316</v>
      </c>
      <c r="D538" s="21" t="s">
        <v>170</v>
      </c>
      <c r="E538" s="21" t="s">
        <v>475</v>
      </c>
      <c r="F538" s="21" t="s">
        <v>325</v>
      </c>
      <c r="G538" s="27">
        <f aca="true" t="shared" si="94" ref="G538">G539</f>
        <v>56320</v>
      </c>
      <c r="H538" s="204"/>
    </row>
    <row r="539" spans="1:9" ht="15.75">
      <c r="A539" s="26" t="s">
        <v>326</v>
      </c>
      <c r="B539" s="17">
        <v>906</v>
      </c>
      <c r="C539" s="21" t="s">
        <v>316</v>
      </c>
      <c r="D539" s="21" t="s">
        <v>170</v>
      </c>
      <c r="E539" s="21" t="s">
        <v>475</v>
      </c>
      <c r="F539" s="21" t="s">
        <v>327</v>
      </c>
      <c r="G539" s="28">
        <f>66162.2-7643.6-2198.6</f>
        <v>56320</v>
      </c>
      <c r="H539" s="129"/>
      <c r="I539" s="138"/>
    </row>
    <row r="540" spans="1:8" ht="110.25">
      <c r="A540" s="33" t="s">
        <v>345</v>
      </c>
      <c r="B540" s="17">
        <v>906</v>
      </c>
      <c r="C540" s="21" t="s">
        <v>316</v>
      </c>
      <c r="D540" s="21" t="s">
        <v>170</v>
      </c>
      <c r="E540" s="21" t="s">
        <v>346</v>
      </c>
      <c r="F540" s="21"/>
      <c r="G540" s="27">
        <f aca="true" t="shared" si="95" ref="G540">G541</f>
        <v>2879</v>
      </c>
      <c r="H540" s="204"/>
    </row>
    <row r="541" spans="1:8" ht="47.25">
      <c r="A541" s="26" t="s">
        <v>324</v>
      </c>
      <c r="B541" s="17">
        <v>906</v>
      </c>
      <c r="C541" s="21" t="s">
        <v>316</v>
      </c>
      <c r="D541" s="21" t="s">
        <v>170</v>
      </c>
      <c r="E541" s="21" t="s">
        <v>346</v>
      </c>
      <c r="F541" s="21" t="s">
        <v>325</v>
      </c>
      <c r="G541" s="27">
        <f>G542</f>
        <v>2879</v>
      </c>
      <c r="H541" s="204"/>
    </row>
    <row r="542" spans="1:9" ht="15.75">
      <c r="A542" s="26" t="s">
        <v>326</v>
      </c>
      <c r="B542" s="17">
        <v>906</v>
      </c>
      <c r="C542" s="21" t="s">
        <v>316</v>
      </c>
      <c r="D542" s="21" t="s">
        <v>170</v>
      </c>
      <c r="E542" s="21" t="s">
        <v>346</v>
      </c>
      <c r="F542" s="21" t="s">
        <v>327</v>
      </c>
      <c r="G542" s="28">
        <f>2937.2-58.2</f>
        <v>2879</v>
      </c>
      <c r="H542" s="204"/>
      <c r="I542" s="138"/>
    </row>
    <row r="543" spans="1:8" ht="157.5" hidden="1">
      <c r="A543" s="26" t="s">
        <v>476</v>
      </c>
      <c r="B543" s="17">
        <v>906</v>
      </c>
      <c r="C543" s="21" t="s">
        <v>316</v>
      </c>
      <c r="D543" s="21" t="s">
        <v>170</v>
      </c>
      <c r="E543" s="21" t="s">
        <v>477</v>
      </c>
      <c r="F543" s="21"/>
      <c r="G543" s="28">
        <f aca="true" t="shared" si="96" ref="G543:G544">G544</f>
        <v>0</v>
      </c>
      <c r="H543" s="204"/>
    </row>
    <row r="544" spans="1:8" ht="47.25" hidden="1">
      <c r="A544" s="26" t="s">
        <v>324</v>
      </c>
      <c r="B544" s="17">
        <v>906</v>
      </c>
      <c r="C544" s="21" t="s">
        <v>316</v>
      </c>
      <c r="D544" s="21" t="s">
        <v>170</v>
      </c>
      <c r="E544" s="21" t="s">
        <v>477</v>
      </c>
      <c r="F544" s="21" t="s">
        <v>325</v>
      </c>
      <c r="G544" s="28">
        <f t="shared" si="96"/>
        <v>0</v>
      </c>
      <c r="H544" s="204"/>
    </row>
    <row r="545" spans="1:9" ht="15.75" hidden="1">
      <c r="A545" s="26" t="s">
        <v>326</v>
      </c>
      <c r="B545" s="17">
        <v>906</v>
      </c>
      <c r="C545" s="21" t="s">
        <v>316</v>
      </c>
      <c r="D545" s="21" t="s">
        <v>170</v>
      </c>
      <c r="E545" s="21" t="s">
        <v>477</v>
      </c>
      <c r="F545" s="21" t="s">
        <v>327</v>
      </c>
      <c r="G545" s="28">
        <f>276.5-276.5</f>
        <v>0</v>
      </c>
      <c r="H545" s="204"/>
      <c r="I545" s="138"/>
    </row>
    <row r="546" spans="1:8" ht="15.75">
      <c r="A546" s="24" t="s">
        <v>478</v>
      </c>
      <c r="B546" s="20">
        <v>906</v>
      </c>
      <c r="C546" s="25" t="s">
        <v>316</v>
      </c>
      <c r="D546" s="25" t="s">
        <v>265</v>
      </c>
      <c r="E546" s="25"/>
      <c r="F546" s="25"/>
      <c r="G546" s="22">
        <f>G547+G580</f>
        <v>130684.4</v>
      </c>
      <c r="H546" s="204"/>
    </row>
    <row r="547" spans="1:8" ht="47.25">
      <c r="A547" s="26" t="s">
        <v>479</v>
      </c>
      <c r="B547" s="17">
        <v>906</v>
      </c>
      <c r="C547" s="21" t="s">
        <v>316</v>
      </c>
      <c r="D547" s="21" t="s">
        <v>265</v>
      </c>
      <c r="E547" s="21" t="s">
        <v>459</v>
      </c>
      <c r="F547" s="21"/>
      <c r="G547" s="27">
        <f>G548+G552</f>
        <v>40826.6</v>
      </c>
      <c r="H547" s="204"/>
    </row>
    <row r="548" spans="1:8" ht="47.25">
      <c r="A548" s="26" t="s">
        <v>460</v>
      </c>
      <c r="B548" s="17">
        <v>906</v>
      </c>
      <c r="C548" s="21" t="s">
        <v>316</v>
      </c>
      <c r="D548" s="21" t="s">
        <v>265</v>
      </c>
      <c r="E548" s="21" t="s">
        <v>461</v>
      </c>
      <c r="F548" s="21"/>
      <c r="G548" s="27">
        <f>G549</f>
        <v>34151.2</v>
      </c>
      <c r="H548" s="204"/>
    </row>
    <row r="549" spans="1:8" ht="47.25">
      <c r="A549" s="26" t="s">
        <v>480</v>
      </c>
      <c r="B549" s="17">
        <v>906</v>
      </c>
      <c r="C549" s="21" t="s">
        <v>316</v>
      </c>
      <c r="D549" s="21" t="s">
        <v>265</v>
      </c>
      <c r="E549" s="21" t="s">
        <v>481</v>
      </c>
      <c r="F549" s="21"/>
      <c r="G549" s="27">
        <f aca="true" t="shared" si="97" ref="G549">G550</f>
        <v>34151.2</v>
      </c>
      <c r="H549" s="204"/>
    </row>
    <row r="550" spans="1:8" ht="47.25">
      <c r="A550" s="26" t="s">
        <v>324</v>
      </c>
      <c r="B550" s="17">
        <v>906</v>
      </c>
      <c r="C550" s="21" t="s">
        <v>316</v>
      </c>
      <c r="D550" s="21" t="s">
        <v>265</v>
      </c>
      <c r="E550" s="21" t="s">
        <v>481</v>
      </c>
      <c r="F550" s="21" t="s">
        <v>325</v>
      </c>
      <c r="G550" s="27">
        <f>G551</f>
        <v>34151.2</v>
      </c>
      <c r="H550" s="204"/>
    </row>
    <row r="551" spans="1:9" ht="15.75">
      <c r="A551" s="26" t="s">
        <v>326</v>
      </c>
      <c r="B551" s="17">
        <v>906</v>
      </c>
      <c r="C551" s="21" t="s">
        <v>316</v>
      </c>
      <c r="D551" s="21" t="s">
        <v>265</v>
      </c>
      <c r="E551" s="21" t="s">
        <v>481</v>
      </c>
      <c r="F551" s="21" t="s">
        <v>327</v>
      </c>
      <c r="G551" s="28">
        <f>21817.5+13206.2-481.7+562.6-953.4</f>
        <v>34151.2</v>
      </c>
      <c r="H551" s="206"/>
      <c r="I551" s="148"/>
    </row>
    <row r="552" spans="1:8" ht="31.5">
      <c r="A552" s="26" t="s">
        <v>483</v>
      </c>
      <c r="B552" s="17">
        <v>906</v>
      </c>
      <c r="C552" s="21" t="s">
        <v>316</v>
      </c>
      <c r="D552" s="21" t="s">
        <v>265</v>
      </c>
      <c r="E552" s="21" t="s">
        <v>484</v>
      </c>
      <c r="F552" s="21"/>
      <c r="G552" s="27">
        <f>G558+G574+G571+G577+G568+G553+G559+G562+G565</f>
        <v>6675.4</v>
      </c>
      <c r="H552" s="204"/>
    </row>
    <row r="553" spans="1:8" ht="63" hidden="1">
      <c r="A553" s="26" t="s">
        <v>485</v>
      </c>
      <c r="B553" s="17">
        <v>906</v>
      </c>
      <c r="C553" s="21" t="s">
        <v>316</v>
      </c>
      <c r="D553" s="21" t="s">
        <v>265</v>
      </c>
      <c r="E553" s="21" t="s">
        <v>486</v>
      </c>
      <c r="F553" s="21"/>
      <c r="G553" s="27">
        <f aca="true" t="shared" si="98" ref="G553:G554">G554</f>
        <v>0</v>
      </c>
      <c r="H553" s="204"/>
    </row>
    <row r="554" spans="1:8" ht="47.25" hidden="1">
      <c r="A554" s="26" t="s">
        <v>324</v>
      </c>
      <c r="B554" s="17">
        <v>906</v>
      </c>
      <c r="C554" s="21" t="s">
        <v>316</v>
      </c>
      <c r="D554" s="21" t="s">
        <v>265</v>
      </c>
      <c r="E554" s="21" t="s">
        <v>486</v>
      </c>
      <c r="F554" s="21" t="s">
        <v>325</v>
      </c>
      <c r="G554" s="27">
        <f t="shared" si="98"/>
        <v>0</v>
      </c>
      <c r="H554" s="204"/>
    </row>
    <row r="555" spans="1:8" ht="15.75" hidden="1">
      <c r="A555" s="26" t="s">
        <v>326</v>
      </c>
      <c r="B555" s="17">
        <v>906</v>
      </c>
      <c r="C555" s="21" t="s">
        <v>316</v>
      </c>
      <c r="D555" s="21" t="s">
        <v>265</v>
      </c>
      <c r="E555" s="21" t="s">
        <v>486</v>
      </c>
      <c r="F555" s="21" t="s">
        <v>327</v>
      </c>
      <c r="G555" s="27">
        <v>0</v>
      </c>
      <c r="H555" s="204"/>
    </row>
    <row r="556" spans="1:8" ht="48.75" customHeight="1" hidden="1">
      <c r="A556" s="26" t="s">
        <v>487</v>
      </c>
      <c r="B556" s="17">
        <v>906</v>
      </c>
      <c r="C556" s="21" t="s">
        <v>316</v>
      </c>
      <c r="D556" s="21" t="s">
        <v>265</v>
      </c>
      <c r="E556" s="21" t="s">
        <v>488</v>
      </c>
      <c r="F556" s="21"/>
      <c r="G556" s="27">
        <f aca="true" t="shared" si="99" ref="G556:G557">G557</f>
        <v>0</v>
      </c>
      <c r="H556" s="204"/>
    </row>
    <row r="557" spans="1:8" ht="47.25" hidden="1">
      <c r="A557" s="26" t="s">
        <v>324</v>
      </c>
      <c r="B557" s="17">
        <v>906</v>
      </c>
      <c r="C557" s="21" t="s">
        <v>316</v>
      </c>
      <c r="D557" s="21" t="s">
        <v>265</v>
      </c>
      <c r="E557" s="21" t="s">
        <v>488</v>
      </c>
      <c r="F557" s="21" t="s">
        <v>325</v>
      </c>
      <c r="G557" s="27">
        <f t="shared" si="99"/>
        <v>0</v>
      </c>
      <c r="H557" s="204"/>
    </row>
    <row r="558" spans="1:8" ht="15.75" hidden="1">
      <c r="A558" s="26" t="s">
        <v>326</v>
      </c>
      <c r="B558" s="17">
        <v>906</v>
      </c>
      <c r="C558" s="21" t="s">
        <v>316</v>
      </c>
      <c r="D558" s="21" t="s">
        <v>265</v>
      </c>
      <c r="E558" s="21" t="s">
        <v>488</v>
      </c>
      <c r="F558" s="21" t="s">
        <v>327</v>
      </c>
      <c r="G558" s="27">
        <v>0</v>
      </c>
      <c r="H558" s="204"/>
    </row>
    <row r="559" spans="1:8" ht="63">
      <c r="A559" s="26" t="s">
        <v>489</v>
      </c>
      <c r="B559" s="17">
        <v>906</v>
      </c>
      <c r="C559" s="21" t="s">
        <v>316</v>
      </c>
      <c r="D559" s="21" t="s">
        <v>265</v>
      </c>
      <c r="E559" s="21" t="s">
        <v>490</v>
      </c>
      <c r="F559" s="21"/>
      <c r="G559" s="27">
        <f>G560</f>
        <v>2690</v>
      </c>
      <c r="H559" s="204"/>
    </row>
    <row r="560" spans="1:8" ht="47.25">
      <c r="A560" s="26" t="s">
        <v>324</v>
      </c>
      <c r="B560" s="17">
        <v>906</v>
      </c>
      <c r="C560" s="21" t="s">
        <v>316</v>
      </c>
      <c r="D560" s="21" t="s">
        <v>265</v>
      </c>
      <c r="E560" s="21" t="s">
        <v>490</v>
      </c>
      <c r="F560" s="21" t="s">
        <v>325</v>
      </c>
      <c r="G560" s="27">
        <f aca="true" t="shared" si="100" ref="G560">G561</f>
        <v>2690</v>
      </c>
      <c r="H560" s="204"/>
    </row>
    <row r="561" spans="1:8" ht="15.75">
      <c r="A561" s="26" t="s">
        <v>326</v>
      </c>
      <c r="B561" s="17">
        <v>906</v>
      </c>
      <c r="C561" s="21" t="s">
        <v>316</v>
      </c>
      <c r="D561" s="21" t="s">
        <v>265</v>
      </c>
      <c r="E561" s="21" t="s">
        <v>490</v>
      </c>
      <c r="F561" s="21" t="s">
        <v>327</v>
      </c>
      <c r="G561" s="28">
        <f>3010-320</f>
        <v>2690</v>
      </c>
      <c r="H561" s="204"/>
    </row>
    <row r="562" spans="1:8" ht="63">
      <c r="A562" s="26" t="s">
        <v>491</v>
      </c>
      <c r="B562" s="17">
        <v>906</v>
      </c>
      <c r="C562" s="21" t="s">
        <v>316</v>
      </c>
      <c r="D562" s="21" t="s">
        <v>265</v>
      </c>
      <c r="E562" s="21" t="s">
        <v>492</v>
      </c>
      <c r="F562" s="21"/>
      <c r="G562" s="27">
        <f aca="true" t="shared" si="101" ref="G562">G563</f>
        <v>320</v>
      </c>
      <c r="H562" s="204"/>
    </row>
    <row r="563" spans="1:8" ht="47.25">
      <c r="A563" s="26" t="s">
        <v>324</v>
      </c>
      <c r="B563" s="17">
        <v>906</v>
      </c>
      <c r="C563" s="21" t="s">
        <v>316</v>
      </c>
      <c r="D563" s="21" t="s">
        <v>265</v>
      </c>
      <c r="E563" s="21" t="s">
        <v>492</v>
      </c>
      <c r="F563" s="21" t="s">
        <v>325</v>
      </c>
      <c r="G563" s="27">
        <f>G564</f>
        <v>320</v>
      </c>
      <c r="H563" s="204"/>
    </row>
    <row r="564" spans="1:8" ht="15.75">
      <c r="A564" s="26" t="s">
        <v>326</v>
      </c>
      <c r="B564" s="17">
        <v>906</v>
      </c>
      <c r="C564" s="21" t="s">
        <v>316</v>
      </c>
      <c r="D564" s="21" t="s">
        <v>265</v>
      </c>
      <c r="E564" s="21" t="s">
        <v>492</v>
      </c>
      <c r="F564" s="21" t="s">
        <v>327</v>
      </c>
      <c r="G564" s="27">
        <v>320</v>
      </c>
      <c r="H564" s="204"/>
    </row>
    <row r="565" spans="1:8" ht="47.25" hidden="1">
      <c r="A565" s="26" t="s">
        <v>493</v>
      </c>
      <c r="B565" s="17">
        <v>906</v>
      </c>
      <c r="C565" s="21" t="s">
        <v>316</v>
      </c>
      <c r="D565" s="21" t="s">
        <v>265</v>
      </c>
      <c r="E565" s="21" t="s">
        <v>494</v>
      </c>
      <c r="F565" s="21"/>
      <c r="G565" s="27">
        <f aca="true" t="shared" si="102" ref="G565:G566">G566</f>
        <v>0</v>
      </c>
      <c r="H565" s="204"/>
    </row>
    <row r="566" spans="1:8" ht="47.25" hidden="1">
      <c r="A566" s="26" t="s">
        <v>324</v>
      </c>
      <c r="B566" s="17">
        <v>906</v>
      </c>
      <c r="C566" s="21" t="s">
        <v>316</v>
      </c>
      <c r="D566" s="21" t="s">
        <v>265</v>
      </c>
      <c r="E566" s="21" t="s">
        <v>494</v>
      </c>
      <c r="F566" s="21" t="s">
        <v>325</v>
      </c>
      <c r="G566" s="27">
        <f t="shared" si="102"/>
        <v>0</v>
      </c>
      <c r="H566" s="204"/>
    </row>
    <row r="567" spans="1:8" ht="15.75" hidden="1">
      <c r="A567" s="26" t="s">
        <v>326</v>
      </c>
      <c r="B567" s="17">
        <v>906</v>
      </c>
      <c r="C567" s="21" t="s">
        <v>316</v>
      </c>
      <c r="D567" s="21" t="s">
        <v>265</v>
      </c>
      <c r="E567" s="21" t="s">
        <v>494</v>
      </c>
      <c r="F567" s="21" t="s">
        <v>327</v>
      </c>
      <c r="G567" s="27">
        <v>0</v>
      </c>
      <c r="H567" s="204"/>
    </row>
    <row r="568" spans="1:8" ht="47.25">
      <c r="A568" s="26" t="s">
        <v>330</v>
      </c>
      <c r="B568" s="17">
        <v>906</v>
      </c>
      <c r="C568" s="21" t="s">
        <v>316</v>
      </c>
      <c r="D568" s="21" t="s">
        <v>265</v>
      </c>
      <c r="E568" s="21" t="s">
        <v>495</v>
      </c>
      <c r="F568" s="21"/>
      <c r="G568" s="27">
        <f aca="true" t="shared" si="103" ref="G568:G569">G569</f>
        <v>3309</v>
      </c>
      <c r="H568" s="204"/>
    </row>
    <row r="569" spans="1:8" ht="47.25">
      <c r="A569" s="26" t="s">
        <v>324</v>
      </c>
      <c r="B569" s="17">
        <v>906</v>
      </c>
      <c r="C569" s="21" t="s">
        <v>316</v>
      </c>
      <c r="D569" s="21" t="s">
        <v>265</v>
      </c>
      <c r="E569" s="21" t="s">
        <v>495</v>
      </c>
      <c r="F569" s="21" t="s">
        <v>325</v>
      </c>
      <c r="G569" s="27">
        <f t="shared" si="103"/>
        <v>3309</v>
      </c>
      <c r="H569" s="204"/>
    </row>
    <row r="570" spans="1:8" ht="15.75">
      <c r="A570" s="26" t="s">
        <v>326</v>
      </c>
      <c r="B570" s="17">
        <v>906</v>
      </c>
      <c r="C570" s="21" t="s">
        <v>316</v>
      </c>
      <c r="D570" s="21" t="s">
        <v>265</v>
      </c>
      <c r="E570" s="21" t="s">
        <v>495</v>
      </c>
      <c r="F570" s="21" t="s">
        <v>327</v>
      </c>
      <c r="G570" s="27">
        <f>341+2968</f>
        <v>3309</v>
      </c>
      <c r="H570" s="143"/>
    </row>
    <row r="571" spans="1:8" ht="31.5" hidden="1">
      <c r="A571" s="26" t="s">
        <v>332</v>
      </c>
      <c r="B571" s="17">
        <v>906</v>
      </c>
      <c r="C571" s="21" t="s">
        <v>316</v>
      </c>
      <c r="D571" s="21" t="s">
        <v>265</v>
      </c>
      <c r="E571" s="21" t="s">
        <v>496</v>
      </c>
      <c r="F571" s="21"/>
      <c r="G571" s="27">
        <f aca="true" t="shared" si="104" ref="G571:G572">G572</f>
        <v>0</v>
      </c>
      <c r="H571" s="204"/>
    </row>
    <row r="572" spans="1:8" ht="47.25" hidden="1">
      <c r="A572" s="26" t="s">
        <v>324</v>
      </c>
      <c r="B572" s="17">
        <v>906</v>
      </c>
      <c r="C572" s="21" t="s">
        <v>316</v>
      </c>
      <c r="D572" s="21" t="s">
        <v>265</v>
      </c>
      <c r="E572" s="21" t="s">
        <v>496</v>
      </c>
      <c r="F572" s="21" t="s">
        <v>325</v>
      </c>
      <c r="G572" s="27">
        <f t="shared" si="104"/>
        <v>0</v>
      </c>
      <c r="H572" s="204"/>
    </row>
    <row r="573" spans="1:8" ht="15.75" hidden="1">
      <c r="A573" s="26" t="s">
        <v>326</v>
      </c>
      <c r="B573" s="17">
        <v>906</v>
      </c>
      <c r="C573" s="21" t="s">
        <v>316</v>
      </c>
      <c r="D573" s="21" t="s">
        <v>265</v>
      </c>
      <c r="E573" s="21" t="s">
        <v>496</v>
      </c>
      <c r="F573" s="21" t="s">
        <v>327</v>
      </c>
      <c r="G573" s="27">
        <v>0</v>
      </c>
      <c r="H573" s="204"/>
    </row>
    <row r="574" spans="1:8" ht="47.25">
      <c r="A574" s="26" t="s">
        <v>334</v>
      </c>
      <c r="B574" s="17">
        <v>906</v>
      </c>
      <c r="C574" s="21" t="s">
        <v>316</v>
      </c>
      <c r="D574" s="21" t="s">
        <v>265</v>
      </c>
      <c r="E574" s="21" t="s">
        <v>497</v>
      </c>
      <c r="F574" s="21"/>
      <c r="G574" s="27">
        <f>G575</f>
        <v>127</v>
      </c>
      <c r="H574" s="204"/>
    </row>
    <row r="575" spans="1:8" ht="47.25">
      <c r="A575" s="26" t="s">
        <v>324</v>
      </c>
      <c r="B575" s="17">
        <v>906</v>
      </c>
      <c r="C575" s="21" t="s">
        <v>316</v>
      </c>
      <c r="D575" s="21" t="s">
        <v>265</v>
      </c>
      <c r="E575" s="21" t="s">
        <v>497</v>
      </c>
      <c r="F575" s="21" t="s">
        <v>325</v>
      </c>
      <c r="G575" s="27">
        <f aca="true" t="shared" si="105" ref="G575">G576</f>
        <v>127</v>
      </c>
      <c r="H575" s="204"/>
    </row>
    <row r="576" spans="1:8" ht="15.75">
      <c r="A576" s="26" t="s">
        <v>326</v>
      </c>
      <c r="B576" s="17">
        <v>906</v>
      </c>
      <c r="C576" s="21" t="s">
        <v>316</v>
      </c>
      <c r="D576" s="21" t="s">
        <v>265</v>
      </c>
      <c r="E576" s="21" t="s">
        <v>497</v>
      </c>
      <c r="F576" s="21" t="s">
        <v>327</v>
      </c>
      <c r="G576" s="27">
        <v>127</v>
      </c>
      <c r="H576" s="204"/>
    </row>
    <row r="577" spans="1:8" ht="31.5">
      <c r="A577" s="26" t="s">
        <v>336</v>
      </c>
      <c r="B577" s="17">
        <v>906</v>
      </c>
      <c r="C577" s="21" t="s">
        <v>316</v>
      </c>
      <c r="D577" s="21" t="s">
        <v>265</v>
      </c>
      <c r="E577" s="21" t="s">
        <v>498</v>
      </c>
      <c r="F577" s="21"/>
      <c r="G577" s="27">
        <f aca="true" t="shared" si="106" ref="G577:G578">G578</f>
        <v>229.4</v>
      </c>
      <c r="H577" s="204"/>
    </row>
    <row r="578" spans="1:8" ht="47.25">
      <c r="A578" s="26" t="s">
        <v>324</v>
      </c>
      <c r="B578" s="17">
        <v>906</v>
      </c>
      <c r="C578" s="21" t="s">
        <v>316</v>
      </c>
      <c r="D578" s="21" t="s">
        <v>265</v>
      </c>
      <c r="E578" s="21" t="s">
        <v>498</v>
      </c>
      <c r="F578" s="21" t="s">
        <v>325</v>
      </c>
      <c r="G578" s="27">
        <f t="shared" si="106"/>
        <v>229.4</v>
      </c>
      <c r="H578" s="204"/>
    </row>
    <row r="579" spans="1:9" ht="15.75">
      <c r="A579" s="26" t="s">
        <v>326</v>
      </c>
      <c r="B579" s="17">
        <v>906</v>
      </c>
      <c r="C579" s="21" t="s">
        <v>316</v>
      </c>
      <c r="D579" s="21" t="s">
        <v>265</v>
      </c>
      <c r="E579" s="21" t="s">
        <v>498</v>
      </c>
      <c r="F579" s="21" t="s">
        <v>327</v>
      </c>
      <c r="G579" s="27">
        <v>229.4</v>
      </c>
      <c r="H579" s="129"/>
      <c r="I579" s="147"/>
    </row>
    <row r="580" spans="1:8" ht="15.75">
      <c r="A580" s="26" t="s">
        <v>173</v>
      </c>
      <c r="B580" s="17">
        <v>906</v>
      </c>
      <c r="C580" s="21" t="s">
        <v>316</v>
      </c>
      <c r="D580" s="21" t="s">
        <v>265</v>
      </c>
      <c r="E580" s="21" t="s">
        <v>174</v>
      </c>
      <c r="F580" s="21"/>
      <c r="G580" s="27">
        <f aca="true" t="shared" si="107" ref="G580">G581</f>
        <v>89857.8</v>
      </c>
      <c r="H580" s="204"/>
    </row>
    <row r="581" spans="1:8" ht="31.5">
      <c r="A581" s="26" t="s">
        <v>237</v>
      </c>
      <c r="B581" s="17">
        <v>906</v>
      </c>
      <c r="C581" s="21" t="s">
        <v>316</v>
      </c>
      <c r="D581" s="21" t="s">
        <v>265</v>
      </c>
      <c r="E581" s="21" t="s">
        <v>238</v>
      </c>
      <c r="F581" s="21"/>
      <c r="G581" s="27">
        <f>G588+G591+G597+G600+G603+G606+G582+G585+G609+G594</f>
        <v>89857.8</v>
      </c>
      <c r="H581" s="204"/>
    </row>
    <row r="582" spans="1:8" ht="47.25" hidden="1">
      <c r="A582" s="26" t="s">
        <v>503</v>
      </c>
      <c r="B582" s="17">
        <v>906</v>
      </c>
      <c r="C582" s="21" t="s">
        <v>316</v>
      </c>
      <c r="D582" s="21" t="s">
        <v>265</v>
      </c>
      <c r="E582" s="21" t="s">
        <v>504</v>
      </c>
      <c r="F582" s="21"/>
      <c r="G582" s="27">
        <f aca="true" t="shared" si="108" ref="G582:G583">G583</f>
        <v>0</v>
      </c>
      <c r="H582" s="204"/>
    </row>
    <row r="583" spans="1:8" ht="47.25" hidden="1">
      <c r="A583" s="26" t="s">
        <v>324</v>
      </c>
      <c r="B583" s="17">
        <v>906</v>
      </c>
      <c r="C583" s="21" t="s">
        <v>316</v>
      </c>
      <c r="D583" s="21" t="s">
        <v>265</v>
      </c>
      <c r="E583" s="21" t="s">
        <v>504</v>
      </c>
      <c r="F583" s="21" t="s">
        <v>325</v>
      </c>
      <c r="G583" s="27">
        <f t="shared" si="108"/>
        <v>0</v>
      </c>
      <c r="H583" s="204"/>
    </row>
    <row r="584" spans="1:8" ht="15.75" hidden="1">
      <c r="A584" s="26" t="s">
        <v>326</v>
      </c>
      <c r="B584" s="17">
        <v>906</v>
      </c>
      <c r="C584" s="21" t="s">
        <v>316</v>
      </c>
      <c r="D584" s="21" t="s">
        <v>265</v>
      </c>
      <c r="E584" s="21" t="s">
        <v>504</v>
      </c>
      <c r="F584" s="21" t="s">
        <v>327</v>
      </c>
      <c r="G584" s="27">
        <v>0</v>
      </c>
      <c r="H584" s="204"/>
    </row>
    <row r="585" spans="1:8" ht="15.75" hidden="1">
      <c r="A585" s="26" t="s">
        <v>505</v>
      </c>
      <c r="B585" s="17">
        <v>906</v>
      </c>
      <c r="C585" s="21" t="s">
        <v>316</v>
      </c>
      <c r="D585" s="21" t="s">
        <v>265</v>
      </c>
      <c r="E585" s="21" t="s">
        <v>506</v>
      </c>
      <c r="F585" s="21"/>
      <c r="G585" s="27">
        <f aca="true" t="shared" si="109" ref="G585:G586">G586</f>
        <v>0</v>
      </c>
      <c r="H585" s="204"/>
    </row>
    <row r="586" spans="1:8" ht="47.25" hidden="1">
      <c r="A586" s="26" t="s">
        <v>324</v>
      </c>
      <c r="B586" s="17">
        <v>906</v>
      </c>
      <c r="C586" s="21" t="s">
        <v>316</v>
      </c>
      <c r="D586" s="21" t="s">
        <v>265</v>
      </c>
      <c r="E586" s="21" t="s">
        <v>506</v>
      </c>
      <c r="F586" s="21" t="s">
        <v>325</v>
      </c>
      <c r="G586" s="27">
        <f t="shared" si="109"/>
        <v>0</v>
      </c>
      <c r="H586" s="204"/>
    </row>
    <row r="587" spans="1:8" ht="15.75" hidden="1">
      <c r="A587" s="26" t="s">
        <v>326</v>
      </c>
      <c r="B587" s="17">
        <v>906</v>
      </c>
      <c r="C587" s="21" t="s">
        <v>316</v>
      </c>
      <c r="D587" s="21" t="s">
        <v>265</v>
      </c>
      <c r="E587" s="21" t="s">
        <v>506</v>
      </c>
      <c r="F587" s="21" t="s">
        <v>327</v>
      </c>
      <c r="G587" s="28">
        <v>0</v>
      </c>
      <c r="H587" s="204"/>
    </row>
    <row r="588" spans="1:8" ht="31.5" hidden="1">
      <c r="A588" s="26" t="s">
        <v>507</v>
      </c>
      <c r="B588" s="17">
        <v>906</v>
      </c>
      <c r="C588" s="21" t="s">
        <v>316</v>
      </c>
      <c r="D588" s="21" t="s">
        <v>265</v>
      </c>
      <c r="E588" s="21" t="s">
        <v>508</v>
      </c>
      <c r="F588" s="21"/>
      <c r="G588" s="27">
        <f aca="true" t="shared" si="110" ref="G588:G589">G589</f>
        <v>0</v>
      </c>
      <c r="H588" s="204"/>
    </row>
    <row r="589" spans="1:8" ht="47.25" hidden="1">
      <c r="A589" s="26" t="s">
        <v>324</v>
      </c>
      <c r="B589" s="17">
        <v>906</v>
      </c>
      <c r="C589" s="21" t="s">
        <v>316</v>
      </c>
      <c r="D589" s="21" t="s">
        <v>265</v>
      </c>
      <c r="E589" s="21" t="s">
        <v>508</v>
      </c>
      <c r="F589" s="21" t="s">
        <v>325</v>
      </c>
      <c r="G589" s="27">
        <f t="shared" si="110"/>
        <v>0</v>
      </c>
      <c r="H589" s="204"/>
    </row>
    <row r="590" spans="1:9" ht="15.75" hidden="1">
      <c r="A590" s="26" t="s">
        <v>326</v>
      </c>
      <c r="B590" s="17">
        <v>906</v>
      </c>
      <c r="C590" s="21" t="s">
        <v>316</v>
      </c>
      <c r="D590" s="21" t="s">
        <v>265</v>
      </c>
      <c r="E590" s="21" t="s">
        <v>508</v>
      </c>
      <c r="F590" s="21" t="s">
        <v>327</v>
      </c>
      <c r="G590" s="27">
        <f>157.3-157.3</f>
        <v>0</v>
      </c>
      <c r="H590" s="204"/>
      <c r="I590" s="138"/>
    </row>
    <row r="591" spans="1:8" ht="31.5">
      <c r="A591" s="26" t="s">
        <v>509</v>
      </c>
      <c r="B591" s="17">
        <v>906</v>
      </c>
      <c r="C591" s="21" t="s">
        <v>316</v>
      </c>
      <c r="D591" s="21" t="s">
        <v>265</v>
      </c>
      <c r="E591" s="21" t="s">
        <v>510</v>
      </c>
      <c r="F591" s="21"/>
      <c r="G591" s="27">
        <f aca="true" t="shared" si="111" ref="G591">G592</f>
        <v>1293.6</v>
      </c>
      <c r="H591" s="204"/>
    </row>
    <row r="592" spans="1:12" ht="47.25">
      <c r="A592" s="26" t="s">
        <v>324</v>
      </c>
      <c r="B592" s="17">
        <v>906</v>
      </c>
      <c r="C592" s="21" t="s">
        <v>316</v>
      </c>
      <c r="D592" s="21" t="s">
        <v>265</v>
      </c>
      <c r="E592" s="21" t="s">
        <v>510</v>
      </c>
      <c r="F592" s="21" t="s">
        <v>325</v>
      </c>
      <c r="G592" s="27">
        <f>G593</f>
        <v>1293.6</v>
      </c>
      <c r="H592" s="204"/>
      <c r="L592" s="139"/>
    </row>
    <row r="593" spans="1:9" ht="15.75">
      <c r="A593" s="26" t="s">
        <v>326</v>
      </c>
      <c r="B593" s="17">
        <v>906</v>
      </c>
      <c r="C593" s="21" t="s">
        <v>316</v>
      </c>
      <c r="D593" s="21" t="s">
        <v>265</v>
      </c>
      <c r="E593" s="21" t="s">
        <v>510</v>
      </c>
      <c r="F593" s="21" t="s">
        <v>327</v>
      </c>
      <c r="G593" s="28">
        <f>1572.5-278.9</f>
        <v>1293.6</v>
      </c>
      <c r="H593" s="204"/>
      <c r="I593" s="138"/>
    </row>
    <row r="594" spans="1:8" ht="47.25">
      <c r="A594" s="26" t="s">
        <v>511</v>
      </c>
      <c r="B594" s="17">
        <v>906</v>
      </c>
      <c r="C594" s="21" t="s">
        <v>316</v>
      </c>
      <c r="D594" s="21" t="s">
        <v>265</v>
      </c>
      <c r="E594" s="21" t="s">
        <v>512</v>
      </c>
      <c r="F594" s="21"/>
      <c r="G594" s="28">
        <f>G595</f>
        <v>488.7</v>
      </c>
      <c r="H594" s="204"/>
    </row>
    <row r="595" spans="1:8" ht="47.25">
      <c r="A595" s="26" t="s">
        <v>324</v>
      </c>
      <c r="B595" s="17">
        <v>906</v>
      </c>
      <c r="C595" s="21" t="s">
        <v>316</v>
      </c>
      <c r="D595" s="21" t="s">
        <v>265</v>
      </c>
      <c r="E595" s="21" t="s">
        <v>512</v>
      </c>
      <c r="F595" s="21" t="s">
        <v>325</v>
      </c>
      <c r="G595" s="28">
        <f aca="true" t="shared" si="112" ref="G595">G596</f>
        <v>488.7</v>
      </c>
      <c r="H595" s="204"/>
    </row>
    <row r="596" spans="1:9" ht="15.75">
      <c r="A596" s="26" t="s">
        <v>326</v>
      </c>
      <c r="B596" s="17">
        <v>906</v>
      </c>
      <c r="C596" s="21" t="s">
        <v>316</v>
      </c>
      <c r="D596" s="21" t="s">
        <v>265</v>
      </c>
      <c r="E596" s="21" t="s">
        <v>512</v>
      </c>
      <c r="F596" s="21" t="s">
        <v>327</v>
      </c>
      <c r="G596" s="28">
        <f>733.5-244.8</f>
        <v>488.7</v>
      </c>
      <c r="H596" s="204"/>
      <c r="I596" s="138"/>
    </row>
    <row r="597" spans="1:8" ht="94.5">
      <c r="A597" s="33" t="s">
        <v>513</v>
      </c>
      <c r="B597" s="17">
        <v>906</v>
      </c>
      <c r="C597" s="21" t="s">
        <v>316</v>
      </c>
      <c r="D597" s="21" t="s">
        <v>265</v>
      </c>
      <c r="E597" s="21" t="s">
        <v>514</v>
      </c>
      <c r="F597" s="21"/>
      <c r="G597" s="27">
        <f aca="true" t="shared" si="113" ref="G597">G598</f>
        <v>79753.6</v>
      </c>
      <c r="H597" s="204"/>
    </row>
    <row r="598" spans="1:8" ht="47.25">
      <c r="A598" s="26" t="s">
        <v>324</v>
      </c>
      <c r="B598" s="17">
        <v>906</v>
      </c>
      <c r="C598" s="21" t="s">
        <v>316</v>
      </c>
      <c r="D598" s="21" t="s">
        <v>265</v>
      </c>
      <c r="E598" s="21" t="s">
        <v>514</v>
      </c>
      <c r="F598" s="21" t="s">
        <v>325</v>
      </c>
      <c r="G598" s="27">
        <f>G599</f>
        <v>79753.6</v>
      </c>
      <c r="H598" s="204"/>
    </row>
    <row r="599" spans="1:9" ht="15.75">
      <c r="A599" s="26" t="s">
        <v>326</v>
      </c>
      <c r="B599" s="17">
        <v>906</v>
      </c>
      <c r="C599" s="21" t="s">
        <v>316</v>
      </c>
      <c r="D599" s="21" t="s">
        <v>265</v>
      </c>
      <c r="E599" s="21" t="s">
        <v>514</v>
      </c>
      <c r="F599" s="21" t="s">
        <v>327</v>
      </c>
      <c r="G599" s="28">
        <f>93568.6-13815</f>
        <v>79753.6</v>
      </c>
      <c r="H599" s="204"/>
      <c r="I599" s="138"/>
    </row>
    <row r="600" spans="1:8" ht="63">
      <c r="A600" s="33" t="s">
        <v>341</v>
      </c>
      <c r="B600" s="17">
        <v>906</v>
      </c>
      <c r="C600" s="21" t="s">
        <v>316</v>
      </c>
      <c r="D600" s="21" t="s">
        <v>265</v>
      </c>
      <c r="E600" s="21" t="s">
        <v>342</v>
      </c>
      <c r="F600" s="21"/>
      <c r="G600" s="27">
        <f>G601</f>
        <v>910.9000000000001</v>
      </c>
      <c r="H600" s="204"/>
    </row>
    <row r="601" spans="1:8" ht="47.25">
      <c r="A601" s="26" t="s">
        <v>324</v>
      </c>
      <c r="B601" s="17">
        <v>906</v>
      </c>
      <c r="C601" s="21" t="s">
        <v>316</v>
      </c>
      <c r="D601" s="21" t="s">
        <v>265</v>
      </c>
      <c r="E601" s="21" t="s">
        <v>342</v>
      </c>
      <c r="F601" s="21" t="s">
        <v>325</v>
      </c>
      <c r="G601" s="27">
        <f aca="true" t="shared" si="114" ref="G601">G602</f>
        <v>910.9000000000001</v>
      </c>
      <c r="H601" s="204"/>
    </row>
    <row r="602" spans="1:9" ht="15.75">
      <c r="A602" s="26" t="s">
        <v>326</v>
      </c>
      <c r="B602" s="17">
        <v>906</v>
      </c>
      <c r="C602" s="21" t="s">
        <v>316</v>
      </c>
      <c r="D602" s="21" t="s">
        <v>265</v>
      </c>
      <c r="E602" s="21" t="s">
        <v>342</v>
      </c>
      <c r="F602" s="21" t="s">
        <v>327</v>
      </c>
      <c r="G602" s="28">
        <f>1101.7-190.8</f>
        <v>910.9000000000001</v>
      </c>
      <c r="H602" s="204"/>
      <c r="I602" s="138"/>
    </row>
    <row r="603" spans="1:8" ht="78.75">
      <c r="A603" s="33" t="s">
        <v>343</v>
      </c>
      <c r="B603" s="17">
        <v>906</v>
      </c>
      <c r="C603" s="21" t="s">
        <v>316</v>
      </c>
      <c r="D603" s="21" t="s">
        <v>265</v>
      </c>
      <c r="E603" s="21" t="s">
        <v>344</v>
      </c>
      <c r="F603" s="21"/>
      <c r="G603" s="27">
        <f>G604</f>
        <v>2155.5</v>
      </c>
      <c r="H603" s="204"/>
    </row>
    <row r="604" spans="1:8" ht="47.25">
      <c r="A604" s="26" t="s">
        <v>324</v>
      </c>
      <c r="B604" s="17">
        <v>906</v>
      </c>
      <c r="C604" s="21" t="s">
        <v>316</v>
      </c>
      <c r="D604" s="21" t="s">
        <v>265</v>
      </c>
      <c r="E604" s="21" t="s">
        <v>344</v>
      </c>
      <c r="F604" s="21" t="s">
        <v>325</v>
      </c>
      <c r="G604" s="27">
        <f aca="true" t="shared" si="115" ref="G604">G605</f>
        <v>2155.5</v>
      </c>
      <c r="H604" s="204"/>
    </row>
    <row r="605" spans="1:9" ht="15.75">
      <c r="A605" s="26" t="s">
        <v>326</v>
      </c>
      <c r="B605" s="17">
        <v>906</v>
      </c>
      <c r="C605" s="21" t="s">
        <v>316</v>
      </c>
      <c r="D605" s="21" t="s">
        <v>265</v>
      </c>
      <c r="E605" s="21" t="s">
        <v>344</v>
      </c>
      <c r="F605" s="21" t="s">
        <v>327</v>
      </c>
      <c r="G605" s="28">
        <f>2823.2-667.7</f>
        <v>2155.5</v>
      </c>
      <c r="H605" s="204"/>
      <c r="I605" s="138"/>
    </row>
    <row r="606" spans="1:8" ht="47.25">
      <c r="A606" s="33" t="s">
        <v>515</v>
      </c>
      <c r="B606" s="17">
        <v>906</v>
      </c>
      <c r="C606" s="21" t="s">
        <v>316</v>
      </c>
      <c r="D606" s="21" t="s">
        <v>265</v>
      </c>
      <c r="E606" s="21" t="s">
        <v>516</v>
      </c>
      <c r="F606" s="21"/>
      <c r="G606" s="27">
        <f aca="true" t="shared" si="116" ref="G606">G607</f>
        <v>886.5</v>
      </c>
      <c r="H606" s="204"/>
    </row>
    <row r="607" spans="1:8" ht="47.25">
      <c r="A607" s="26" t="s">
        <v>324</v>
      </c>
      <c r="B607" s="17">
        <v>906</v>
      </c>
      <c r="C607" s="21" t="s">
        <v>316</v>
      </c>
      <c r="D607" s="21" t="s">
        <v>265</v>
      </c>
      <c r="E607" s="21" t="s">
        <v>516</v>
      </c>
      <c r="F607" s="21" t="s">
        <v>325</v>
      </c>
      <c r="G607" s="27">
        <f>G608</f>
        <v>886.5</v>
      </c>
      <c r="H607" s="204"/>
    </row>
    <row r="608" spans="1:9" ht="15.75">
      <c r="A608" s="26" t="s">
        <v>326</v>
      </c>
      <c r="B608" s="17">
        <v>906</v>
      </c>
      <c r="C608" s="21" t="s">
        <v>316</v>
      </c>
      <c r="D608" s="21" t="s">
        <v>265</v>
      </c>
      <c r="E608" s="21" t="s">
        <v>516</v>
      </c>
      <c r="F608" s="21" t="s">
        <v>327</v>
      </c>
      <c r="G608" s="28">
        <f>998.4-111.9</f>
        <v>886.5</v>
      </c>
      <c r="H608" s="204"/>
      <c r="I608" s="138"/>
    </row>
    <row r="609" spans="1:8" ht="110.25">
      <c r="A609" s="33" t="s">
        <v>517</v>
      </c>
      <c r="B609" s="17">
        <v>906</v>
      </c>
      <c r="C609" s="21" t="s">
        <v>316</v>
      </c>
      <c r="D609" s="21" t="s">
        <v>265</v>
      </c>
      <c r="E609" s="21" t="s">
        <v>346</v>
      </c>
      <c r="F609" s="21"/>
      <c r="G609" s="27">
        <f>G610</f>
        <v>4369</v>
      </c>
      <c r="H609" s="204"/>
    </row>
    <row r="610" spans="1:8" ht="47.25">
      <c r="A610" s="26" t="s">
        <v>324</v>
      </c>
      <c r="B610" s="17">
        <v>906</v>
      </c>
      <c r="C610" s="21" t="s">
        <v>316</v>
      </c>
      <c r="D610" s="21" t="s">
        <v>265</v>
      </c>
      <c r="E610" s="21" t="s">
        <v>346</v>
      </c>
      <c r="F610" s="21" t="s">
        <v>325</v>
      </c>
      <c r="G610" s="27">
        <f aca="true" t="shared" si="117" ref="G610">G611</f>
        <v>4369</v>
      </c>
      <c r="H610" s="204"/>
    </row>
    <row r="611" spans="1:9" ht="15.75">
      <c r="A611" s="26" t="s">
        <v>326</v>
      </c>
      <c r="B611" s="17">
        <v>906</v>
      </c>
      <c r="C611" s="21" t="s">
        <v>316</v>
      </c>
      <c r="D611" s="21" t="s">
        <v>265</v>
      </c>
      <c r="E611" s="21" t="s">
        <v>346</v>
      </c>
      <c r="F611" s="21" t="s">
        <v>327</v>
      </c>
      <c r="G611" s="28">
        <f>5441.9-1072.9</f>
        <v>4369</v>
      </c>
      <c r="H611" s="204"/>
      <c r="I611" s="138"/>
    </row>
    <row r="612" spans="1:9" ht="15.75">
      <c r="A612" s="24" t="s">
        <v>317</v>
      </c>
      <c r="B612" s="20">
        <v>906</v>
      </c>
      <c r="C612" s="25" t="s">
        <v>316</v>
      </c>
      <c r="D612" s="25" t="s">
        <v>267</v>
      </c>
      <c r="E612" s="25"/>
      <c r="F612" s="25"/>
      <c r="G612" s="46">
        <f>G613+G622</f>
        <v>23062.100000000002</v>
      </c>
      <c r="H612" s="204"/>
      <c r="I612" s="138"/>
    </row>
    <row r="613" spans="1:9" ht="47.25">
      <c r="A613" s="26" t="s">
        <v>479</v>
      </c>
      <c r="B613" s="17">
        <v>906</v>
      </c>
      <c r="C613" s="21" t="s">
        <v>316</v>
      </c>
      <c r="D613" s="21" t="s">
        <v>267</v>
      </c>
      <c r="E613" s="21" t="s">
        <v>459</v>
      </c>
      <c r="F613" s="21"/>
      <c r="G613" s="28">
        <f>G614+G620</f>
        <v>21479.9</v>
      </c>
      <c r="H613" s="204"/>
      <c r="I613" s="138"/>
    </row>
    <row r="614" spans="1:9" ht="47.25">
      <c r="A614" s="26" t="s">
        <v>460</v>
      </c>
      <c r="B614" s="17">
        <v>906</v>
      </c>
      <c r="C614" s="21" t="s">
        <v>316</v>
      </c>
      <c r="D614" s="21" t="s">
        <v>267</v>
      </c>
      <c r="E614" s="21" t="s">
        <v>461</v>
      </c>
      <c r="F614" s="21"/>
      <c r="G614" s="28">
        <f>G615</f>
        <v>21124</v>
      </c>
      <c r="H614" s="204"/>
      <c r="I614" s="138"/>
    </row>
    <row r="615" spans="1:9" ht="47.25">
      <c r="A615" s="26" t="s">
        <v>322</v>
      </c>
      <c r="B615" s="17">
        <v>906</v>
      </c>
      <c r="C615" s="21" t="s">
        <v>316</v>
      </c>
      <c r="D615" s="21" t="s">
        <v>267</v>
      </c>
      <c r="E615" s="21" t="s">
        <v>482</v>
      </c>
      <c r="F615" s="21"/>
      <c r="G615" s="28">
        <f>G616</f>
        <v>21124</v>
      </c>
      <c r="H615" s="204"/>
      <c r="I615" s="138"/>
    </row>
    <row r="616" spans="1:9" ht="47.25">
      <c r="A616" s="26" t="s">
        <v>324</v>
      </c>
      <c r="B616" s="17">
        <v>906</v>
      </c>
      <c r="C616" s="21" t="s">
        <v>316</v>
      </c>
      <c r="D616" s="21" t="s">
        <v>267</v>
      </c>
      <c r="E616" s="21" t="s">
        <v>482</v>
      </c>
      <c r="F616" s="21" t="s">
        <v>325</v>
      </c>
      <c r="G616" s="28">
        <f>G617</f>
        <v>21124</v>
      </c>
      <c r="H616" s="204"/>
      <c r="I616" s="138"/>
    </row>
    <row r="617" spans="1:9" ht="15.75">
      <c r="A617" s="26" t="s">
        <v>326</v>
      </c>
      <c r="B617" s="17">
        <v>906</v>
      </c>
      <c r="C617" s="21" t="s">
        <v>316</v>
      </c>
      <c r="D617" s="21" t="s">
        <v>267</v>
      </c>
      <c r="E617" s="21" t="s">
        <v>482</v>
      </c>
      <c r="F617" s="21" t="s">
        <v>327</v>
      </c>
      <c r="G617" s="28">
        <f>21044+80</f>
        <v>21124</v>
      </c>
      <c r="H617" s="129"/>
      <c r="I617" s="148"/>
    </row>
    <row r="618" spans="1:9" ht="47.25">
      <c r="A618" s="33" t="s">
        <v>794</v>
      </c>
      <c r="B618" s="17">
        <v>906</v>
      </c>
      <c r="C618" s="21" t="s">
        <v>316</v>
      </c>
      <c r="D618" s="21" t="s">
        <v>267</v>
      </c>
      <c r="E618" s="21" t="s">
        <v>500</v>
      </c>
      <c r="F618" s="21"/>
      <c r="G618" s="28">
        <f>G619</f>
        <v>355.9</v>
      </c>
      <c r="H618" s="204"/>
      <c r="I618" s="138"/>
    </row>
    <row r="619" spans="1:9" ht="31.5">
      <c r="A619" s="47" t="s">
        <v>795</v>
      </c>
      <c r="B619" s="17">
        <v>906</v>
      </c>
      <c r="C619" s="21" t="s">
        <v>316</v>
      </c>
      <c r="D619" s="21" t="s">
        <v>267</v>
      </c>
      <c r="E619" s="21" t="s">
        <v>796</v>
      </c>
      <c r="F619" s="21"/>
      <c r="G619" s="28">
        <f>G620</f>
        <v>355.9</v>
      </c>
      <c r="H619" s="204"/>
      <c r="I619" s="138"/>
    </row>
    <row r="620" spans="1:9" ht="47.25">
      <c r="A620" s="33" t="s">
        <v>324</v>
      </c>
      <c r="B620" s="17">
        <v>906</v>
      </c>
      <c r="C620" s="21" t="s">
        <v>316</v>
      </c>
      <c r="D620" s="21" t="s">
        <v>267</v>
      </c>
      <c r="E620" s="21" t="s">
        <v>796</v>
      </c>
      <c r="F620" s="21" t="s">
        <v>325</v>
      </c>
      <c r="G620" s="28">
        <f>G621</f>
        <v>355.9</v>
      </c>
      <c r="H620" s="129"/>
      <c r="I620" s="138"/>
    </row>
    <row r="621" spans="1:9" ht="15.75">
      <c r="A621" s="33" t="s">
        <v>326</v>
      </c>
      <c r="B621" s="17">
        <v>906</v>
      </c>
      <c r="C621" s="21" t="s">
        <v>316</v>
      </c>
      <c r="D621" s="21" t="s">
        <v>267</v>
      </c>
      <c r="E621" s="21" t="s">
        <v>796</v>
      </c>
      <c r="F621" s="21" t="s">
        <v>327</v>
      </c>
      <c r="G621" s="28">
        <v>355.9</v>
      </c>
      <c r="H621" s="204"/>
      <c r="I621" s="138"/>
    </row>
    <row r="622" spans="1:9" ht="15.75">
      <c r="A622" s="26" t="s">
        <v>518</v>
      </c>
      <c r="B622" s="17">
        <v>906</v>
      </c>
      <c r="C622" s="21" t="s">
        <v>316</v>
      </c>
      <c r="D622" s="21" t="s">
        <v>267</v>
      </c>
      <c r="E622" s="21" t="s">
        <v>174</v>
      </c>
      <c r="F622" s="21"/>
      <c r="G622" s="28">
        <f>G623</f>
        <v>1582.2</v>
      </c>
      <c r="H622" s="204"/>
      <c r="I622" s="138"/>
    </row>
    <row r="623" spans="1:9" ht="31.5">
      <c r="A623" s="26" t="s">
        <v>237</v>
      </c>
      <c r="B623" s="17">
        <v>906</v>
      </c>
      <c r="C623" s="21" t="s">
        <v>316</v>
      </c>
      <c r="D623" s="21" t="s">
        <v>267</v>
      </c>
      <c r="E623" s="21" t="s">
        <v>238</v>
      </c>
      <c r="F623" s="21"/>
      <c r="G623" s="28">
        <f>G624+G627+G630</f>
        <v>1582.2</v>
      </c>
      <c r="H623" s="204"/>
      <c r="I623" s="138"/>
    </row>
    <row r="624" spans="1:9" ht="63">
      <c r="A624" s="33" t="s">
        <v>341</v>
      </c>
      <c r="B624" s="17">
        <v>906</v>
      </c>
      <c r="C624" s="21" t="s">
        <v>316</v>
      </c>
      <c r="D624" s="21" t="s">
        <v>267</v>
      </c>
      <c r="E624" s="21" t="s">
        <v>342</v>
      </c>
      <c r="F624" s="21"/>
      <c r="G624" s="28">
        <f>G625</f>
        <v>110</v>
      </c>
      <c r="H624" s="204"/>
      <c r="I624" s="138"/>
    </row>
    <row r="625" spans="1:9" ht="47.25">
      <c r="A625" s="26" t="s">
        <v>324</v>
      </c>
      <c r="B625" s="17">
        <v>906</v>
      </c>
      <c r="C625" s="21" t="s">
        <v>316</v>
      </c>
      <c r="D625" s="21" t="s">
        <v>267</v>
      </c>
      <c r="E625" s="21" t="s">
        <v>342</v>
      </c>
      <c r="F625" s="21" t="s">
        <v>325</v>
      </c>
      <c r="G625" s="28">
        <f>G626</f>
        <v>110</v>
      </c>
      <c r="H625" s="204"/>
      <c r="I625" s="138"/>
    </row>
    <row r="626" spans="1:9" ht="15.75">
      <c r="A626" s="26" t="s">
        <v>326</v>
      </c>
      <c r="B626" s="17">
        <v>906</v>
      </c>
      <c r="C626" s="21" t="s">
        <v>316</v>
      </c>
      <c r="D626" s="21" t="s">
        <v>267</v>
      </c>
      <c r="E626" s="21" t="s">
        <v>342</v>
      </c>
      <c r="F626" s="21" t="s">
        <v>327</v>
      </c>
      <c r="G626" s="28">
        <v>110</v>
      </c>
      <c r="H626" s="204"/>
      <c r="I626" s="138"/>
    </row>
    <row r="627" spans="1:9" ht="78.75">
      <c r="A627" s="33" t="s">
        <v>343</v>
      </c>
      <c r="B627" s="17">
        <v>906</v>
      </c>
      <c r="C627" s="21" t="s">
        <v>316</v>
      </c>
      <c r="D627" s="21" t="s">
        <v>267</v>
      </c>
      <c r="E627" s="21" t="s">
        <v>344</v>
      </c>
      <c r="F627" s="21"/>
      <c r="G627" s="28">
        <f>G628</f>
        <v>572.2</v>
      </c>
      <c r="H627" s="204"/>
      <c r="I627" s="138"/>
    </row>
    <row r="628" spans="1:9" ht="47.25">
      <c r="A628" s="26" t="s">
        <v>324</v>
      </c>
      <c r="B628" s="17">
        <v>906</v>
      </c>
      <c r="C628" s="21" t="s">
        <v>316</v>
      </c>
      <c r="D628" s="21" t="s">
        <v>267</v>
      </c>
      <c r="E628" s="21" t="s">
        <v>344</v>
      </c>
      <c r="F628" s="21" t="s">
        <v>325</v>
      </c>
      <c r="G628" s="28">
        <f>G629</f>
        <v>572.2</v>
      </c>
      <c r="H628" s="204"/>
      <c r="I628" s="138"/>
    </row>
    <row r="629" spans="1:9" ht="15.75">
      <c r="A629" s="26" t="s">
        <v>326</v>
      </c>
      <c r="B629" s="17">
        <v>906</v>
      </c>
      <c r="C629" s="21" t="s">
        <v>316</v>
      </c>
      <c r="D629" s="21" t="s">
        <v>267</v>
      </c>
      <c r="E629" s="21" t="s">
        <v>344</v>
      </c>
      <c r="F629" s="21" t="s">
        <v>327</v>
      </c>
      <c r="G629" s="28">
        <v>572.2</v>
      </c>
      <c r="H629" s="204"/>
      <c r="I629" s="138"/>
    </row>
    <row r="630" spans="1:9" ht="110.25">
      <c r="A630" s="33" t="s">
        <v>345</v>
      </c>
      <c r="B630" s="17">
        <v>906</v>
      </c>
      <c r="C630" s="21" t="s">
        <v>316</v>
      </c>
      <c r="D630" s="21" t="s">
        <v>267</v>
      </c>
      <c r="E630" s="21" t="s">
        <v>346</v>
      </c>
      <c r="F630" s="21"/>
      <c r="G630" s="28">
        <f>G631</f>
        <v>900</v>
      </c>
      <c r="H630" s="204"/>
      <c r="I630" s="138"/>
    </row>
    <row r="631" spans="1:9" ht="47.25">
      <c r="A631" s="26" t="s">
        <v>324</v>
      </c>
      <c r="B631" s="17">
        <v>906</v>
      </c>
      <c r="C631" s="21" t="s">
        <v>316</v>
      </c>
      <c r="D631" s="21" t="s">
        <v>267</v>
      </c>
      <c r="E631" s="21" t="s">
        <v>346</v>
      </c>
      <c r="F631" s="21" t="s">
        <v>325</v>
      </c>
      <c r="G631" s="28">
        <f>G632</f>
        <v>900</v>
      </c>
      <c r="H631" s="204"/>
      <c r="I631" s="138"/>
    </row>
    <row r="632" spans="1:9" ht="15.75">
      <c r="A632" s="26" t="s">
        <v>326</v>
      </c>
      <c r="B632" s="17">
        <v>906</v>
      </c>
      <c r="C632" s="21" t="s">
        <v>316</v>
      </c>
      <c r="D632" s="21" t="s">
        <v>267</v>
      </c>
      <c r="E632" s="21" t="s">
        <v>346</v>
      </c>
      <c r="F632" s="21" t="s">
        <v>327</v>
      </c>
      <c r="G632" s="28">
        <v>900</v>
      </c>
      <c r="H632" s="204"/>
      <c r="I632" s="138"/>
    </row>
    <row r="633" spans="1:8" ht="31.5">
      <c r="A633" s="24" t="s">
        <v>519</v>
      </c>
      <c r="B633" s="20">
        <v>906</v>
      </c>
      <c r="C633" s="25" t="s">
        <v>316</v>
      </c>
      <c r="D633" s="25" t="s">
        <v>316</v>
      </c>
      <c r="E633" s="25"/>
      <c r="F633" s="25"/>
      <c r="G633" s="22">
        <f>G634+G639</f>
        <v>4788.6</v>
      </c>
      <c r="H633" s="204"/>
    </row>
    <row r="634" spans="1:8" ht="47.25">
      <c r="A634" s="26" t="s">
        <v>479</v>
      </c>
      <c r="B634" s="17">
        <v>906</v>
      </c>
      <c r="C634" s="21" t="s">
        <v>316</v>
      </c>
      <c r="D634" s="21" t="s">
        <v>316</v>
      </c>
      <c r="E634" s="21" t="s">
        <v>459</v>
      </c>
      <c r="F634" s="21"/>
      <c r="G634" s="27">
        <f>G635</f>
        <v>3484.8</v>
      </c>
      <c r="H634" s="204"/>
    </row>
    <row r="635" spans="1:8" ht="31.5">
      <c r="A635" s="26" t="s">
        <v>520</v>
      </c>
      <c r="B635" s="17">
        <v>906</v>
      </c>
      <c r="C635" s="21" t="s">
        <v>316</v>
      </c>
      <c r="D635" s="21" t="s">
        <v>521</v>
      </c>
      <c r="E635" s="21" t="s">
        <v>522</v>
      </c>
      <c r="F635" s="21"/>
      <c r="G635" s="27">
        <f aca="true" t="shared" si="118" ref="G635">G636</f>
        <v>3484.8</v>
      </c>
      <c r="H635" s="204"/>
    </row>
    <row r="636" spans="1:8" ht="47.25">
      <c r="A636" s="26" t="s">
        <v>523</v>
      </c>
      <c r="B636" s="17">
        <v>906</v>
      </c>
      <c r="C636" s="21" t="s">
        <v>316</v>
      </c>
      <c r="D636" s="21" t="s">
        <v>316</v>
      </c>
      <c r="E636" s="21" t="s">
        <v>524</v>
      </c>
      <c r="F636" s="21"/>
      <c r="G636" s="27">
        <f>G637</f>
        <v>3484.8</v>
      </c>
      <c r="H636" s="204"/>
    </row>
    <row r="637" spans="1:8" ht="47.25">
      <c r="A637" s="26" t="s">
        <v>324</v>
      </c>
      <c r="B637" s="17">
        <v>906</v>
      </c>
      <c r="C637" s="21" t="s">
        <v>316</v>
      </c>
      <c r="D637" s="21" t="s">
        <v>316</v>
      </c>
      <c r="E637" s="21" t="s">
        <v>524</v>
      </c>
      <c r="F637" s="21" t="s">
        <v>325</v>
      </c>
      <c r="G637" s="27">
        <f aca="true" t="shared" si="119" ref="G637:G642">G638</f>
        <v>3484.8</v>
      </c>
      <c r="H637" s="204"/>
    </row>
    <row r="638" spans="1:8" ht="15.75">
      <c r="A638" s="26" t="s">
        <v>326</v>
      </c>
      <c r="B638" s="17">
        <v>906</v>
      </c>
      <c r="C638" s="21" t="s">
        <v>316</v>
      </c>
      <c r="D638" s="21" t="s">
        <v>316</v>
      </c>
      <c r="E638" s="21" t="s">
        <v>524</v>
      </c>
      <c r="F638" s="21" t="s">
        <v>327</v>
      </c>
      <c r="G638" s="28">
        <v>3484.8</v>
      </c>
      <c r="H638" s="204"/>
    </row>
    <row r="639" spans="1:8" ht="15.75">
      <c r="A639" s="26" t="s">
        <v>173</v>
      </c>
      <c r="B639" s="17">
        <v>906</v>
      </c>
      <c r="C639" s="21" t="s">
        <v>316</v>
      </c>
      <c r="D639" s="21" t="s">
        <v>316</v>
      </c>
      <c r="E639" s="21" t="s">
        <v>174</v>
      </c>
      <c r="F639" s="21"/>
      <c r="G639" s="27">
        <f aca="true" t="shared" si="120" ref="G639">G640</f>
        <v>1303.8000000000002</v>
      </c>
      <c r="H639" s="204"/>
    </row>
    <row r="640" spans="1:8" ht="31.5">
      <c r="A640" s="26" t="s">
        <v>237</v>
      </c>
      <c r="B640" s="17">
        <v>906</v>
      </c>
      <c r="C640" s="21" t="s">
        <v>316</v>
      </c>
      <c r="D640" s="21" t="s">
        <v>316</v>
      </c>
      <c r="E640" s="21" t="s">
        <v>238</v>
      </c>
      <c r="F640" s="21"/>
      <c r="G640" s="27">
        <f>G642</f>
        <v>1303.8000000000002</v>
      </c>
      <c r="H640" s="204"/>
    </row>
    <row r="641" spans="1:8" ht="63" hidden="1">
      <c r="A641" s="26" t="s">
        <v>525</v>
      </c>
      <c r="B641" s="17">
        <v>906</v>
      </c>
      <c r="C641" s="21" t="s">
        <v>316</v>
      </c>
      <c r="D641" s="21" t="s">
        <v>316</v>
      </c>
      <c r="E641" s="21" t="s">
        <v>526</v>
      </c>
      <c r="F641" s="21"/>
      <c r="G641" s="27">
        <f t="shared" si="119"/>
        <v>1303.8000000000002</v>
      </c>
      <c r="H641" s="204"/>
    </row>
    <row r="642" spans="1:8" ht="31.5">
      <c r="A642" s="33" t="s">
        <v>527</v>
      </c>
      <c r="B642" s="17">
        <v>906</v>
      </c>
      <c r="C642" s="21" t="s">
        <v>316</v>
      </c>
      <c r="D642" s="21" t="s">
        <v>316</v>
      </c>
      <c r="E642" s="21" t="s">
        <v>528</v>
      </c>
      <c r="F642" s="21"/>
      <c r="G642" s="27">
        <f t="shared" si="119"/>
        <v>1303.8000000000002</v>
      </c>
      <c r="H642" s="204"/>
    </row>
    <row r="643" spans="1:8" ht="47.25">
      <c r="A643" s="26" t="s">
        <v>324</v>
      </c>
      <c r="B643" s="17">
        <v>906</v>
      </c>
      <c r="C643" s="21" t="s">
        <v>316</v>
      </c>
      <c r="D643" s="21" t="s">
        <v>316</v>
      </c>
      <c r="E643" s="21" t="s">
        <v>528</v>
      </c>
      <c r="F643" s="21" t="s">
        <v>325</v>
      </c>
      <c r="G643" s="27">
        <f>G644</f>
        <v>1303.8000000000002</v>
      </c>
      <c r="H643" s="204"/>
    </row>
    <row r="644" spans="1:9" ht="15.75">
      <c r="A644" s="26" t="s">
        <v>326</v>
      </c>
      <c r="B644" s="17">
        <v>906</v>
      </c>
      <c r="C644" s="21" t="s">
        <v>316</v>
      </c>
      <c r="D644" s="21" t="s">
        <v>316</v>
      </c>
      <c r="E644" s="21" t="s">
        <v>528</v>
      </c>
      <c r="F644" s="21" t="s">
        <v>327</v>
      </c>
      <c r="G644" s="28">
        <f>1660.4-356.6</f>
        <v>1303.8000000000002</v>
      </c>
      <c r="H644" s="204"/>
      <c r="I644" s="138"/>
    </row>
    <row r="645" spans="1:8" ht="15.75">
      <c r="A645" s="24" t="s">
        <v>347</v>
      </c>
      <c r="B645" s="20">
        <v>906</v>
      </c>
      <c r="C645" s="25" t="s">
        <v>316</v>
      </c>
      <c r="D645" s="25" t="s">
        <v>271</v>
      </c>
      <c r="E645" s="25"/>
      <c r="F645" s="25"/>
      <c r="G645" s="22">
        <f>G646+G655</f>
        <v>18322.300000000003</v>
      </c>
      <c r="H645" s="204"/>
    </row>
    <row r="646" spans="1:9" ht="47.25">
      <c r="A646" s="26" t="s">
        <v>386</v>
      </c>
      <c r="B646" s="17">
        <v>906</v>
      </c>
      <c r="C646" s="21" t="s">
        <v>316</v>
      </c>
      <c r="D646" s="21" t="s">
        <v>271</v>
      </c>
      <c r="E646" s="21" t="s">
        <v>387</v>
      </c>
      <c r="F646" s="21"/>
      <c r="G646" s="27">
        <f>G647+G650</f>
        <v>20</v>
      </c>
      <c r="H646" s="204"/>
      <c r="I646" s="138"/>
    </row>
    <row r="647" spans="1:8" ht="31.5" hidden="1">
      <c r="A647" s="26" t="s">
        <v>388</v>
      </c>
      <c r="B647" s="17">
        <v>906</v>
      </c>
      <c r="C647" s="21" t="s">
        <v>316</v>
      </c>
      <c r="D647" s="21" t="s">
        <v>271</v>
      </c>
      <c r="E647" s="21" t="s">
        <v>389</v>
      </c>
      <c r="F647" s="21"/>
      <c r="G647" s="27">
        <f>G648</f>
        <v>0</v>
      </c>
      <c r="H647" s="204"/>
    </row>
    <row r="648" spans="1:8" ht="31.5" hidden="1">
      <c r="A648" s="26" t="s">
        <v>183</v>
      </c>
      <c r="B648" s="17">
        <v>906</v>
      </c>
      <c r="C648" s="21" t="s">
        <v>316</v>
      </c>
      <c r="D648" s="21" t="s">
        <v>271</v>
      </c>
      <c r="E648" s="21" t="s">
        <v>389</v>
      </c>
      <c r="F648" s="21" t="s">
        <v>184</v>
      </c>
      <c r="G648" s="27">
        <f>G649</f>
        <v>0</v>
      </c>
      <c r="H648" s="204"/>
    </row>
    <row r="649" spans="1:9" ht="47.25" hidden="1">
      <c r="A649" s="26" t="s">
        <v>185</v>
      </c>
      <c r="B649" s="17">
        <v>906</v>
      </c>
      <c r="C649" s="21" t="s">
        <v>316</v>
      </c>
      <c r="D649" s="21" t="s">
        <v>271</v>
      </c>
      <c r="E649" s="21" t="s">
        <v>389</v>
      </c>
      <c r="F649" s="21" t="s">
        <v>186</v>
      </c>
      <c r="G649" s="27">
        <f>50-50</f>
        <v>0</v>
      </c>
      <c r="H649" s="129"/>
      <c r="I649" s="147"/>
    </row>
    <row r="650" spans="1:8" ht="63">
      <c r="A650" s="26" t="s">
        <v>529</v>
      </c>
      <c r="B650" s="17">
        <v>906</v>
      </c>
      <c r="C650" s="21" t="s">
        <v>316</v>
      </c>
      <c r="D650" s="21" t="s">
        <v>271</v>
      </c>
      <c r="E650" s="21" t="s">
        <v>530</v>
      </c>
      <c r="F650" s="21"/>
      <c r="G650" s="27">
        <f>G651+G653</f>
        <v>20</v>
      </c>
      <c r="H650" s="204"/>
    </row>
    <row r="651" spans="1:8" ht="94.5">
      <c r="A651" s="26" t="s">
        <v>179</v>
      </c>
      <c r="B651" s="17">
        <v>906</v>
      </c>
      <c r="C651" s="21" t="s">
        <v>316</v>
      </c>
      <c r="D651" s="21" t="s">
        <v>271</v>
      </c>
      <c r="E651" s="21" t="s">
        <v>530</v>
      </c>
      <c r="F651" s="21" t="s">
        <v>180</v>
      </c>
      <c r="G651" s="27">
        <f>G652</f>
        <v>5</v>
      </c>
      <c r="H651" s="204"/>
    </row>
    <row r="652" spans="1:8" ht="31.5">
      <c r="A652" s="26" t="s">
        <v>394</v>
      </c>
      <c r="B652" s="17">
        <v>906</v>
      </c>
      <c r="C652" s="21" t="s">
        <v>316</v>
      </c>
      <c r="D652" s="21" t="s">
        <v>271</v>
      </c>
      <c r="E652" s="21" t="s">
        <v>530</v>
      </c>
      <c r="F652" s="21" t="s">
        <v>261</v>
      </c>
      <c r="G652" s="27">
        <v>5</v>
      </c>
      <c r="H652" s="204"/>
    </row>
    <row r="653" spans="1:8" ht="31.5">
      <c r="A653" s="26" t="s">
        <v>183</v>
      </c>
      <c r="B653" s="17">
        <v>906</v>
      </c>
      <c r="C653" s="21" t="s">
        <v>316</v>
      </c>
      <c r="D653" s="21" t="s">
        <v>271</v>
      </c>
      <c r="E653" s="21" t="s">
        <v>530</v>
      </c>
      <c r="F653" s="21" t="s">
        <v>184</v>
      </c>
      <c r="G653" s="27">
        <f>G654</f>
        <v>15</v>
      </c>
      <c r="H653" s="204"/>
    </row>
    <row r="654" spans="1:8" ht="47.25">
      <c r="A654" s="26" t="s">
        <v>185</v>
      </c>
      <c r="B654" s="17">
        <v>906</v>
      </c>
      <c r="C654" s="21" t="s">
        <v>316</v>
      </c>
      <c r="D654" s="21" t="s">
        <v>271</v>
      </c>
      <c r="E654" s="21" t="s">
        <v>530</v>
      </c>
      <c r="F654" s="21" t="s">
        <v>186</v>
      </c>
      <c r="G654" s="27">
        <v>15</v>
      </c>
      <c r="H654" s="204"/>
    </row>
    <row r="655" spans="1:8" ht="15.75">
      <c r="A655" s="26" t="s">
        <v>173</v>
      </c>
      <c r="B655" s="17">
        <v>906</v>
      </c>
      <c r="C655" s="21" t="s">
        <v>316</v>
      </c>
      <c r="D655" s="21" t="s">
        <v>271</v>
      </c>
      <c r="E655" s="21" t="s">
        <v>174</v>
      </c>
      <c r="F655" s="21"/>
      <c r="G655" s="27">
        <f>G656+G662</f>
        <v>18302.300000000003</v>
      </c>
      <c r="H655" s="204"/>
    </row>
    <row r="656" spans="1:8" ht="31.5">
      <c r="A656" s="26" t="s">
        <v>175</v>
      </c>
      <c r="B656" s="17">
        <v>906</v>
      </c>
      <c r="C656" s="21" t="s">
        <v>316</v>
      </c>
      <c r="D656" s="21" t="s">
        <v>271</v>
      </c>
      <c r="E656" s="21" t="s">
        <v>176</v>
      </c>
      <c r="F656" s="21"/>
      <c r="G656" s="27">
        <f aca="true" t="shared" si="121" ref="G656">G657</f>
        <v>5138.7</v>
      </c>
      <c r="H656" s="204"/>
    </row>
    <row r="657" spans="1:8" ht="47.25">
      <c r="A657" s="26" t="s">
        <v>177</v>
      </c>
      <c r="B657" s="17">
        <v>906</v>
      </c>
      <c r="C657" s="21" t="s">
        <v>316</v>
      </c>
      <c r="D657" s="21" t="s">
        <v>271</v>
      </c>
      <c r="E657" s="21" t="s">
        <v>178</v>
      </c>
      <c r="F657" s="21"/>
      <c r="G657" s="27">
        <f>G658+G660</f>
        <v>5138.7</v>
      </c>
      <c r="H657" s="204"/>
    </row>
    <row r="658" spans="1:8" ht="94.5">
      <c r="A658" s="26" t="s">
        <v>179</v>
      </c>
      <c r="B658" s="17">
        <v>906</v>
      </c>
      <c r="C658" s="21" t="s">
        <v>316</v>
      </c>
      <c r="D658" s="21" t="s">
        <v>271</v>
      </c>
      <c r="E658" s="21" t="s">
        <v>178</v>
      </c>
      <c r="F658" s="21" t="s">
        <v>180</v>
      </c>
      <c r="G658" s="27">
        <f aca="true" t="shared" si="122" ref="G658">G659</f>
        <v>4981.5</v>
      </c>
      <c r="H658" s="204"/>
    </row>
    <row r="659" spans="1:8" ht="31.5">
      <c r="A659" s="26" t="s">
        <v>181</v>
      </c>
      <c r="B659" s="17">
        <v>906</v>
      </c>
      <c r="C659" s="21" t="s">
        <v>316</v>
      </c>
      <c r="D659" s="21" t="s">
        <v>271</v>
      </c>
      <c r="E659" s="21" t="s">
        <v>178</v>
      </c>
      <c r="F659" s="21" t="s">
        <v>182</v>
      </c>
      <c r="G659" s="182">
        <f>4975.7+5.8</f>
        <v>4981.5</v>
      </c>
      <c r="H659" s="183" t="s">
        <v>822</v>
      </c>
    </row>
    <row r="660" spans="1:8" ht="31.5">
      <c r="A660" s="26" t="s">
        <v>183</v>
      </c>
      <c r="B660" s="17">
        <v>906</v>
      </c>
      <c r="C660" s="21" t="s">
        <v>316</v>
      </c>
      <c r="D660" s="21" t="s">
        <v>271</v>
      </c>
      <c r="E660" s="21" t="s">
        <v>178</v>
      </c>
      <c r="F660" s="21" t="s">
        <v>184</v>
      </c>
      <c r="G660" s="27">
        <f aca="true" t="shared" si="123" ref="G660">G661</f>
        <v>157.2</v>
      </c>
      <c r="H660" s="204"/>
    </row>
    <row r="661" spans="1:8" ht="47.25">
      <c r="A661" s="26" t="s">
        <v>185</v>
      </c>
      <c r="B661" s="17">
        <v>906</v>
      </c>
      <c r="C661" s="21" t="s">
        <v>316</v>
      </c>
      <c r="D661" s="21" t="s">
        <v>271</v>
      </c>
      <c r="E661" s="21" t="s">
        <v>178</v>
      </c>
      <c r="F661" s="21" t="s">
        <v>186</v>
      </c>
      <c r="G661" s="184">
        <f>163-5.8</f>
        <v>157.2</v>
      </c>
      <c r="H661" s="183" t="s">
        <v>821</v>
      </c>
    </row>
    <row r="662" spans="1:8" ht="15.75">
      <c r="A662" s="26" t="s">
        <v>193</v>
      </c>
      <c r="B662" s="17">
        <v>906</v>
      </c>
      <c r="C662" s="21" t="s">
        <v>316</v>
      </c>
      <c r="D662" s="21" t="s">
        <v>271</v>
      </c>
      <c r="E662" s="21" t="s">
        <v>194</v>
      </c>
      <c r="F662" s="21"/>
      <c r="G662" s="27">
        <f>G666+G663</f>
        <v>13163.600000000002</v>
      </c>
      <c r="H662" s="204"/>
    </row>
    <row r="663" spans="1:8" ht="15.75">
      <c r="A663" s="26" t="s">
        <v>531</v>
      </c>
      <c r="B663" s="17">
        <v>906</v>
      </c>
      <c r="C663" s="21" t="s">
        <v>316</v>
      </c>
      <c r="D663" s="21" t="s">
        <v>271</v>
      </c>
      <c r="E663" s="21" t="s">
        <v>532</v>
      </c>
      <c r="F663" s="21"/>
      <c r="G663" s="27">
        <f>G664</f>
        <v>375</v>
      </c>
      <c r="H663" s="204"/>
    </row>
    <row r="664" spans="1:8" ht="31.5">
      <c r="A664" s="26" t="s">
        <v>183</v>
      </c>
      <c r="B664" s="17">
        <v>906</v>
      </c>
      <c r="C664" s="21" t="s">
        <v>316</v>
      </c>
      <c r="D664" s="21" t="s">
        <v>271</v>
      </c>
      <c r="E664" s="21" t="s">
        <v>532</v>
      </c>
      <c r="F664" s="21" t="s">
        <v>184</v>
      </c>
      <c r="G664" s="27">
        <f>G665</f>
        <v>375</v>
      </c>
      <c r="H664" s="204"/>
    </row>
    <row r="665" spans="1:9" ht="47.25">
      <c r="A665" s="26" t="s">
        <v>185</v>
      </c>
      <c r="B665" s="17">
        <v>906</v>
      </c>
      <c r="C665" s="21" t="s">
        <v>316</v>
      </c>
      <c r="D665" s="21" t="s">
        <v>271</v>
      </c>
      <c r="E665" s="21" t="s">
        <v>532</v>
      </c>
      <c r="F665" s="21" t="s">
        <v>186</v>
      </c>
      <c r="G665" s="188">
        <f>206.3+143.7+25</f>
        <v>375</v>
      </c>
      <c r="H665" s="183" t="s">
        <v>838</v>
      </c>
      <c r="I665" s="138"/>
    </row>
    <row r="666" spans="1:11" ht="31.5">
      <c r="A666" s="26" t="s">
        <v>392</v>
      </c>
      <c r="B666" s="17">
        <v>906</v>
      </c>
      <c r="C666" s="21" t="s">
        <v>316</v>
      </c>
      <c r="D666" s="21" t="s">
        <v>271</v>
      </c>
      <c r="E666" s="21" t="s">
        <v>393</v>
      </c>
      <c r="F666" s="21"/>
      <c r="G666" s="27">
        <f>G667+G669+G671</f>
        <v>12788.600000000002</v>
      </c>
      <c r="H666" s="204"/>
      <c r="J666" s="335"/>
      <c r="K666" s="335"/>
    </row>
    <row r="667" spans="1:11" ht="94.5">
      <c r="A667" s="26" t="s">
        <v>179</v>
      </c>
      <c r="B667" s="17">
        <v>906</v>
      </c>
      <c r="C667" s="21" t="s">
        <v>316</v>
      </c>
      <c r="D667" s="21" t="s">
        <v>271</v>
      </c>
      <c r="E667" s="21" t="s">
        <v>393</v>
      </c>
      <c r="F667" s="21" t="s">
        <v>180</v>
      </c>
      <c r="G667" s="27">
        <f>G668</f>
        <v>11519.300000000001</v>
      </c>
      <c r="H667" s="204"/>
      <c r="J667" s="335"/>
      <c r="K667" s="335"/>
    </row>
    <row r="668" spans="1:11" ht="31.5">
      <c r="A668" s="26" t="s">
        <v>394</v>
      </c>
      <c r="B668" s="17">
        <v>906</v>
      </c>
      <c r="C668" s="21" t="s">
        <v>316</v>
      </c>
      <c r="D668" s="21" t="s">
        <v>271</v>
      </c>
      <c r="E668" s="21" t="s">
        <v>393</v>
      </c>
      <c r="F668" s="21" t="s">
        <v>261</v>
      </c>
      <c r="G668" s="28">
        <f>11988.7-469.4</f>
        <v>11519.300000000001</v>
      </c>
      <c r="H668" s="129"/>
      <c r="I668" s="147"/>
      <c r="J668" s="335"/>
      <c r="K668" s="335"/>
    </row>
    <row r="669" spans="1:11" ht="31.5">
      <c r="A669" s="26" t="s">
        <v>183</v>
      </c>
      <c r="B669" s="17">
        <v>906</v>
      </c>
      <c r="C669" s="21" t="s">
        <v>316</v>
      </c>
      <c r="D669" s="21" t="s">
        <v>271</v>
      </c>
      <c r="E669" s="21" t="s">
        <v>393</v>
      </c>
      <c r="F669" s="21" t="s">
        <v>184</v>
      </c>
      <c r="G669" s="27">
        <f>G670</f>
        <v>1264.1</v>
      </c>
      <c r="H669" s="204"/>
      <c r="J669" s="335"/>
      <c r="K669" s="335"/>
    </row>
    <row r="670" spans="1:11" ht="47.25">
      <c r="A670" s="26" t="s">
        <v>185</v>
      </c>
      <c r="B670" s="17">
        <v>906</v>
      </c>
      <c r="C670" s="21" t="s">
        <v>316</v>
      </c>
      <c r="D670" s="21" t="s">
        <v>271</v>
      </c>
      <c r="E670" s="21" t="s">
        <v>393</v>
      </c>
      <c r="F670" s="21" t="s">
        <v>186</v>
      </c>
      <c r="G670" s="27">
        <f>1416.8-152.7</f>
        <v>1264.1</v>
      </c>
      <c r="H670" s="129"/>
      <c r="I670" s="147"/>
      <c r="J670" s="335"/>
      <c r="K670" s="335"/>
    </row>
    <row r="671" spans="1:11" ht="15.75">
      <c r="A671" s="26" t="s">
        <v>187</v>
      </c>
      <c r="B671" s="17">
        <v>906</v>
      </c>
      <c r="C671" s="21" t="s">
        <v>316</v>
      </c>
      <c r="D671" s="21" t="s">
        <v>271</v>
      </c>
      <c r="E671" s="21" t="s">
        <v>393</v>
      </c>
      <c r="F671" s="21" t="s">
        <v>197</v>
      </c>
      <c r="G671" s="27">
        <f>G672</f>
        <v>5.2</v>
      </c>
      <c r="H671" s="204"/>
      <c r="J671" s="335"/>
      <c r="K671" s="335"/>
    </row>
    <row r="672" spans="1:11" ht="15.75">
      <c r="A672" s="26" t="s">
        <v>621</v>
      </c>
      <c r="B672" s="17">
        <v>906</v>
      </c>
      <c r="C672" s="21" t="s">
        <v>316</v>
      </c>
      <c r="D672" s="21" t="s">
        <v>271</v>
      </c>
      <c r="E672" s="21" t="s">
        <v>393</v>
      </c>
      <c r="F672" s="21" t="s">
        <v>190</v>
      </c>
      <c r="G672" s="27">
        <f>7-1.8</f>
        <v>5.2</v>
      </c>
      <c r="H672" s="129"/>
      <c r="I672" s="147"/>
      <c r="J672" s="335"/>
      <c r="K672" s="335"/>
    </row>
    <row r="673" spans="1:8" ht="47.25">
      <c r="A673" s="20" t="s">
        <v>533</v>
      </c>
      <c r="B673" s="20">
        <v>907</v>
      </c>
      <c r="C673" s="21"/>
      <c r="D673" s="21"/>
      <c r="E673" s="21"/>
      <c r="F673" s="21"/>
      <c r="G673" s="22">
        <f aca="true" t="shared" si="124" ref="G673">G674+G704</f>
        <v>46187.799999999996</v>
      </c>
      <c r="H673" s="204"/>
    </row>
    <row r="674" spans="1:8" ht="15.75">
      <c r="A674" s="24" t="s">
        <v>315</v>
      </c>
      <c r="B674" s="20">
        <v>907</v>
      </c>
      <c r="C674" s="25" t="s">
        <v>521</v>
      </c>
      <c r="D674" s="25"/>
      <c r="E674" s="25"/>
      <c r="F674" s="25"/>
      <c r="G674" s="22">
        <f>G675</f>
        <v>11485.1</v>
      </c>
      <c r="H674" s="204"/>
    </row>
    <row r="675" spans="1:10" ht="15.75">
      <c r="A675" s="24" t="s">
        <v>317</v>
      </c>
      <c r="B675" s="20">
        <v>907</v>
      </c>
      <c r="C675" s="25" t="s">
        <v>316</v>
      </c>
      <c r="D675" s="25" t="s">
        <v>267</v>
      </c>
      <c r="E675" s="25"/>
      <c r="F675" s="25"/>
      <c r="G675" s="22">
        <f aca="true" t="shared" si="125" ref="G675">G676+G693</f>
        <v>11485.1</v>
      </c>
      <c r="H675" s="204"/>
      <c r="J675" s="139"/>
    </row>
    <row r="676" spans="1:8" ht="47.25">
      <c r="A676" s="26" t="s">
        <v>534</v>
      </c>
      <c r="B676" s="17">
        <v>907</v>
      </c>
      <c r="C676" s="21" t="s">
        <v>316</v>
      </c>
      <c r="D676" s="21" t="s">
        <v>267</v>
      </c>
      <c r="E676" s="21" t="s">
        <v>535</v>
      </c>
      <c r="F676" s="21"/>
      <c r="G676" s="27">
        <f>G677</f>
        <v>10758</v>
      </c>
      <c r="H676" s="204"/>
    </row>
    <row r="677" spans="1:8" ht="47.25">
      <c r="A677" s="26" t="s">
        <v>536</v>
      </c>
      <c r="B677" s="17">
        <v>907</v>
      </c>
      <c r="C677" s="21" t="s">
        <v>316</v>
      </c>
      <c r="D677" s="21" t="s">
        <v>267</v>
      </c>
      <c r="E677" s="21" t="s">
        <v>537</v>
      </c>
      <c r="F677" s="21"/>
      <c r="G677" s="27">
        <f aca="true" t="shared" si="126" ref="G677">G678+G681+G684+G690+G687</f>
        <v>10758</v>
      </c>
      <c r="H677" s="204"/>
    </row>
    <row r="678" spans="1:8" ht="47.25">
      <c r="A678" s="26" t="s">
        <v>322</v>
      </c>
      <c r="B678" s="17">
        <v>907</v>
      </c>
      <c r="C678" s="21" t="s">
        <v>316</v>
      </c>
      <c r="D678" s="21" t="s">
        <v>267</v>
      </c>
      <c r="E678" s="21" t="s">
        <v>538</v>
      </c>
      <c r="F678" s="21"/>
      <c r="G678" s="27">
        <f>G679</f>
        <v>10722</v>
      </c>
      <c r="H678" s="204"/>
    </row>
    <row r="679" spans="1:8" ht="47.25">
      <c r="A679" s="26" t="s">
        <v>324</v>
      </c>
      <c r="B679" s="17">
        <v>907</v>
      </c>
      <c r="C679" s="21" t="s">
        <v>316</v>
      </c>
      <c r="D679" s="21" t="s">
        <v>267</v>
      </c>
      <c r="E679" s="21" t="s">
        <v>538</v>
      </c>
      <c r="F679" s="21" t="s">
        <v>325</v>
      </c>
      <c r="G679" s="27">
        <f aca="true" t="shared" si="127" ref="G679">G680</f>
        <v>10722</v>
      </c>
      <c r="H679" s="204"/>
    </row>
    <row r="680" spans="1:9" ht="15.75">
      <c r="A680" s="26" t="s">
        <v>326</v>
      </c>
      <c r="B680" s="17">
        <v>907</v>
      </c>
      <c r="C680" s="21" t="s">
        <v>316</v>
      </c>
      <c r="D680" s="21" t="s">
        <v>267</v>
      </c>
      <c r="E680" s="21" t="s">
        <v>538</v>
      </c>
      <c r="F680" s="21" t="s">
        <v>327</v>
      </c>
      <c r="G680" s="28">
        <f>10500+753.9-531.9</f>
        <v>10722</v>
      </c>
      <c r="H680" s="129"/>
      <c r="I680" s="148"/>
    </row>
    <row r="681" spans="1:8" ht="47.25" hidden="1">
      <c r="A681" s="26" t="s">
        <v>330</v>
      </c>
      <c r="B681" s="17">
        <v>907</v>
      </c>
      <c r="C681" s="21" t="s">
        <v>316</v>
      </c>
      <c r="D681" s="21" t="s">
        <v>265</v>
      </c>
      <c r="E681" s="21" t="s">
        <v>539</v>
      </c>
      <c r="F681" s="21"/>
      <c r="G681" s="27">
        <f aca="true" t="shared" si="128" ref="G681:G682">G682</f>
        <v>0</v>
      </c>
      <c r="H681" s="204"/>
    </row>
    <row r="682" spans="1:8" ht="47.25" hidden="1">
      <c r="A682" s="26" t="s">
        <v>324</v>
      </c>
      <c r="B682" s="17">
        <v>907</v>
      </c>
      <c r="C682" s="21" t="s">
        <v>316</v>
      </c>
      <c r="D682" s="21" t="s">
        <v>265</v>
      </c>
      <c r="E682" s="21" t="s">
        <v>539</v>
      </c>
      <c r="F682" s="21" t="s">
        <v>325</v>
      </c>
      <c r="G682" s="27">
        <f t="shared" si="128"/>
        <v>0</v>
      </c>
      <c r="H682" s="204"/>
    </row>
    <row r="683" spans="1:8" ht="15.75" hidden="1">
      <c r="A683" s="26" t="s">
        <v>326</v>
      </c>
      <c r="B683" s="17">
        <v>907</v>
      </c>
      <c r="C683" s="21" t="s">
        <v>316</v>
      </c>
      <c r="D683" s="21" t="s">
        <v>265</v>
      </c>
      <c r="E683" s="21" t="s">
        <v>539</v>
      </c>
      <c r="F683" s="21" t="s">
        <v>327</v>
      </c>
      <c r="G683" s="27">
        <v>0</v>
      </c>
      <c r="H683" s="204"/>
    </row>
    <row r="684" spans="1:8" ht="31.5" hidden="1">
      <c r="A684" s="26" t="s">
        <v>332</v>
      </c>
      <c r="B684" s="17">
        <v>907</v>
      </c>
      <c r="C684" s="21" t="s">
        <v>316</v>
      </c>
      <c r="D684" s="21" t="s">
        <v>265</v>
      </c>
      <c r="E684" s="21" t="s">
        <v>540</v>
      </c>
      <c r="F684" s="21"/>
      <c r="G684" s="27">
        <f aca="true" t="shared" si="129" ref="G684:G685">G685</f>
        <v>0</v>
      </c>
      <c r="H684" s="204"/>
    </row>
    <row r="685" spans="1:8" ht="47.25" hidden="1">
      <c r="A685" s="26" t="s">
        <v>324</v>
      </c>
      <c r="B685" s="17">
        <v>907</v>
      </c>
      <c r="C685" s="21" t="s">
        <v>316</v>
      </c>
      <c r="D685" s="21" t="s">
        <v>265</v>
      </c>
      <c r="E685" s="21" t="s">
        <v>540</v>
      </c>
      <c r="F685" s="21" t="s">
        <v>325</v>
      </c>
      <c r="G685" s="27">
        <f t="shared" si="129"/>
        <v>0</v>
      </c>
      <c r="H685" s="204"/>
    </row>
    <row r="686" spans="1:8" ht="15.75" hidden="1">
      <c r="A686" s="26" t="s">
        <v>326</v>
      </c>
      <c r="B686" s="17">
        <v>907</v>
      </c>
      <c r="C686" s="21" t="s">
        <v>316</v>
      </c>
      <c r="D686" s="21" t="s">
        <v>265</v>
      </c>
      <c r="E686" s="21" t="s">
        <v>540</v>
      </c>
      <c r="F686" s="21" t="s">
        <v>327</v>
      </c>
      <c r="G686" s="27">
        <v>0</v>
      </c>
      <c r="H686" s="204"/>
    </row>
    <row r="687" spans="1:8" ht="47.25">
      <c r="A687" s="26" t="s">
        <v>334</v>
      </c>
      <c r="B687" s="17">
        <v>907</v>
      </c>
      <c r="C687" s="21" t="s">
        <v>316</v>
      </c>
      <c r="D687" s="21" t="s">
        <v>267</v>
      </c>
      <c r="E687" s="21" t="s">
        <v>541</v>
      </c>
      <c r="F687" s="21"/>
      <c r="G687" s="27">
        <f aca="true" t="shared" si="130" ref="G687">G688</f>
        <v>36</v>
      </c>
      <c r="H687" s="204"/>
    </row>
    <row r="688" spans="1:8" ht="47.25">
      <c r="A688" s="26" t="s">
        <v>324</v>
      </c>
      <c r="B688" s="17">
        <v>907</v>
      </c>
      <c r="C688" s="21" t="s">
        <v>316</v>
      </c>
      <c r="D688" s="21" t="s">
        <v>267</v>
      </c>
      <c r="E688" s="21" t="s">
        <v>541</v>
      </c>
      <c r="F688" s="21" t="s">
        <v>325</v>
      </c>
      <c r="G688" s="27">
        <f>G689</f>
        <v>36</v>
      </c>
      <c r="H688" s="204"/>
    </row>
    <row r="689" spans="1:8" ht="15.75">
      <c r="A689" s="26" t="s">
        <v>326</v>
      </c>
      <c r="B689" s="17">
        <v>907</v>
      </c>
      <c r="C689" s="21" t="s">
        <v>316</v>
      </c>
      <c r="D689" s="21" t="s">
        <v>267</v>
      </c>
      <c r="E689" s="21" t="s">
        <v>541</v>
      </c>
      <c r="F689" s="21" t="s">
        <v>327</v>
      </c>
      <c r="G689" s="27">
        <v>36</v>
      </c>
      <c r="H689" s="204"/>
    </row>
    <row r="690" spans="1:8" ht="31.5" hidden="1">
      <c r="A690" s="26" t="s">
        <v>336</v>
      </c>
      <c r="B690" s="17">
        <v>907</v>
      </c>
      <c r="C690" s="21" t="s">
        <v>316</v>
      </c>
      <c r="D690" s="21" t="s">
        <v>265</v>
      </c>
      <c r="E690" s="21" t="s">
        <v>542</v>
      </c>
      <c r="F690" s="21"/>
      <c r="G690" s="27">
        <f aca="true" t="shared" si="131" ref="G690:G691">G691</f>
        <v>0</v>
      </c>
      <c r="H690" s="204"/>
    </row>
    <row r="691" spans="1:8" ht="47.25" hidden="1">
      <c r="A691" s="26" t="s">
        <v>324</v>
      </c>
      <c r="B691" s="17">
        <v>907</v>
      </c>
      <c r="C691" s="21" t="s">
        <v>316</v>
      </c>
      <c r="D691" s="21" t="s">
        <v>265</v>
      </c>
      <c r="E691" s="21" t="s">
        <v>542</v>
      </c>
      <c r="F691" s="21" t="s">
        <v>325</v>
      </c>
      <c r="G691" s="27">
        <f t="shared" si="131"/>
        <v>0</v>
      </c>
      <c r="H691" s="204"/>
    </row>
    <row r="692" spans="1:8" ht="15.75" hidden="1">
      <c r="A692" s="26" t="s">
        <v>326</v>
      </c>
      <c r="B692" s="17">
        <v>907</v>
      </c>
      <c r="C692" s="21" t="s">
        <v>316</v>
      </c>
      <c r="D692" s="21" t="s">
        <v>265</v>
      </c>
      <c r="E692" s="21" t="s">
        <v>542</v>
      </c>
      <c r="F692" s="21" t="s">
        <v>327</v>
      </c>
      <c r="G692" s="27">
        <v>0</v>
      </c>
      <c r="H692" s="204"/>
    </row>
    <row r="693" spans="1:8" ht="15.75">
      <c r="A693" s="26" t="s">
        <v>173</v>
      </c>
      <c r="B693" s="17">
        <v>907</v>
      </c>
      <c r="C693" s="21" t="s">
        <v>316</v>
      </c>
      <c r="D693" s="21" t="s">
        <v>267</v>
      </c>
      <c r="E693" s="21" t="s">
        <v>174</v>
      </c>
      <c r="F693" s="21"/>
      <c r="G693" s="27">
        <f>G694</f>
        <v>727.1</v>
      </c>
      <c r="H693" s="204"/>
    </row>
    <row r="694" spans="1:8" ht="31.5">
      <c r="A694" s="26" t="s">
        <v>237</v>
      </c>
      <c r="B694" s="17">
        <v>907</v>
      </c>
      <c r="C694" s="21" t="s">
        <v>316</v>
      </c>
      <c r="D694" s="21" t="s">
        <v>267</v>
      </c>
      <c r="E694" s="21" t="s">
        <v>238</v>
      </c>
      <c r="F694" s="21"/>
      <c r="G694" s="27">
        <f>G695+G698+G701</f>
        <v>727.1</v>
      </c>
      <c r="H694" s="204"/>
    </row>
    <row r="695" spans="1:8" ht="63">
      <c r="A695" s="33" t="s">
        <v>341</v>
      </c>
      <c r="B695" s="17">
        <v>907</v>
      </c>
      <c r="C695" s="21" t="s">
        <v>316</v>
      </c>
      <c r="D695" s="21" t="s">
        <v>267</v>
      </c>
      <c r="E695" s="21" t="s">
        <v>342</v>
      </c>
      <c r="F695" s="21"/>
      <c r="G695" s="27">
        <f>G696</f>
        <v>50</v>
      </c>
      <c r="H695" s="204"/>
    </row>
    <row r="696" spans="1:8" ht="47.25">
      <c r="A696" s="26" t="s">
        <v>324</v>
      </c>
      <c r="B696" s="17">
        <v>907</v>
      </c>
      <c r="C696" s="21" t="s">
        <v>316</v>
      </c>
      <c r="D696" s="21" t="s">
        <v>267</v>
      </c>
      <c r="E696" s="21" t="s">
        <v>342</v>
      </c>
      <c r="F696" s="21" t="s">
        <v>325</v>
      </c>
      <c r="G696" s="27">
        <f aca="true" t="shared" si="132" ref="G696">G697</f>
        <v>50</v>
      </c>
      <c r="H696" s="204"/>
    </row>
    <row r="697" spans="1:8" ht="15.75">
      <c r="A697" s="26" t="s">
        <v>326</v>
      </c>
      <c r="B697" s="17">
        <v>907</v>
      </c>
      <c r="C697" s="21" t="s">
        <v>316</v>
      </c>
      <c r="D697" s="21" t="s">
        <v>267</v>
      </c>
      <c r="E697" s="21" t="s">
        <v>342</v>
      </c>
      <c r="F697" s="21" t="s">
        <v>327</v>
      </c>
      <c r="G697" s="27">
        <v>50</v>
      </c>
      <c r="H697" s="204"/>
    </row>
    <row r="698" spans="1:8" ht="78.75">
      <c r="A698" s="33" t="s">
        <v>343</v>
      </c>
      <c r="B698" s="17">
        <v>907</v>
      </c>
      <c r="C698" s="21" t="s">
        <v>316</v>
      </c>
      <c r="D698" s="21" t="s">
        <v>267</v>
      </c>
      <c r="E698" s="21" t="s">
        <v>344</v>
      </c>
      <c r="F698" s="21"/>
      <c r="G698" s="27">
        <f aca="true" t="shared" si="133" ref="G698:G702">G699</f>
        <v>197.3</v>
      </c>
      <c r="H698" s="204"/>
    </row>
    <row r="699" spans="1:8" ht="47.25">
      <c r="A699" s="26" t="s">
        <v>324</v>
      </c>
      <c r="B699" s="17">
        <v>907</v>
      </c>
      <c r="C699" s="21" t="s">
        <v>316</v>
      </c>
      <c r="D699" s="21" t="s">
        <v>267</v>
      </c>
      <c r="E699" s="21" t="s">
        <v>344</v>
      </c>
      <c r="F699" s="21" t="s">
        <v>325</v>
      </c>
      <c r="G699" s="27">
        <f>G700</f>
        <v>197.3</v>
      </c>
      <c r="H699" s="204"/>
    </row>
    <row r="700" spans="1:10" ht="15.75">
      <c r="A700" s="26" t="s">
        <v>326</v>
      </c>
      <c r="B700" s="17">
        <v>907</v>
      </c>
      <c r="C700" s="21" t="s">
        <v>316</v>
      </c>
      <c r="D700" s="21" t="s">
        <v>267</v>
      </c>
      <c r="E700" s="21" t="s">
        <v>344</v>
      </c>
      <c r="F700" s="21" t="s">
        <v>327</v>
      </c>
      <c r="G700" s="27">
        <f>200-2.7</f>
        <v>197.3</v>
      </c>
      <c r="H700" s="204"/>
      <c r="I700" s="138"/>
      <c r="J700" s="139"/>
    </row>
    <row r="701" spans="1:8" ht="110.25">
      <c r="A701" s="33" t="s">
        <v>517</v>
      </c>
      <c r="B701" s="17">
        <v>907</v>
      </c>
      <c r="C701" s="21" t="s">
        <v>316</v>
      </c>
      <c r="D701" s="21" t="s">
        <v>267</v>
      </c>
      <c r="E701" s="21" t="s">
        <v>346</v>
      </c>
      <c r="F701" s="21"/>
      <c r="G701" s="27">
        <f>G702</f>
        <v>479.8</v>
      </c>
      <c r="H701" s="204"/>
    </row>
    <row r="702" spans="1:8" ht="47.25">
      <c r="A702" s="26" t="s">
        <v>324</v>
      </c>
      <c r="B702" s="17">
        <v>907</v>
      </c>
      <c r="C702" s="21" t="s">
        <v>316</v>
      </c>
      <c r="D702" s="21" t="s">
        <v>267</v>
      </c>
      <c r="E702" s="21" t="s">
        <v>346</v>
      </c>
      <c r="F702" s="21" t="s">
        <v>325</v>
      </c>
      <c r="G702" s="27">
        <f t="shared" si="133"/>
        <v>479.8</v>
      </c>
      <c r="H702" s="204"/>
    </row>
    <row r="703" spans="1:9" ht="15.75">
      <c r="A703" s="26" t="s">
        <v>326</v>
      </c>
      <c r="B703" s="17">
        <v>907</v>
      </c>
      <c r="C703" s="21" t="s">
        <v>316</v>
      </c>
      <c r="D703" s="21" t="s">
        <v>267</v>
      </c>
      <c r="E703" s="21" t="s">
        <v>346</v>
      </c>
      <c r="F703" s="21" t="s">
        <v>327</v>
      </c>
      <c r="G703" s="27">
        <f>500-20.2</f>
        <v>479.8</v>
      </c>
      <c r="H703" s="204"/>
      <c r="I703" s="138"/>
    </row>
    <row r="704" spans="1:8" ht="15.75">
      <c r="A704" s="24" t="s">
        <v>543</v>
      </c>
      <c r="B704" s="20">
        <v>907</v>
      </c>
      <c r="C704" s="25" t="s">
        <v>544</v>
      </c>
      <c r="D704" s="21"/>
      <c r="E704" s="21"/>
      <c r="F704" s="21"/>
      <c r="G704" s="22">
        <f aca="true" t="shared" si="134" ref="G704">G705+G725</f>
        <v>34702.7</v>
      </c>
      <c r="H704" s="204"/>
    </row>
    <row r="705" spans="1:8" ht="15.75">
      <c r="A705" s="24" t="s">
        <v>545</v>
      </c>
      <c r="B705" s="20">
        <v>907</v>
      </c>
      <c r="C705" s="25" t="s">
        <v>544</v>
      </c>
      <c r="D705" s="25" t="s">
        <v>170</v>
      </c>
      <c r="E705" s="21"/>
      <c r="F705" s="21"/>
      <c r="G705" s="22">
        <f>G706+G721</f>
        <v>23173.9</v>
      </c>
      <c r="H705" s="204"/>
    </row>
    <row r="706" spans="1:8" ht="47.25">
      <c r="A706" s="26" t="s">
        <v>534</v>
      </c>
      <c r="B706" s="17">
        <v>907</v>
      </c>
      <c r="C706" s="21" t="s">
        <v>544</v>
      </c>
      <c r="D706" s="21" t="s">
        <v>170</v>
      </c>
      <c r="E706" s="21" t="s">
        <v>535</v>
      </c>
      <c r="F706" s="21"/>
      <c r="G706" s="27">
        <f>G707</f>
        <v>22673.9</v>
      </c>
      <c r="H706" s="204"/>
    </row>
    <row r="707" spans="1:8" ht="47.25">
      <c r="A707" s="26" t="s">
        <v>546</v>
      </c>
      <c r="B707" s="17">
        <v>907</v>
      </c>
      <c r="C707" s="21" t="s">
        <v>544</v>
      </c>
      <c r="D707" s="21" t="s">
        <v>170</v>
      </c>
      <c r="E707" s="21" t="s">
        <v>547</v>
      </c>
      <c r="F707" s="21"/>
      <c r="G707" s="27">
        <f>G708+G711+G714+G717</f>
        <v>22673.9</v>
      </c>
      <c r="H707" s="204"/>
    </row>
    <row r="708" spans="1:8" ht="47.25">
      <c r="A708" s="26" t="s">
        <v>548</v>
      </c>
      <c r="B708" s="17">
        <v>907</v>
      </c>
      <c r="C708" s="21" t="s">
        <v>544</v>
      </c>
      <c r="D708" s="21" t="s">
        <v>170</v>
      </c>
      <c r="E708" s="21" t="s">
        <v>549</v>
      </c>
      <c r="F708" s="21"/>
      <c r="G708" s="27">
        <f>G709</f>
        <v>22376.4</v>
      </c>
      <c r="H708" s="204"/>
    </row>
    <row r="709" spans="1:8" ht="47.25">
      <c r="A709" s="26" t="s">
        <v>324</v>
      </c>
      <c r="B709" s="17">
        <v>907</v>
      </c>
      <c r="C709" s="21" t="s">
        <v>544</v>
      </c>
      <c r="D709" s="21" t="s">
        <v>170</v>
      </c>
      <c r="E709" s="21" t="s">
        <v>549</v>
      </c>
      <c r="F709" s="21" t="s">
        <v>325</v>
      </c>
      <c r="G709" s="27">
        <f aca="true" t="shared" si="135" ref="G709">G710</f>
        <v>22376.4</v>
      </c>
      <c r="H709" s="204"/>
    </row>
    <row r="710" spans="1:9" ht="15.75">
      <c r="A710" s="26" t="s">
        <v>326</v>
      </c>
      <c r="B710" s="17">
        <v>907</v>
      </c>
      <c r="C710" s="21" t="s">
        <v>544</v>
      </c>
      <c r="D710" s="21" t="s">
        <v>170</v>
      </c>
      <c r="E710" s="21" t="s">
        <v>549</v>
      </c>
      <c r="F710" s="21" t="s">
        <v>327</v>
      </c>
      <c r="G710" s="189">
        <f>10890+1490.1+9887.3-199+308</f>
        <v>22376.4</v>
      </c>
      <c r="H710" s="129" t="s">
        <v>831</v>
      </c>
      <c r="I710" s="148"/>
    </row>
    <row r="711" spans="1:8" ht="47.25">
      <c r="A711" s="26" t="s">
        <v>330</v>
      </c>
      <c r="B711" s="17">
        <v>907</v>
      </c>
      <c r="C711" s="21" t="s">
        <v>544</v>
      </c>
      <c r="D711" s="21" t="s">
        <v>170</v>
      </c>
      <c r="E711" s="21" t="s">
        <v>550</v>
      </c>
      <c r="F711" s="21"/>
      <c r="G711" s="27">
        <f aca="true" t="shared" si="136" ref="G711:G712">G712</f>
        <v>297.5</v>
      </c>
      <c r="H711" s="204"/>
    </row>
    <row r="712" spans="1:8" ht="47.25">
      <c r="A712" s="26" t="s">
        <v>324</v>
      </c>
      <c r="B712" s="17">
        <v>907</v>
      </c>
      <c r="C712" s="21" t="s">
        <v>544</v>
      </c>
      <c r="D712" s="21" t="s">
        <v>170</v>
      </c>
      <c r="E712" s="21" t="s">
        <v>550</v>
      </c>
      <c r="F712" s="21" t="s">
        <v>325</v>
      </c>
      <c r="G712" s="27">
        <f t="shared" si="136"/>
        <v>297.5</v>
      </c>
      <c r="H712" s="204"/>
    </row>
    <row r="713" spans="1:8" ht="15.75">
      <c r="A713" s="26" t="s">
        <v>326</v>
      </c>
      <c r="B713" s="17">
        <v>907</v>
      </c>
      <c r="C713" s="21" t="s">
        <v>544</v>
      </c>
      <c r="D713" s="21" t="s">
        <v>170</v>
      </c>
      <c r="E713" s="21" t="s">
        <v>550</v>
      </c>
      <c r="F713" s="21" t="s">
        <v>327</v>
      </c>
      <c r="G713" s="184">
        <f>797.5-500</f>
        <v>297.5</v>
      </c>
      <c r="H713" s="183" t="s">
        <v>829</v>
      </c>
    </row>
    <row r="714" spans="1:8" ht="31.5" hidden="1">
      <c r="A714" s="26" t="s">
        <v>332</v>
      </c>
      <c r="B714" s="17">
        <v>907</v>
      </c>
      <c r="C714" s="21" t="s">
        <v>544</v>
      </c>
      <c r="D714" s="21" t="s">
        <v>170</v>
      </c>
      <c r="E714" s="21" t="s">
        <v>551</v>
      </c>
      <c r="F714" s="21"/>
      <c r="G714" s="27">
        <f aca="true" t="shared" si="137" ref="G714:G715">G715</f>
        <v>0</v>
      </c>
      <c r="H714" s="204"/>
    </row>
    <row r="715" spans="1:8" ht="47.25" hidden="1">
      <c r="A715" s="26" t="s">
        <v>324</v>
      </c>
      <c r="B715" s="17">
        <v>907</v>
      </c>
      <c r="C715" s="21" t="s">
        <v>544</v>
      </c>
      <c r="D715" s="21" t="s">
        <v>170</v>
      </c>
      <c r="E715" s="21" t="s">
        <v>551</v>
      </c>
      <c r="F715" s="21" t="s">
        <v>325</v>
      </c>
      <c r="G715" s="27">
        <f t="shared" si="137"/>
        <v>0</v>
      </c>
      <c r="H715" s="204"/>
    </row>
    <row r="716" spans="1:8" ht="15.75" hidden="1">
      <c r="A716" s="26" t="s">
        <v>326</v>
      </c>
      <c r="B716" s="17">
        <v>907</v>
      </c>
      <c r="C716" s="21" t="s">
        <v>544</v>
      </c>
      <c r="D716" s="21" t="s">
        <v>170</v>
      </c>
      <c r="E716" s="21" t="s">
        <v>551</v>
      </c>
      <c r="F716" s="21" t="s">
        <v>327</v>
      </c>
      <c r="G716" s="27">
        <v>0</v>
      </c>
      <c r="H716" s="204"/>
    </row>
    <row r="717" spans="1:8" ht="31.5" hidden="1">
      <c r="A717" s="26" t="s">
        <v>336</v>
      </c>
      <c r="B717" s="17">
        <v>907</v>
      </c>
      <c r="C717" s="21" t="s">
        <v>544</v>
      </c>
      <c r="D717" s="21" t="s">
        <v>170</v>
      </c>
      <c r="E717" s="21" t="s">
        <v>552</v>
      </c>
      <c r="F717" s="21"/>
      <c r="G717" s="27">
        <f aca="true" t="shared" si="138" ref="G717:G718">G718</f>
        <v>0</v>
      </c>
      <c r="H717" s="204"/>
    </row>
    <row r="718" spans="1:8" ht="47.25" hidden="1">
      <c r="A718" s="26" t="s">
        <v>324</v>
      </c>
      <c r="B718" s="17">
        <v>907</v>
      </c>
      <c r="C718" s="21" t="s">
        <v>544</v>
      </c>
      <c r="D718" s="21" t="s">
        <v>170</v>
      </c>
      <c r="E718" s="21" t="s">
        <v>552</v>
      </c>
      <c r="F718" s="21" t="s">
        <v>325</v>
      </c>
      <c r="G718" s="27">
        <f t="shared" si="138"/>
        <v>0</v>
      </c>
      <c r="H718" s="204"/>
    </row>
    <row r="719" spans="1:8" ht="15.75" hidden="1">
      <c r="A719" s="26" t="s">
        <v>326</v>
      </c>
      <c r="B719" s="17">
        <v>907</v>
      </c>
      <c r="C719" s="21" t="s">
        <v>544</v>
      </c>
      <c r="D719" s="21" t="s">
        <v>170</v>
      </c>
      <c r="E719" s="21" t="s">
        <v>552</v>
      </c>
      <c r="F719" s="21" t="s">
        <v>327</v>
      </c>
      <c r="G719" s="27">
        <v>0</v>
      </c>
      <c r="H719" s="204"/>
    </row>
    <row r="720" spans="1:8" ht="15.75">
      <c r="A720" s="26" t="s">
        <v>173</v>
      </c>
      <c r="B720" s="17">
        <v>907</v>
      </c>
      <c r="C720" s="21" t="s">
        <v>544</v>
      </c>
      <c r="D720" s="21" t="s">
        <v>170</v>
      </c>
      <c r="E720" s="21" t="s">
        <v>174</v>
      </c>
      <c r="F720" s="21"/>
      <c r="G720" s="27">
        <f>G721</f>
        <v>500</v>
      </c>
      <c r="H720" s="204"/>
    </row>
    <row r="721" spans="1:8" ht="31.5">
      <c r="A721" s="26" t="s">
        <v>237</v>
      </c>
      <c r="B721" s="17">
        <v>907</v>
      </c>
      <c r="C721" s="21" t="s">
        <v>544</v>
      </c>
      <c r="D721" s="21" t="s">
        <v>170</v>
      </c>
      <c r="E721" s="21" t="s">
        <v>238</v>
      </c>
      <c r="F721" s="21"/>
      <c r="G721" s="27">
        <f>G722</f>
        <v>500</v>
      </c>
      <c r="H721" s="204"/>
    </row>
    <row r="722" spans="1:8" ht="31.5">
      <c r="A722" s="26" t="s">
        <v>828</v>
      </c>
      <c r="B722" s="17">
        <v>907</v>
      </c>
      <c r="C722" s="21" t="s">
        <v>544</v>
      </c>
      <c r="D722" s="21" t="s">
        <v>170</v>
      </c>
      <c r="E722" s="21" t="s">
        <v>826</v>
      </c>
      <c r="F722" s="21"/>
      <c r="G722" s="27">
        <f>G724</f>
        <v>500</v>
      </c>
      <c r="H722" s="204"/>
    </row>
    <row r="723" spans="1:8" ht="47.25">
      <c r="A723" s="26" t="s">
        <v>324</v>
      </c>
      <c r="B723" s="17">
        <v>907</v>
      </c>
      <c r="C723" s="21" t="s">
        <v>544</v>
      </c>
      <c r="D723" s="21" t="s">
        <v>170</v>
      </c>
      <c r="E723" s="21" t="s">
        <v>826</v>
      </c>
      <c r="F723" s="21" t="s">
        <v>325</v>
      </c>
      <c r="G723" s="27">
        <f>G724</f>
        <v>500</v>
      </c>
      <c r="H723" s="204"/>
    </row>
    <row r="724" spans="1:8" ht="15.75">
      <c r="A724" s="26" t="s">
        <v>326</v>
      </c>
      <c r="B724" s="17">
        <v>907</v>
      </c>
      <c r="C724" s="21" t="s">
        <v>544</v>
      </c>
      <c r="D724" s="21" t="s">
        <v>170</v>
      </c>
      <c r="E724" s="21" t="s">
        <v>826</v>
      </c>
      <c r="F724" s="21" t="s">
        <v>327</v>
      </c>
      <c r="G724" s="184">
        <v>500</v>
      </c>
      <c r="H724" s="183" t="s">
        <v>830</v>
      </c>
    </row>
    <row r="725" spans="1:8" ht="31.5">
      <c r="A725" s="24" t="s">
        <v>553</v>
      </c>
      <c r="B725" s="20">
        <v>907</v>
      </c>
      <c r="C725" s="25" t="s">
        <v>544</v>
      </c>
      <c r="D725" s="25" t="s">
        <v>286</v>
      </c>
      <c r="E725" s="25"/>
      <c r="F725" s="25"/>
      <c r="G725" s="22">
        <f aca="true" t="shared" si="139" ref="G725">G733+G726</f>
        <v>11528.8</v>
      </c>
      <c r="H725" s="204"/>
    </row>
    <row r="726" spans="1:8" ht="47.25">
      <c r="A726" s="31" t="s">
        <v>534</v>
      </c>
      <c r="B726" s="17">
        <v>907</v>
      </c>
      <c r="C726" s="21" t="s">
        <v>544</v>
      </c>
      <c r="D726" s="21" t="s">
        <v>286</v>
      </c>
      <c r="E726" s="42" t="s">
        <v>535</v>
      </c>
      <c r="F726" s="21"/>
      <c r="G726" s="27">
        <f aca="true" t="shared" si="140" ref="G726:G727">G727</f>
        <v>3047</v>
      </c>
      <c r="H726" s="204"/>
    </row>
    <row r="727" spans="1:8" ht="47.25">
      <c r="A727" s="47" t="s">
        <v>554</v>
      </c>
      <c r="B727" s="17">
        <v>907</v>
      </c>
      <c r="C727" s="21" t="s">
        <v>544</v>
      </c>
      <c r="D727" s="21" t="s">
        <v>286</v>
      </c>
      <c r="E727" s="42" t="s">
        <v>555</v>
      </c>
      <c r="F727" s="21"/>
      <c r="G727" s="27">
        <f t="shared" si="140"/>
        <v>3047</v>
      </c>
      <c r="H727" s="204"/>
    </row>
    <row r="728" spans="1:8" ht="31.5">
      <c r="A728" s="31" t="s">
        <v>209</v>
      </c>
      <c r="B728" s="17">
        <v>907</v>
      </c>
      <c r="C728" s="21" t="s">
        <v>544</v>
      </c>
      <c r="D728" s="21" t="s">
        <v>286</v>
      </c>
      <c r="E728" s="42" t="s">
        <v>556</v>
      </c>
      <c r="F728" s="21"/>
      <c r="G728" s="27">
        <f>G731+G729</f>
        <v>3047</v>
      </c>
      <c r="H728" s="204"/>
    </row>
    <row r="729" spans="1:8" ht="94.5">
      <c r="A729" s="26" t="s">
        <v>179</v>
      </c>
      <c r="B729" s="17">
        <v>907</v>
      </c>
      <c r="C729" s="21" t="s">
        <v>544</v>
      </c>
      <c r="D729" s="21" t="s">
        <v>286</v>
      </c>
      <c r="E729" s="42" t="s">
        <v>556</v>
      </c>
      <c r="F729" s="21" t="s">
        <v>180</v>
      </c>
      <c r="G729" s="27">
        <f>G730</f>
        <v>2111</v>
      </c>
      <c r="H729" s="204"/>
    </row>
    <row r="730" spans="1:9" ht="31.5">
      <c r="A730" s="26" t="s">
        <v>181</v>
      </c>
      <c r="B730" s="17">
        <v>907</v>
      </c>
      <c r="C730" s="21" t="s">
        <v>544</v>
      </c>
      <c r="D730" s="21" t="s">
        <v>286</v>
      </c>
      <c r="E730" s="42" t="s">
        <v>556</v>
      </c>
      <c r="F730" s="21" t="s">
        <v>182</v>
      </c>
      <c r="G730" s="27">
        <v>2111</v>
      </c>
      <c r="H730" s="204"/>
      <c r="I730" s="138"/>
    </row>
    <row r="731" spans="1:8" ht="31.5">
      <c r="A731" s="31" t="s">
        <v>183</v>
      </c>
      <c r="B731" s="17">
        <v>907</v>
      </c>
      <c r="C731" s="21" t="s">
        <v>544</v>
      </c>
      <c r="D731" s="21" t="s">
        <v>286</v>
      </c>
      <c r="E731" s="42" t="s">
        <v>556</v>
      </c>
      <c r="F731" s="21" t="s">
        <v>184</v>
      </c>
      <c r="G731" s="27">
        <f aca="true" t="shared" si="141" ref="G731">G732</f>
        <v>936</v>
      </c>
      <c r="H731" s="204"/>
    </row>
    <row r="732" spans="1:9" ht="47.25">
      <c r="A732" s="31" t="s">
        <v>185</v>
      </c>
      <c r="B732" s="17">
        <v>907</v>
      </c>
      <c r="C732" s="21" t="s">
        <v>544</v>
      </c>
      <c r="D732" s="21" t="s">
        <v>286</v>
      </c>
      <c r="E732" s="42" t="s">
        <v>556</v>
      </c>
      <c r="F732" s="21" t="s">
        <v>186</v>
      </c>
      <c r="G732" s="27">
        <f>3047-2111</f>
        <v>936</v>
      </c>
      <c r="H732" s="204"/>
      <c r="I732" s="138"/>
    </row>
    <row r="733" spans="1:8" ht="15.75">
      <c r="A733" s="26" t="s">
        <v>173</v>
      </c>
      <c r="B733" s="17">
        <v>907</v>
      </c>
      <c r="C733" s="21" t="s">
        <v>544</v>
      </c>
      <c r="D733" s="21" t="s">
        <v>286</v>
      </c>
      <c r="E733" s="21" t="s">
        <v>174</v>
      </c>
      <c r="F733" s="21"/>
      <c r="G733" s="27">
        <f>G734+G740</f>
        <v>8481.8</v>
      </c>
      <c r="H733" s="204"/>
    </row>
    <row r="734" spans="1:8" ht="31.5">
      <c r="A734" s="26" t="s">
        <v>175</v>
      </c>
      <c r="B734" s="17">
        <v>907</v>
      </c>
      <c r="C734" s="21" t="s">
        <v>544</v>
      </c>
      <c r="D734" s="21" t="s">
        <v>286</v>
      </c>
      <c r="E734" s="21" t="s">
        <v>176</v>
      </c>
      <c r="F734" s="21"/>
      <c r="G734" s="27">
        <f>G735</f>
        <v>3599.8</v>
      </c>
      <c r="H734" s="204"/>
    </row>
    <row r="735" spans="1:8" ht="47.25">
      <c r="A735" s="26" t="s">
        <v>177</v>
      </c>
      <c r="B735" s="17">
        <v>907</v>
      </c>
      <c r="C735" s="21" t="s">
        <v>544</v>
      </c>
      <c r="D735" s="21" t="s">
        <v>286</v>
      </c>
      <c r="E735" s="21" t="s">
        <v>178</v>
      </c>
      <c r="F735" s="21"/>
      <c r="G735" s="27">
        <f aca="true" t="shared" si="142" ref="G735">G736+G738</f>
        <v>3599.8</v>
      </c>
      <c r="H735" s="204"/>
    </row>
    <row r="736" spans="1:8" ht="94.5">
      <c r="A736" s="26" t="s">
        <v>179</v>
      </c>
      <c r="B736" s="17">
        <v>907</v>
      </c>
      <c r="C736" s="21" t="s">
        <v>544</v>
      </c>
      <c r="D736" s="21" t="s">
        <v>286</v>
      </c>
      <c r="E736" s="21" t="s">
        <v>178</v>
      </c>
      <c r="F736" s="21" t="s">
        <v>180</v>
      </c>
      <c r="G736" s="27">
        <f>G737</f>
        <v>3599.8</v>
      </c>
      <c r="H736" s="204"/>
    </row>
    <row r="737" spans="1:8" ht="31.5">
      <c r="A737" s="26" t="s">
        <v>181</v>
      </c>
      <c r="B737" s="17">
        <v>907</v>
      </c>
      <c r="C737" s="21" t="s">
        <v>544</v>
      </c>
      <c r="D737" s="21" t="s">
        <v>286</v>
      </c>
      <c r="E737" s="21" t="s">
        <v>178</v>
      </c>
      <c r="F737" s="21" t="s">
        <v>182</v>
      </c>
      <c r="G737" s="28">
        <v>3599.8</v>
      </c>
      <c r="H737" s="204"/>
    </row>
    <row r="738" spans="1:8" ht="31.5" hidden="1">
      <c r="A738" s="26" t="s">
        <v>183</v>
      </c>
      <c r="B738" s="17">
        <v>907</v>
      </c>
      <c r="C738" s="21" t="s">
        <v>544</v>
      </c>
      <c r="D738" s="21" t="s">
        <v>286</v>
      </c>
      <c r="E738" s="21" t="s">
        <v>178</v>
      </c>
      <c r="F738" s="21" t="s">
        <v>184</v>
      </c>
      <c r="G738" s="27">
        <f aca="true" t="shared" si="143" ref="G738">G739</f>
        <v>0</v>
      </c>
      <c r="H738" s="204"/>
    </row>
    <row r="739" spans="1:8" ht="47.25" hidden="1">
      <c r="A739" s="26" t="s">
        <v>185</v>
      </c>
      <c r="B739" s="17">
        <v>907</v>
      </c>
      <c r="C739" s="21" t="s">
        <v>544</v>
      </c>
      <c r="D739" s="21" t="s">
        <v>286</v>
      </c>
      <c r="E739" s="21" t="s">
        <v>178</v>
      </c>
      <c r="F739" s="21" t="s">
        <v>186</v>
      </c>
      <c r="G739" s="27"/>
      <c r="H739" s="204"/>
    </row>
    <row r="740" spans="1:8" ht="15.75">
      <c r="A740" s="26" t="s">
        <v>193</v>
      </c>
      <c r="B740" s="17">
        <v>907</v>
      </c>
      <c r="C740" s="21" t="s">
        <v>544</v>
      </c>
      <c r="D740" s="21" t="s">
        <v>286</v>
      </c>
      <c r="E740" s="21" t="s">
        <v>194</v>
      </c>
      <c r="F740" s="21"/>
      <c r="G740" s="27">
        <f>G741</f>
        <v>4882</v>
      </c>
      <c r="H740" s="204"/>
    </row>
    <row r="741" spans="1:11" ht="31.5">
      <c r="A741" s="26" t="s">
        <v>392</v>
      </c>
      <c r="B741" s="17">
        <v>907</v>
      </c>
      <c r="C741" s="21" t="s">
        <v>544</v>
      </c>
      <c r="D741" s="21" t="s">
        <v>286</v>
      </c>
      <c r="E741" s="21" t="s">
        <v>393</v>
      </c>
      <c r="F741" s="21"/>
      <c r="G741" s="27">
        <f>G742+G744+G746</f>
        <v>4882</v>
      </c>
      <c r="H741" s="204"/>
      <c r="J741" s="335"/>
      <c r="K741" s="335"/>
    </row>
    <row r="742" spans="1:11" ht="94.5">
      <c r="A742" s="26" t="s">
        <v>179</v>
      </c>
      <c r="B742" s="17">
        <v>907</v>
      </c>
      <c r="C742" s="21" t="s">
        <v>544</v>
      </c>
      <c r="D742" s="21" t="s">
        <v>286</v>
      </c>
      <c r="E742" s="21" t="s">
        <v>393</v>
      </c>
      <c r="F742" s="21" t="s">
        <v>180</v>
      </c>
      <c r="G742" s="27">
        <f>G743</f>
        <v>3660.7</v>
      </c>
      <c r="H742" s="204"/>
      <c r="J742" s="335"/>
      <c r="K742" s="335"/>
    </row>
    <row r="743" spans="1:11" ht="31.5">
      <c r="A743" s="26" t="s">
        <v>394</v>
      </c>
      <c r="B743" s="17">
        <v>907</v>
      </c>
      <c r="C743" s="21" t="s">
        <v>544</v>
      </c>
      <c r="D743" s="21" t="s">
        <v>286</v>
      </c>
      <c r="E743" s="21" t="s">
        <v>393</v>
      </c>
      <c r="F743" s="21" t="s">
        <v>261</v>
      </c>
      <c r="G743" s="28">
        <f>4240.2-579.5</f>
        <v>3660.7</v>
      </c>
      <c r="H743" s="129"/>
      <c r="I743" s="147"/>
      <c r="J743" s="335"/>
      <c r="K743" s="335"/>
    </row>
    <row r="744" spans="1:11" ht="31.5">
      <c r="A744" s="26" t="s">
        <v>183</v>
      </c>
      <c r="B744" s="17">
        <v>907</v>
      </c>
      <c r="C744" s="21" t="s">
        <v>544</v>
      </c>
      <c r="D744" s="21" t="s">
        <v>286</v>
      </c>
      <c r="E744" s="21" t="s">
        <v>393</v>
      </c>
      <c r="F744" s="21" t="s">
        <v>184</v>
      </c>
      <c r="G744" s="27">
        <f>G745</f>
        <v>1194.1999999999998</v>
      </c>
      <c r="H744" s="204"/>
      <c r="J744" s="335"/>
      <c r="K744" s="335"/>
    </row>
    <row r="745" spans="1:11" ht="47.25">
      <c r="A745" s="26" t="s">
        <v>185</v>
      </c>
      <c r="B745" s="17">
        <v>907</v>
      </c>
      <c r="C745" s="21" t="s">
        <v>544</v>
      </c>
      <c r="D745" s="21" t="s">
        <v>286</v>
      </c>
      <c r="E745" s="21" t="s">
        <v>393</v>
      </c>
      <c r="F745" s="21" t="s">
        <v>186</v>
      </c>
      <c r="G745" s="28">
        <f>1339.6-145.4</f>
        <v>1194.1999999999998</v>
      </c>
      <c r="H745" s="129"/>
      <c r="I745" s="147"/>
      <c r="J745" s="335"/>
      <c r="K745" s="335"/>
    </row>
    <row r="746" spans="1:11" ht="15.75">
      <c r="A746" s="26" t="s">
        <v>187</v>
      </c>
      <c r="B746" s="17">
        <v>907</v>
      </c>
      <c r="C746" s="21" t="s">
        <v>544</v>
      </c>
      <c r="D746" s="21" t="s">
        <v>286</v>
      </c>
      <c r="E746" s="21" t="s">
        <v>393</v>
      </c>
      <c r="F746" s="21" t="s">
        <v>197</v>
      </c>
      <c r="G746" s="27">
        <f>G747</f>
        <v>27.1</v>
      </c>
      <c r="H746" s="204"/>
      <c r="J746" s="335"/>
      <c r="K746" s="335"/>
    </row>
    <row r="747" spans="1:11" ht="15.75">
      <c r="A747" s="26" t="s">
        <v>621</v>
      </c>
      <c r="B747" s="17">
        <v>907</v>
      </c>
      <c r="C747" s="21" t="s">
        <v>544</v>
      </c>
      <c r="D747" s="21" t="s">
        <v>286</v>
      </c>
      <c r="E747" s="21" t="s">
        <v>393</v>
      </c>
      <c r="F747" s="21" t="s">
        <v>190</v>
      </c>
      <c r="G747" s="27">
        <f>27.1</f>
        <v>27.1</v>
      </c>
      <c r="H747" s="129"/>
      <c r="I747" s="147"/>
      <c r="J747" s="335"/>
      <c r="K747" s="335"/>
    </row>
    <row r="748" spans="1:12" ht="47.25">
      <c r="A748" s="20" t="s">
        <v>557</v>
      </c>
      <c r="B748" s="20">
        <v>908</v>
      </c>
      <c r="C748" s="21"/>
      <c r="D748" s="21"/>
      <c r="E748" s="21"/>
      <c r="F748" s="21"/>
      <c r="G748" s="22">
        <f>G763+G770+G784+G918+G749</f>
        <v>143249.49000000002</v>
      </c>
      <c r="H748" s="204"/>
      <c r="L748" s="139"/>
    </row>
    <row r="749" spans="1:12" ht="15.75">
      <c r="A749" s="36" t="s">
        <v>169</v>
      </c>
      <c r="B749" s="20">
        <v>908</v>
      </c>
      <c r="C749" s="25" t="s">
        <v>170</v>
      </c>
      <c r="D749" s="21"/>
      <c r="E749" s="21"/>
      <c r="F749" s="21"/>
      <c r="G749" s="22">
        <f>G750</f>
        <v>16714.8</v>
      </c>
      <c r="H749" s="204"/>
      <c r="L749" s="139"/>
    </row>
    <row r="750" spans="1:12" ht="15.75">
      <c r="A750" s="36" t="s">
        <v>191</v>
      </c>
      <c r="B750" s="20">
        <v>908</v>
      </c>
      <c r="C750" s="25" t="s">
        <v>170</v>
      </c>
      <c r="D750" s="25" t="s">
        <v>192</v>
      </c>
      <c r="E750" s="21"/>
      <c r="F750" s="21"/>
      <c r="G750" s="22">
        <f>G752+G755</f>
        <v>16714.8</v>
      </c>
      <c r="H750" s="204"/>
      <c r="L750" s="139"/>
    </row>
    <row r="751" spans="1:12" ht="15.75">
      <c r="A751" s="26" t="s">
        <v>193</v>
      </c>
      <c r="B751" s="17">
        <v>908</v>
      </c>
      <c r="C751" s="21" t="s">
        <v>170</v>
      </c>
      <c r="D751" s="21" t="s">
        <v>192</v>
      </c>
      <c r="E751" s="21" t="s">
        <v>194</v>
      </c>
      <c r="F751" s="21"/>
      <c r="G751" s="27">
        <f>G752</f>
        <v>262.5</v>
      </c>
      <c r="H751" s="204"/>
      <c r="L751" s="139"/>
    </row>
    <row r="752" spans="1:12" ht="15.75">
      <c r="A752" s="26" t="s">
        <v>195</v>
      </c>
      <c r="B752" s="17">
        <v>908</v>
      </c>
      <c r="C752" s="21" t="s">
        <v>170</v>
      </c>
      <c r="D752" s="21" t="s">
        <v>192</v>
      </c>
      <c r="E752" s="21" t="s">
        <v>196</v>
      </c>
      <c r="F752" s="21"/>
      <c r="G752" s="27">
        <f>G753</f>
        <v>262.5</v>
      </c>
      <c r="H752" s="204"/>
      <c r="L752" s="139"/>
    </row>
    <row r="753" spans="1:12" ht="15.75">
      <c r="A753" s="26" t="s">
        <v>187</v>
      </c>
      <c r="B753" s="17">
        <v>908</v>
      </c>
      <c r="C753" s="21" t="s">
        <v>170</v>
      </c>
      <c r="D753" s="21" t="s">
        <v>192</v>
      </c>
      <c r="E753" s="21" t="s">
        <v>196</v>
      </c>
      <c r="F753" s="21" t="s">
        <v>197</v>
      </c>
      <c r="G753" s="27">
        <f>G754</f>
        <v>262.5</v>
      </c>
      <c r="H753" s="204"/>
      <c r="L753" s="139"/>
    </row>
    <row r="754" spans="1:12" ht="15.75">
      <c r="A754" s="26" t="s">
        <v>621</v>
      </c>
      <c r="B754" s="17">
        <v>908</v>
      </c>
      <c r="C754" s="21" t="s">
        <v>170</v>
      </c>
      <c r="D754" s="21" t="s">
        <v>192</v>
      </c>
      <c r="E754" s="21" t="s">
        <v>196</v>
      </c>
      <c r="F754" s="21" t="s">
        <v>190</v>
      </c>
      <c r="G754" s="27">
        <v>262.5</v>
      </c>
      <c r="H754" s="129"/>
      <c r="I754" s="147"/>
      <c r="L754" s="139"/>
    </row>
    <row r="755" spans="1:8" ht="31.5">
      <c r="A755" s="26" t="s">
        <v>637</v>
      </c>
      <c r="B755" s="17">
        <v>908</v>
      </c>
      <c r="C755" s="21" t="s">
        <v>170</v>
      </c>
      <c r="D755" s="21" t="s">
        <v>192</v>
      </c>
      <c r="E755" s="21" t="s">
        <v>638</v>
      </c>
      <c r="F755" s="21"/>
      <c r="G755" s="28">
        <f>G756</f>
        <v>16452.3</v>
      </c>
      <c r="H755" s="204"/>
    </row>
    <row r="756" spans="1:8" ht="31.5">
      <c r="A756" s="26" t="s">
        <v>362</v>
      </c>
      <c r="B756" s="17">
        <v>908</v>
      </c>
      <c r="C756" s="21" t="s">
        <v>170</v>
      </c>
      <c r="D756" s="21" t="s">
        <v>192</v>
      </c>
      <c r="E756" s="21" t="s">
        <v>639</v>
      </c>
      <c r="F756" s="21"/>
      <c r="G756" s="28">
        <f>G757+G759+G761</f>
        <v>16452.3</v>
      </c>
      <c r="H756" s="204"/>
    </row>
    <row r="757" spans="1:8" ht="94.5">
      <c r="A757" s="26" t="s">
        <v>179</v>
      </c>
      <c r="B757" s="17">
        <v>908</v>
      </c>
      <c r="C757" s="21" t="s">
        <v>170</v>
      </c>
      <c r="D757" s="21" t="s">
        <v>192</v>
      </c>
      <c r="E757" s="21" t="s">
        <v>639</v>
      </c>
      <c r="F757" s="21" t="s">
        <v>180</v>
      </c>
      <c r="G757" s="28">
        <f>G758</f>
        <v>13760</v>
      </c>
      <c r="H757" s="204"/>
    </row>
    <row r="758" spans="1:12" ht="31.5">
      <c r="A758" s="48" t="s">
        <v>394</v>
      </c>
      <c r="B758" s="17">
        <v>908</v>
      </c>
      <c r="C758" s="21" t="s">
        <v>170</v>
      </c>
      <c r="D758" s="21" t="s">
        <v>192</v>
      </c>
      <c r="E758" s="21" t="s">
        <v>639</v>
      </c>
      <c r="F758" s="21" t="s">
        <v>261</v>
      </c>
      <c r="G758" s="192">
        <f>13403.8+356.2</f>
        <v>13760</v>
      </c>
      <c r="H758" s="129" t="s">
        <v>840</v>
      </c>
      <c r="I758" s="147"/>
      <c r="L758" s="139"/>
    </row>
    <row r="759" spans="1:12" ht="31.5">
      <c r="A759" s="26" t="s">
        <v>183</v>
      </c>
      <c r="B759" s="17">
        <v>908</v>
      </c>
      <c r="C759" s="21" t="s">
        <v>170</v>
      </c>
      <c r="D759" s="21" t="s">
        <v>192</v>
      </c>
      <c r="E759" s="21" t="s">
        <v>639</v>
      </c>
      <c r="F759" s="21" t="s">
        <v>184</v>
      </c>
      <c r="G759" s="28">
        <f>G760</f>
        <v>2678</v>
      </c>
      <c r="H759" s="204"/>
      <c r="L759" s="139"/>
    </row>
    <row r="760" spans="1:12" ht="47.25">
      <c r="A760" s="26" t="s">
        <v>185</v>
      </c>
      <c r="B760" s="17">
        <v>908</v>
      </c>
      <c r="C760" s="21" t="s">
        <v>170</v>
      </c>
      <c r="D760" s="21" t="s">
        <v>192</v>
      </c>
      <c r="E760" s="21" t="s">
        <v>639</v>
      </c>
      <c r="F760" s="21" t="s">
        <v>186</v>
      </c>
      <c r="G760" s="192">
        <f>3034.2-356.2</f>
        <v>2678</v>
      </c>
      <c r="H760" s="129" t="s">
        <v>841</v>
      </c>
      <c r="I760" s="147"/>
      <c r="L760" s="139"/>
    </row>
    <row r="761" spans="1:12" ht="15.75">
      <c r="A761" s="26" t="s">
        <v>187</v>
      </c>
      <c r="B761" s="17">
        <v>908</v>
      </c>
      <c r="C761" s="21" t="s">
        <v>170</v>
      </c>
      <c r="D761" s="21" t="s">
        <v>192</v>
      </c>
      <c r="E761" s="21" t="s">
        <v>639</v>
      </c>
      <c r="F761" s="21" t="s">
        <v>197</v>
      </c>
      <c r="G761" s="28">
        <f>G762</f>
        <v>14.3</v>
      </c>
      <c r="H761" s="204"/>
      <c r="L761" s="139"/>
    </row>
    <row r="762" spans="1:12" ht="15.75">
      <c r="A762" s="26" t="s">
        <v>801</v>
      </c>
      <c r="B762" s="17">
        <v>908</v>
      </c>
      <c r="C762" s="21" t="s">
        <v>170</v>
      </c>
      <c r="D762" s="21" t="s">
        <v>192</v>
      </c>
      <c r="E762" s="21" t="s">
        <v>639</v>
      </c>
      <c r="F762" s="21" t="s">
        <v>190</v>
      </c>
      <c r="G762" s="28">
        <v>14.3</v>
      </c>
      <c r="H762" s="129"/>
      <c r="I762" s="147"/>
      <c r="L762" s="139"/>
    </row>
    <row r="763" spans="1:8" ht="31.5">
      <c r="A763" s="24" t="s">
        <v>274</v>
      </c>
      <c r="B763" s="20">
        <v>908</v>
      </c>
      <c r="C763" s="25" t="s">
        <v>267</v>
      </c>
      <c r="D763" s="25"/>
      <c r="E763" s="25"/>
      <c r="F763" s="25"/>
      <c r="G763" s="22">
        <f aca="true" t="shared" si="144" ref="G763:G768">G764</f>
        <v>50</v>
      </c>
      <c r="H763" s="204"/>
    </row>
    <row r="764" spans="1:8" ht="63">
      <c r="A764" s="24" t="s">
        <v>275</v>
      </c>
      <c r="B764" s="20">
        <v>908</v>
      </c>
      <c r="C764" s="25" t="s">
        <v>267</v>
      </c>
      <c r="D764" s="25" t="s">
        <v>271</v>
      </c>
      <c r="E764" s="25"/>
      <c r="F764" s="25"/>
      <c r="G764" s="22">
        <f t="shared" si="144"/>
        <v>50</v>
      </c>
      <c r="H764" s="204"/>
    </row>
    <row r="765" spans="1:8" ht="21.75" customHeight="1">
      <c r="A765" s="26" t="s">
        <v>173</v>
      </c>
      <c r="B765" s="17">
        <v>908</v>
      </c>
      <c r="C765" s="21" t="s">
        <v>267</v>
      </c>
      <c r="D765" s="21" t="s">
        <v>271</v>
      </c>
      <c r="E765" s="21" t="s">
        <v>174</v>
      </c>
      <c r="F765" s="21"/>
      <c r="G765" s="27">
        <f t="shared" si="144"/>
        <v>50</v>
      </c>
      <c r="H765" s="204"/>
    </row>
    <row r="766" spans="1:8" ht="15.75">
      <c r="A766" s="26" t="s">
        <v>193</v>
      </c>
      <c r="B766" s="17">
        <v>908</v>
      </c>
      <c r="C766" s="21" t="s">
        <v>267</v>
      </c>
      <c r="D766" s="21" t="s">
        <v>271</v>
      </c>
      <c r="E766" s="21" t="s">
        <v>194</v>
      </c>
      <c r="F766" s="21"/>
      <c r="G766" s="27">
        <f t="shared" si="144"/>
        <v>50</v>
      </c>
      <c r="H766" s="204"/>
    </row>
    <row r="767" spans="1:8" ht="15.75">
      <c r="A767" s="26" t="s">
        <v>282</v>
      </c>
      <c r="B767" s="17">
        <v>908</v>
      </c>
      <c r="C767" s="21" t="s">
        <v>267</v>
      </c>
      <c r="D767" s="21" t="s">
        <v>271</v>
      </c>
      <c r="E767" s="21" t="s">
        <v>283</v>
      </c>
      <c r="F767" s="21"/>
      <c r="G767" s="27">
        <f t="shared" si="144"/>
        <v>50</v>
      </c>
      <c r="H767" s="204"/>
    </row>
    <row r="768" spans="1:8" ht="31.5">
      <c r="A768" s="26" t="s">
        <v>183</v>
      </c>
      <c r="B768" s="17">
        <v>908</v>
      </c>
      <c r="C768" s="21" t="s">
        <v>267</v>
      </c>
      <c r="D768" s="21" t="s">
        <v>271</v>
      </c>
      <c r="E768" s="21" t="s">
        <v>283</v>
      </c>
      <c r="F768" s="21" t="s">
        <v>184</v>
      </c>
      <c r="G768" s="27">
        <f t="shared" si="144"/>
        <v>50</v>
      </c>
      <c r="H768" s="204"/>
    </row>
    <row r="769" spans="1:8" ht="47.25">
      <c r="A769" s="26" t="s">
        <v>185</v>
      </c>
      <c r="B769" s="17">
        <v>908</v>
      </c>
      <c r="C769" s="21" t="s">
        <v>267</v>
      </c>
      <c r="D769" s="21" t="s">
        <v>271</v>
      </c>
      <c r="E769" s="21" t="s">
        <v>283</v>
      </c>
      <c r="F769" s="21" t="s">
        <v>186</v>
      </c>
      <c r="G769" s="27">
        <v>50</v>
      </c>
      <c r="H769" s="204"/>
    </row>
    <row r="770" spans="1:8" ht="15.75">
      <c r="A770" s="24" t="s">
        <v>284</v>
      </c>
      <c r="B770" s="20">
        <v>908</v>
      </c>
      <c r="C770" s="25" t="s">
        <v>202</v>
      </c>
      <c r="D770" s="25"/>
      <c r="E770" s="25"/>
      <c r="F770" s="25"/>
      <c r="G770" s="22">
        <f>G771+G777</f>
        <v>18331.8</v>
      </c>
      <c r="H770" s="204"/>
    </row>
    <row r="771" spans="1:8" ht="15.75">
      <c r="A771" s="24" t="s">
        <v>558</v>
      </c>
      <c r="B771" s="20">
        <v>908</v>
      </c>
      <c r="C771" s="25" t="s">
        <v>202</v>
      </c>
      <c r="D771" s="25" t="s">
        <v>351</v>
      </c>
      <c r="E771" s="25"/>
      <c r="F771" s="25"/>
      <c r="G771" s="22">
        <f>G772</f>
        <v>3207.7</v>
      </c>
      <c r="H771" s="204"/>
    </row>
    <row r="772" spans="1:8" ht="15.75">
      <c r="A772" s="26" t="s">
        <v>173</v>
      </c>
      <c r="B772" s="17">
        <v>908</v>
      </c>
      <c r="C772" s="21" t="s">
        <v>202</v>
      </c>
      <c r="D772" s="21" t="s">
        <v>351</v>
      </c>
      <c r="E772" s="21" t="s">
        <v>174</v>
      </c>
      <c r="F772" s="25"/>
      <c r="G772" s="27">
        <f>G773</f>
        <v>3207.7</v>
      </c>
      <c r="H772" s="204"/>
    </row>
    <row r="773" spans="1:8" ht="15.75">
      <c r="A773" s="26" t="s">
        <v>193</v>
      </c>
      <c r="B773" s="17">
        <v>908</v>
      </c>
      <c r="C773" s="21" t="s">
        <v>202</v>
      </c>
      <c r="D773" s="21" t="s">
        <v>351</v>
      </c>
      <c r="E773" s="21" t="s">
        <v>194</v>
      </c>
      <c r="F773" s="25"/>
      <c r="G773" s="27">
        <f>G774</f>
        <v>3207.7</v>
      </c>
      <c r="H773" s="204"/>
    </row>
    <row r="774" spans="1:8" ht="39" customHeight="1">
      <c r="A774" s="26" t="s">
        <v>559</v>
      </c>
      <c r="B774" s="17">
        <v>908</v>
      </c>
      <c r="C774" s="21" t="s">
        <v>202</v>
      </c>
      <c r="D774" s="21" t="s">
        <v>351</v>
      </c>
      <c r="E774" s="21" t="s">
        <v>560</v>
      </c>
      <c r="F774" s="21"/>
      <c r="G774" s="27">
        <f>G775</f>
        <v>3207.7</v>
      </c>
      <c r="H774" s="204"/>
    </row>
    <row r="775" spans="1:8" ht="31.5">
      <c r="A775" s="26" t="s">
        <v>183</v>
      </c>
      <c r="B775" s="17">
        <v>908</v>
      </c>
      <c r="C775" s="21" t="s">
        <v>202</v>
      </c>
      <c r="D775" s="21" t="s">
        <v>351</v>
      </c>
      <c r="E775" s="21" t="s">
        <v>560</v>
      </c>
      <c r="F775" s="21" t="s">
        <v>184</v>
      </c>
      <c r="G775" s="27">
        <f>G776</f>
        <v>3207.7</v>
      </c>
      <c r="H775" s="204"/>
    </row>
    <row r="776" spans="1:8" ht="47.25">
      <c r="A776" s="26" t="s">
        <v>185</v>
      </c>
      <c r="B776" s="17">
        <v>908</v>
      </c>
      <c r="C776" s="21" t="s">
        <v>202</v>
      </c>
      <c r="D776" s="21" t="s">
        <v>351</v>
      </c>
      <c r="E776" s="21" t="s">
        <v>560</v>
      </c>
      <c r="F776" s="21" t="s">
        <v>186</v>
      </c>
      <c r="G776" s="27">
        <v>3207.7</v>
      </c>
      <c r="H776" s="204"/>
    </row>
    <row r="777" spans="1:8" ht="15.75">
      <c r="A777" s="24" t="s">
        <v>561</v>
      </c>
      <c r="B777" s="20">
        <v>908</v>
      </c>
      <c r="C777" s="25" t="s">
        <v>202</v>
      </c>
      <c r="D777" s="25" t="s">
        <v>271</v>
      </c>
      <c r="E777" s="21"/>
      <c r="F777" s="25"/>
      <c r="G777" s="22">
        <f>G778</f>
        <v>15124.1</v>
      </c>
      <c r="H777" s="204"/>
    </row>
    <row r="778" spans="1:8" ht="47.25">
      <c r="A778" s="33" t="s">
        <v>562</v>
      </c>
      <c r="B778" s="17">
        <v>908</v>
      </c>
      <c r="C778" s="21" t="s">
        <v>202</v>
      </c>
      <c r="D778" s="21" t="s">
        <v>271</v>
      </c>
      <c r="E778" s="21" t="s">
        <v>563</v>
      </c>
      <c r="F778" s="21"/>
      <c r="G778" s="27">
        <f>G779</f>
        <v>15124.1</v>
      </c>
      <c r="H778" s="204"/>
    </row>
    <row r="779" spans="1:8" ht="15.75">
      <c r="A779" s="31" t="s">
        <v>564</v>
      </c>
      <c r="B779" s="17">
        <v>908</v>
      </c>
      <c r="C779" s="21" t="s">
        <v>202</v>
      </c>
      <c r="D779" s="21" t="s">
        <v>271</v>
      </c>
      <c r="E779" s="42" t="s">
        <v>565</v>
      </c>
      <c r="F779" s="21"/>
      <c r="G779" s="27">
        <f>G780+G782</f>
        <v>15124.1</v>
      </c>
      <c r="H779" s="204"/>
    </row>
    <row r="780" spans="1:8" ht="31.5">
      <c r="A780" s="26" t="s">
        <v>183</v>
      </c>
      <c r="B780" s="17">
        <v>908</v>
      </c>
      <c r="C780" s="21" t="s">
        <v>202</v>
      </c>
      <c r="D780" s="21" t="s">
        <v>271</v>
      </c>
      <c r="E780" s="42" t="s">
        <v>565</v>
      </c>
      <c r="F780" s="21" t="s">
        <v>184</v>
      </c>
      <c r="G780" s="27">
        <f>G781</f>
        <v>15108.1</v>
      </c>
      <c r="H780" s="204"/>
    </row>
    <row r="781" spans="1:8" ht="47.25">
      <c r="A781" s="26" t="s">
        <v>185</v>
      </c>
      <c r="B781" s="17">
        <v>908</v>
      </c>
      <c r="C781" s="21" t="s">
        <v>202</v>
      </c>
      <c r="D781" s="21" t="s">
        <v>271</v>
      </c>
      <c r="E781" s="42" t="s">
        <v>565</v>
      </c>
      <c r="F781" s="21" t="s">
        <v>186</v>
      </c>
      <c r="G781" s="27">
        <f>15124.1-10-6</f>
        <v>15108.1</v>
      </c>
      <c r="H781" s="143" t="s">
        <v>862</v>
      </c>
    </row>
    <row r="782" spans="1:8" ht="15.75">
      <c r="A782" s="26" t="s">
        <v>187</v>
      </c>
      <c r="B782" s="17">
        <v>908</v>
      </c>
      <c r="C782" s="21" t="s">
        <v>202</v>
      </c>
      <c r="D782" s="21" t="s">
        <v>271</v>
      </c>
      <c r="E782" s="42" t="s">
        <v>565</v>
      </c>
      <c r="F782" s="21" t="s">
        <v>197</v>
      </c>
      <c r="G782" s="27">
        <f>G783</f>
        <v>16</v>
      </c>
      <c r="H782" s="204"/>
    </row>
    <row r="783" spans="1:8" ht="15.75">
      <c r="A783" s="26" t="s">
        <v>621</v>
      </c>
      <c r="B783" s="17">
        <v>908</v>
      </c>
      <c r="C783" s="21" t="s">
        <v>202</v>
      </c>
      <c r="D783" s="21" t="s">
        <v>271</v>
      </c>
      <c r="E783" s="42" t="s">
        <v>565</v>
      </c>
      <c r="F783" s="21" t="s">
        <v>190</v>
      </c>
      <c r="G783" s="27">
        <f>10+6</f>
        <v>16</v>
      </c>
      <c r="H783" s="183" t="s">
        <v>863</v>
      </c>
    </row>
    <row r="784" spans="1:9" ht="15.75">
      <c r="A784" s="24" t="s">
        <v>443</v>
      </c>
      <c r="B784" s="20">
        <v>908</v>
      </c>
      <c r="C784" s="25" t="s">
        <v>286</v>
      </c>
      <c r="D784" s="25"/>
      <c r="E784" s="25"/>
      <c r="F784" s="25"/>
      <c r="G784" s="22">
        <f>G785+G800+G847+G899</f>
        <v>108065.79000000001</v>
      </c>
      <c r="H784" s="204"/>
      <c r="I784" s="137"/>
    </row>
    <row r="785" spans="1:8" ht="15.75">
      <c r="A785" s="24" t="s">
        <v>444</v>
      </c>
      <c r="B785" s="20">
        <v>908</v>
      </c>
      <c r="C785" s="25" t="s">
        <v>286</v>
      </c>
      <c r="D785" s="25" t="s">
        <v>170</v>
      </c>
      <c r="E785" s="25"/>
      <c r="F785" s="25"/>
      <c r="G785" s="22">
        <f>G786</f>
        <v>7765.400000000001</v>
      </c>
      <c r="H785" s="204"/>
    </row>
    <row r="786" spans="1:8" ht="15.75">
      <c r="A786" s="26" t="s">
        <v>173</v>
      </c>
      <c r="B786" s="17">
        <v>908</v>
      </c>
      <c r="C786" s="21" t="s">
        <v>286</v>
      </c>
      <c r="D786" s="21" t="s">
        <v>170</v>
      </c>
      <c r="E786" s="21" t="s">
        <v>174</v>
      </c>
      <c r="F786" s="21"/>
      <c r="G786" s="27">
        <f>G791</f>
        <v>7765.400000000001</v>
      </c>
      <c r="H786" s="204"/>
    </row>
    <row r="787" spans="1:8" ht="31.5" hidden="1">
      <c r="A787" s="26" t="s">
        <v>237</v>
      </c>
      <c r="B787" s="17">
        <v>908</v>
      </c>
      <c r="C787" s="21" t="s">
        <v>286</v>
      </c>
      <c r="D787" s="21" t="s">
        <v>170</v>
      </c>
      <c r="E787" s="21" t="s">
        <v>238</v>
      </c>
      <c r="F787" s="21"/>
      <c r="G787" s="27">
        <f aca="true" t="shared" si="145" ref="G787:G789">G788</f>
        <v>0</v>
      </c>
      <c r="H787" s="204"/>
    </row>
    <row r="788" spans="1:8" ht="15.75" hidden="1">
      <c r="A788" s="26" t="s">
        <v>566</v>
      </c>
      <c r="B788" s="17">
        <v>908</v>
      </c>
      <c r="C788" s="21" t="s">
        <v>286</v>
      </c>
      <c r="D788" s="21" t="s">
        <v>170</v>
      </c>
      <c r="E788" s="21" t="s">
        <v>567</v>
      </c>
      <c r="F788" s="21"/>
      <c r="G788" s="27">
        <f t="shared" si="145"/>
        <v>0</v>
      </c>
      <c r="H788" s="204"/>
    </row>
    <row r="789" spans="1:8" ht="15.75" hidden="1">
      <c r="A789" s="26" t="s">
        <v>187</v>
      </c>
      <c r="B789" s="17">
        <v>908</v>
      </c>
      <c r="C789" s="21" t="s">
        <v>286</v>
      </c>
      <c r="D789" s="21" t="s">
        <v>170</v>
      </c>
      <c r="E789" s="21" t="s">
        <v>567</v>
      </c>
      <c r="F789" s="21" t="s">
        <v>197</v>
      </c>
      <c r="G789" s="27">
        <f t="shared" si="145"/>
        <v>0</v>
      </c>
      <c r="H789" s="204"/>
    </row>
    <row r="790" spans="1:8" ht="63" hidden="1">
      <c r="A790" s="26" t="s">
        <v>236</v>
      </c>
      <c r="B790" s="17">
        <v>908</v>
      </c>
      <c r="C790" s="21" t="s">
        <v>286</v>
      </c>
      <c r="D790" s="21" t="s">
        <v>170</v>
      </c>
      <c r="E790" s="21" t="s">
        <v>567</v>
      </c>
      <c r="F790" s="21" t="s">
        <v>212</v>
      </c>
      <c r="G790" s="27">
        <v>0</v>
      </c>
      <c r="H790" s="204"/>
    </row>
    <row r="791" spans="1:8" ht="15.75">
      <c r="A791" s="26" t="s">
        <v>193</v>
      </c>
      <c r="B791" s="17">
        <v>908</v>
      </c>
      <c r="C791" s="21" t="s">
        <v>286</v>
      </c>
      <c r="D791" s="21" t="s">
        <v>170</v>
      </c>
      <c r="E791" s="21" t="s">
        <v>194</v>
      </c>
      <c r="F791" s="25"/>
      <c r="G791" s="27">
        <f>G792+G797</f>
        <v>7765.400000000001</v>
      </c>
      <c r="H791" s="204"/>
    </row>
    <row r="792" spans="1:8" ht="15.75">
      <c r="A792" s="26" t="s">
        <v>568</v>
      </c>
      <c r="B792" s="17">
        <v>908</v>
      </c>
      <c r="C792" s="21" t="s">
        <v>286</v>
      </c>
      <c r="D792" s="21" t="s">
        <v>170</v>
      </c>
      <c r="E792" s="21" t="s">
        <v>569</v>
      </c>
      <c r="F792" s="25"/>
      <c r="G792" s="27">
        <f>G795+G793</f>
        <v>3531.3</v>
      </c>
      <c r="H792" s="204"/>
    </row>
    <row r="793" spans="1:8" ht="31.5">
      <c r="A793" s="26" t="s">
        <v>183</v>
      </c>
      <c r="B793" s="17">
        <v>908</v>
      </c>
      <c r="C793" s="21" t="s">
        <v>286</v>
      </c>
      <c r="D793" s="21" t="s">
        <v>170</v>
      </c>
      <c r="E793" s="21" t="s">
        <v>569</v>
      </c>
      <c r="F793" s="21" t="s">
        <v>184</v>
      </c>
      <c r="G793" s="27">
        <f>G794</f>
        <v>1131.3</v>
      </c>
      <c r="H793" s="204"/>
    </row>
    <row r="794" spans="1:9" ht="47.25">
      <c r="A794" s="26" t="s">
        <v>185</v>
      </c>
      <c r="B794" s="17">
        <v>908</v>
      </c>
      <c r="C794" s="21" t="s">
        <v>286</v>
      </c>
      <c r="D794" s="21" t="s">
        <v>170</v>
      </c>
      <c r="E794" s="21" t="s">
        <v>569</v>
      </c>
      <c r="F794" s="21" t="s">
        <v>186</v>
      </c>
      <c r="G794" s="27">
        <v>1131.3</v>
      </c>
      <c r="H794" s="129"/>
      <c r="I794" s="148"/>
    </row>
    <row r="795" spans="1:8" ht="15.75">
      <c r="A795" s="26" t="s">
        <v>187</v>
      </c>
      <c r="B795" s="17">
        <v>908</v>
      </c>
      <c r="C795" s="21" t="s">
        <v>286</v>
      </c>
      <c r="D795" s="21" t="s">
        <v>170</v>
      </c>
      <c r="E795" s="21" t="s">
        <v>569</v>
      </c>
      <c r="F795" s="21" t="s">
        <v>197</v>
      </c>
      <c r="G795" s="27">
        <f>G796</f>
        <v>2400</v>
      </c>
      <c r="H795" s="204"/>
    </row>
    <row r="796" spans="1:9" ht="63">
      <c r="A796" s="26" t="s">
        <v>236</v>
      </c>
      <c r="B796" s="17">
        <v>908</v>
      </c>
      <c r="C796" s="21" t="s">
        <v>286</v>
      </c>
      <c r="D796" s="21" t="s">
        <v>170</v>
      </c>
      <c r="E796" s="21" t="s">
        <v>569</v>
      </c>
      <c r="F796" s="21" t="s">
        <v>212</v>
      </c>
      <c r="G796" s="27">
        <f>1500+900</f>
        <v>2400</v>
      </c>
      <c r="H796" s="204"/>
      <c r="I796" s="138"/>
    </row>
    <row r="797" spans="1:8" ht="31.5">
      <c r="A797" s="31" t="s">
        <v>451</v>
      </c>
      <c r="B797" s="17">
        <v>908</v>
      </c>
      <c r="C797" s="21" t="s">
        <v>286</v>
      </c>
      <c r="D797" s="21" t="s">
        <v>170</v>
      </c>
      <c r="E797" s="21" t="s">
        <v>452</v>
      </c>
      <c r="F797" s="25"/>
      <c r="G797" s="27">
        <f>G798</f>
        <v>4234.1</v>
      </c>
      <c r="H797" s="204"/>
    </row>
    <row r="798" spans="1:8" ht="31.5">
      <c r="A798" s="26" t="s">
        <v>183</v>
      </c>
      <c r="B798" s="17">
        <v>908</v>
      </c>
      <c r="C798" s="21" t="s">
        <v>286</v>
      </c>
      <c r="D798" s="21" t="s">
        <v>170</v>
      </c>
      <c r="E798" s="21" t="s">
        <v>452</v>
      </c>
      <c r="F798" s="21" t="s">
        <v>184</v>
      </c>
      <c r="G798" s="27">
        <f>G799</f>
        <v>4234.1</v>
      </c>
      <c r="H798" s="204"/>
    </row>
    <row r="799" spans="1:8" ht="47.25">
      <c r="A799" s="26" t="s">
        <v>185</v>
      </c>
      <c r="B799" s="17">
        <v>908</v>
      </c>
      <c r="C799" s="21" t="s">
        <v>286</v>
      </c>
      <c r="D799" s="21" t="s">
        <v>170</v>
      </c>
      <c r="E799" s="21" t="s">
        <v>452</v>
      </c>
      <c r="F799" s="21" t="s">
        <v>186</v>
      </c>
      <c r="G799" s="28">
        <f>3811.8+422.3</f>
        <v>4234.1</v>
      </c>
      <c r="H799" s="204"/>
    </row>
    <row r="800" spans="1:12" ht="15.75">
      <c r="A800" s="24" t="s">
        <v>570</v>
      </c>
      <c r="B800" s="20">
        <v>908</v>
      </c>
      <c r="C800" s="25" t="s">
        <v>286</v>
      </c>
      <c r="D800" s="25" t="s">
        <v>265</v>
      </c>
      <c r="E800" s="25"/>
      <c r="F800" s="25"/>
      <c r="G800" s="22">
        <f>G801+G826</f>
        <v>53711.1</v>
      </c>
      <c r="H800" s="204"/>
      <c r="I800" s="138"/>
      <c r="L800" s="139"/>
    </row>
    <row r="801" spans="1:9" ht="82.5" customHeight="1">
      <c r="A801" s="26" t="s">
        <v>655</v>
      </c>
      <c r="B801" s="17">
        <v>908</v>
      </c>
      <c r="C801" s="21" t="s">
        <v>286</v>
      </c>
      <c r="D801" s="21" t="s">
        <v>265</v>
      </c>
      <c r="E801" s="21" t="s">
        <v>571</v>
      </c>
      <c r="F801" s="25"/>
      <c r="G801" s="27">
        <f>G805+G808+G811+G814+G817+G823</f>
        <v>5567.900000000001</v>
      </c>
      <c r="H801" s="206"/>
      <c r="I801" s="138"/>
    </row>
    <row r="802" spans="1:8" ht="47.25" hidden="1">
      <c r="A802" s="37" t="s">
        <v>572</v>
      </c>
      <c r="B802" s="17">
        <v>908</v>
      </c>
      <c r="C802" s="21" t="s">
        <v>286</v>
      </c>
      <c r="D802" s="21" t="s">
        <v>265</v>
      </c>
      <c r="E802" s="21" t="s">
        <v>573</v>
      </c>
      <c r="F802" s="21"/>
      <c r="G802" s="27">
        <f aca="true" t="shared" si="146" ref="G802:G803">G803</f>
        <v>0</v>
      </c>
      <c r="H802" s="204"/>
    </row>
    <row r="803" spans="1:8" ht="31.5" hidden="1">
      <c r="A803" s="26" t="s">
        <v>183</v>
      </c>
      <c r="B803" s="17">
        <v>908</v>
      </c>
      <c r="C803" s="21" t="s">
        <v>286</v>
      </c>
      <c r="D803" s="21" t="s">
        <v>265</v>
      </c>
      <c r="E803" s="21" t="s">
        <v>573</v>
      </c>
      <c r="F803" s="21" t="s">
        <v>184</v>
      </c>
      <c r="G803" s="27">
        <f t="shared" si="146"/>
        <v>0</v>
      </c>
      <c r="H803" s="204"/>
    </row>
    <row r="804" spans="1:8" ht="47.25" hidden="1">
      <c r="A804" s="26" t="s">
        <v>185</v>
      </c>
      <c r="B804" s="17">
        <v>908</v>
      </c>
      <c r="C804" s="21" t="s">
        <v>286</v>
      </c>
      <c r="D804" s="21" t="s">
        <v>265</v>
      </c>
      <c r="E804" s="21" t="s">
        <v>573</v>
      </c>
      <c r="F804" s="21" t="s">
        <v>186</v>
      </c>
      <c r="G804" s="27">
        <v>0</v>
      </c>
      <c r="H804" s="204"/>
    </row>
    <row r="805" spans="1:8" ht="15.75">
      <c r="A805" s="47" t="s">
        <v>574</v>
      </c>
      <c r="B805" s="17">
        <v>908</v>
      </c>
      <c r="C805" s="42" t="s">
        <v>286</v>
      </c>
      <c r="D805" s="42" t="s">
        <v>265</v>
      </c>
      <c r="E805" s="21" t="s">
        <v>575</v>
      </c>
      <c r="F805" s="42"/>
      <c r="G805" s="27">
        <f>G806</f>
        <v>450</v>
      </c>
      <c r="H805" s="204"/>
    </row>
    <row r="806" spans="1:8" ht="31.5">
      <c r="A806" s="33" t="s">
        <v>183</v>
      </c>
      <c r="B806" s="17">
        <v>908</v>
      </c>
      <c r="C806" s="42" t="s">
        <v>286</v>
      </c>
      <c r="D806" s="42" t="s">
        <v>265</v>
      </c>
      <c r="E806" s="21" t="s">
        <v>575</v>
      </c>
      <c r="F806" s="42" t="s">
        <v>184</v>
      </c>
      <c r="G806" s="27">
        <f>G807</f>
        <v>450</v>
      </c>
      <c r="H806" s="204"/>
    </row>
    <row r="807" spans="1:8" ht="47.25">
      <c r="A807" s="33" t="s">
        <v>185</v>
      </c>
      <c r="B807" s="17">
        <v>908</v>
      </c>
      <c r="C807" s="42" t="s">
        <v>286</v>
      </c>
      <c r="D807" s="42" t="s">
        <v>265</v>
      </c>
      <c r="E807" s="21" t="s">
        <v>575</v>
      </c>
      <c r="F807" s="42" t="s">
        <v>186</v>
      </c>
      <c r="G807" s="27">
        <v>450</v>
      </c>
      <c r="H807" s="204"/>
    </row>
    <row r="808" spans="1:8" ht="15.75">
      <c r="A808" s="47" t="s">
        <v>576</v>
      </c>
      <c r="B808" s="17">
        <v>908</v>
      </c>
      <c r="C808" s="42" t="s">
        <v>286</v>
      </c>
      <c r="D808" s="42" t="s">
        <v>265</v>
      </c>
      <c r="E808" s="21" t="s">
        <v>577</v>
      </c>
      <c r="F808" s="42"/>
      <c r="G808" s="27">
        <f>G809</f>
        <v>3107</v>
      </c>
      <c r="H808" s="204"/>
    </row>
    <row r="809" spans="1:8" ht="31.5">
      <c r="A809" s="33" t="s">
        <v>183</v>
      </c>
      <c r="B809" s="17">
        <v>908</v>
      </c>
      <c r="C809" s="42" t="s">
        <v>286</v>
      </c>
      <c r="D809" s="42" t="s">
        <v>265</v>
      </c>
      <c r="E809" s="21" t="s">
        <v>577</v>
      </c>
      <c r="F809" s="42" t="s">
        <v>184</v>
      </c>
      <c r="G809" s="27">
        <f>G810</f>
        <v>3107</v>
      </c>
      <c r="H809" s="204"/>
    </row>
    <row r="810" spans="1:8" ht="47.25">
      <c r="A810" s="33" t="s">
        <v>185</v>
      </c>
      <c r="B810" s="17">
        <v>908</v>
      </c>
      <c r="C810" s="42" t="s">
        <v>286</v>
      </c>
      <c r="D810" s="42" t="s">
        <v>265</v>
      </c>
      <c r="E810" s="21" t="s">
        <v>577</v>
      </c>
      <c r="F810" s="42" t="s">
        <v>186</v>
      </c>
      <c r="G810" s="193">
        <f>110+20+2977</f>
        <v>3107</v>
      </c>
      <c r="H810" s="187" t="s">
        <v>842</v>
      </c>
    </row>
    <row r="811" spans="1:8" ht="15.75">
      <c r="A811" s="47" t="s">
        <v>578</v>
      </c>
      <c r="B811" s="17">
        <v>908</v>
      </c>
      <c r="C811" s="42" t="s">
        <v>286</v>
      </c>
      <c r="D811" s="42" t="s">
        <v>265</v>
      </c>
      <c r="E811" s="21" t="s">
        <v>579</v>
      </c>
      <c r="F811" s="42"/>
      <c r="G811" s="27">
        <f>G812</f>
        <v>1374.6</v>
      </c>
      <c r="H811" s="204"/>
    </row>
    <row r="812" spans="1:8" ht="31.5">
      <c r="A812" s="33" t="s">
        <v>183</v>
      </c>
      <c r="B812" s="17">
        <v>908</v>
      </c>
      <c r="C812" s="42" t="s">
        <v>286</v>
      </c>
      <c r="D812" s="42" t="s">
        <v>265</v>
      </c>
      <c r="E812" s="21" t="s">
        <v>579</v>
      </c>
      <c r="F812" s="42" t="s">
        <v>184</v>
      </c>
      <c r="G812" s="27">
        <f>G813</f>
        <v>1374.6</v>
      </c>
      <c r="H812" s="204"/>
    </row>
    <row r="813" spans="1:10" ht="47.25">
      <c r="A813" s="33" t="s">
        <v>185</v>
      </c>
      <c r="B813" s="17">
        <v>908</v>
      </c>
      <c r="C813" s="42" t="s">
        <v>286</v>
      </c>
      <c r="D813" s="42" t="s">
        <v>265</v>
      </c>
      <c r="E813" s="21" t="s">
        <v>579</v>
      </c>
      <c r="F813" s="42" t="s">
        <v>186</v>
      </c>
      <c r="G813" s="193">
        <f>10+30+3534.6-2200</f>
        <v>1374.6</v>
      </c>
      <c r="H813" s="136" t="s">
        <v>850</v>
      </c>
      <c r="J813" s="196" t="s">
        <v>851</v>
      </c>
    </row>
    <row r="814" spans="1:8" ht="15.75">
      <c r="A814" s="47" t="s">
        <v>580</v>
      </c>
      <c r="B814" s="17">
        <v>908</v>
      </c>
      <c r="C814" s="42" t="s">
        <v>286</v>
      </c>
      <c r="D814" s="42" t="s">
        <v>265</v>
      </c>
      <c r="E814" s="21" t="s">
        <v>581</v>
      </c>
      <c r="F814" s="42"/>
      <c r="G814" s="27">
        <f>G815</f>
        <v>159.10000000000002</v>
      </c>
      <c r="H814" s="204"/>
    </row>
    <row r="815" spans="1:8" ht="31.5">
      <c r="A815" s="33" t="s">
        <v>183</v>
      </c>
      <c r="B815" s="17">
        <v>908</v>
      </c>
      <c r="C815" s="42" t="s">
        <v>286</v>
      </c>
      <c r="D815" s="42" t="s">
        <v>265</v>
      </c>
      <c r="E815" s="21" t="s">
        <v>581</v>
      </c>
      <c r="F815" s="42" t="s">
        <v>184</v>
      </c>
      <c r="G815" s="27">
        <f>G816</f>
        <v>159.10000000000002</v>
      </c>
      <c r="H815" s="204"/>
    </row>
    <row r="816" spans="1:8" ht="47.25">
      <c r="A816" s="33" t="s">
        <v>185</v>
      </c>
      <c r="B816" s="17">
        <v>908</v>
      </c>
      <c r="C816" s="42" t="s">
        <v>286</v>
      </c>
      <c r="D816" s="42" t="s">
        <v>265</v>
      </c>
      <c r="E816" s="21" t="s">
        <v>581</v>
      </c>
      <c r="F816" s="42" t="s">
        <v>186</v>
      </c>
      <c r="G816" s="193">
        <f>250+5+681.1-522-255</f>
        <v>159.10000000000002</v>
      </c>
      <c r="H816" s="136" t="s">
        <v>843</v>
      </c>
    </row>
    <row r="817" spans="1:8" ht="15.75">
      <c r="A817" s="47" t="s">
        <v>582</v>
      </c>
      <c r="B817" s="17">
        <v>908</v>
      </c>
      <c r="C817" s="42" t="s">
        <v>286</v>
      </c>
      <c r="D817" s="42" t="s">
        <v>265</v>
      </c>
      <c r="E817" s="21" t="s">
        <v>583</v>
      </c>
      <c r="F817" s="42"/>
      <c r="G817" s="27">
        <f>G818</f>
        <v>288.2</v>
      </c>
      <c r="H817" s="204"/>
    </row>
    <row r="818" spans="1:8" ht="31.5">
      <c r="A818" s="33" t="s">
        <v>183</v>
      </c>
      <c r="B818" s="17">
        <v>908</v>
      </c>
      <c r="C818" s="42" t="s">
        <v>286</v>
      </c>
      <c r="D818" s="42" t="s">
        <v>265</v>
      </c>
      <c r="E818" s="21" t="s">
        <v>583</v>
      </c>
      <c r="F818" s="42" t="s">
        <v>184</v>
      </c>
      <c r="G818" s="27">
        <f>G819</f>
        <v>288.2</v>
      </c>
      <c r="H818" s="204"/>
    </row>
    <row r="819" spans="1:10" ht="47.25">
      <c r="A819" s="33" t="s">
        <v>185</v>
      </c>
      <c r="B819" s="17">
        <v>908</v>
      </c>
      <c r="C819" s="42" t="s">
        <v>286</v>
      </c>
      <c r="D819" s="42" t="s">
        <v>265</v>
      </c>
      <c r="E819" s="21" t="s">
        <v>583</v>
      </c>
      <c r="F819" s="42" t="s">
        <v>186</v>
      </c>
      <c r="G819" s="27">
        <f>2+286.2</f>
        <v>288.2</v>
      </c>
      <c r="H819" s="136"/>
      <c r="J819" s="197" t="s">
        <v>852</v>
      </c>
    </row>
    <row r="820" spans="1:8" ht="31.5" hidden="1">
      <c r="A820" s="205" t="s">
        <v>584</v>
      </c>
      <c r="B820" s="17">
        <v>908</v>
      </c>
      <c r="C820" s="42" t="s">
        <v>286</v>
      </c>
      <c r="D820" s="42" t="s">
        <v>265</v>
      </c>
      <c r="E820" s="21" t="s">
        <v>585</v>
      </c>
      <c r="F820" s="42"/>
      <c r="G820" s="27">
        <f>G821</f>
        <v>0</v>
      </c>
      <c r="H820" s="204"/>
    </row>
    <row r="821" spans="1:8" ht="31.5" hidden="1">
      <c r="A821" s="33" t="s">
        <v>183</v>
      </c>
      <c r="B821" s="17">
        <v>908</v>
      </c>
      <c r="C821" s="42" t="s">
        <v>286</v>
      </c>
      <c r="D821" s="42" t="s">
        <v>265</v>
      </c>
      <c r="E821" s="21" t="s">
        <v>585</v>
      </c>
      <c r="F821" s="42" t="s">
        <v>184</v>
      </c>
      <c r="G821" s="27">
        <f>G822</f>
        <v>0</v>
      </c>
      <c r="H821" s="204"/>
    </row>
    <row r="822" spans="1:8" ht="47.25" hidden="1">
      <c r="A822" s="33" t="s">
        <v>185</v>
      </c>
      <c r="B822" s="17">
        <v>908</v>
      </c>
      <c r="C822" s="42" t="s">
        <v>286</v>
      </c>
      <c r="D822" s="42" t="s">
        <v>265</v>
      </c>
      <c r="E822" s="21" t="s">
        <v>585</v>
      </c>
      <c r="F822" s="42" t="s">
        <v>186</v>
      </c>
      <c r="G822" s="27">
        <v>0</v>
      </c>
      <c r="H822" s="204"/>
    </row>
    <row r="823" spans="1:8" ht="15.75">
      <c r="A823" s="205" t="s">
        <v>586</v>
      </c>
      <c r="B823" s="17">
        <v>908</v>
      </c>
      <c r="C823" s="42" t="s">
        <v>286</v>
      </c>
      <c r="D823" s="42" t="s">
        <v>265</v>
      </c>
      <c r="E823" s="21" t="s">
        <v>587</v>
      </c>
      <c r="F823" s="42"/>
      <c r="G823" s="27">
        <f>G824</f>
        <v>189</v>
      </c>
      <c r="H823" s="204"/>
    </row>
    <row r="824" spans="1:8" ht="31.5">
      <c r="A824" s="26" t="s">
        <v>183</v>
      </c>
      <c r="B824" s="17">
        <v>908</v>
      </c>
      <c r="C824" s="42" t="s">
        <v>286</v>
      </c>
      <c r="D824" s="42" t="s">
        <v>265</v>
      </c>
      <c r="E824" s="21" t="s">
        <v>587</v>
      </c>
      <c r="F824" s="42" t="s">
        <v>184</v>
      </c>
      <c r="G824" s="27">
        <f>G825</f>
        <v>189</v>
      </c>
      <c r="H824" s="204"/>
    </row>
    <row r="825" spans="1:10" ht="47.25">
      <c r="A825" s="26" t="s">
        <v>185</v>
      </c>
      <c r="B825" s="17">
        <v>908</v>
      </c>
      <c r="C825" s="42" t="s">
        <v>286</v>
      </c>
      <c r="D825" s="42" t="s">
        <v>265</v>
      </c>
      <c r="E825" s="21" t="s">
        <v>587</v>
      </c>
      <c r="F825" s="42" t="s">
        <v>186</v>
      </c>
      <c r="G825" s="27">
        <f>15+174</f>
        <v>189</v>
      </c>
      <c r="H825" s="136"/>
      <c r="J825" s="197" t="s">
        <v>853</v>
      </c>
    </row>
    <row r="826" spans="1:8" ht="15.75">
      <c r="A826" s="26" t="s">
        <v>173</v>
      </c>
      <c r="B826" s="17">
        <v>908</v>
      </c>
      <c r="C826" s="21" t="s">
        <v>286</v>
      </c>
      <c r="D826" s="21" t="s">
        <v>265</v>
      </c>
      <c r="E826" s="21" t="s">
        <v>174</v>
      </c>
      <c r="F826" s="21"/>
      <c r="G826" s="27">
        <f>G827+G837</f>
        <v>48143.2</v>
      </c>
      <c r="H826" s="204"/>
    </row>
    <row r="827" spans="1:8" ht="31.5">
      <c r="A827" s="26" t="s">
        <v>237</v>
      </c>
      <c r="B827" s="17">
        <v>908</v>
      </c>
      <c r="C827" s="21" t="s">
        <v>286</v>
      </c>
      <c r="D827" s="21" t="s">
        <v>265</v>
      </c>
      <c r="E827" s="21" t="s">
        <v>238</v>
      </c>
      <c r="F827" s="21"/>
      <c r="G827" s="27">
        <f>G828+G831+G834</f>
        <v>25111.2</v>
      </c>
      <c r="H827" s="204"/>
    </row>
    <row r="828" spans="1:8" ht="47.25">
      <c r="A828" s="123" t="s">
        <v>764</v>
      </c>
      <c r="B828" s="17">
        <v>908</v>
      </c>
      <c r="C828" s="21" t="s">
        <v>286</v>
      </c>
      <c r="D828" s="21" t="s">
        <v>265</v>
      </c>
      <c r="E828" s="21" t="s">
        <v>588</v>
      </c>
      <c r="F828" s="21"/>
      <c r="G828" s="27">
        <f>G829</f>
        <v>5000</v>
      </c>
      <c r="H828" s="204"/>
    </row>
    <row r="829" spans="1:8" ht="31.5">
      <c r="A829" s="26" t="s">
        <v>183</v>
      </c>
      <c r="B829" s="17">
        <v>908</v>
      </c>
      <c r="C829" s="21" t="s">
        <v>286</v>
      </c>
      <c r="D829" s="21" t="s">
        <v>265</v>
      </c>
      <c r="E829" s="21" t="s">
        <v>588</v>
      </c>
      <c r="F829" s="21" t="s">
        <v>184</v>
      </c>
      <c r="G829" s="27">
        <f>G830</f>
        <v>5000</v>
      </c>
      <c r="H829" s="204"/>
    </row>
    <row r="830" spans="1:9" ht="47.25">
      <c r="A830" s="26" t="s">
        <v>185</v>
      </c>
      <c r="B830" s="17">
        <v>908</v>
      </c>
      <c r="C830" s="21" t="s">
        <v>286</v>
      </c>
      <c r="D830" s="21" t="s">
        <v>265</v>
      </c>
      <c r="E830" s="21" t="s">
        <v>588</v>
      </c>
      <c r="F830" s="21" t="s">
        <v>186</v>
      </c>
      <c r="G830" s="27">
        <f>5000</f>
        <v>5000</v>
      </c>
      <c r="H830" s="204"/>
      <c r="I830" s="138"/>
    </row>
    <row r="831" spans="1:8" ht="31.5">
      <c r="A831" s="37" t="s">
        <v>770</v>
      </c>
      <c r="B831" s="17">
        <v>908</v>
      </c>
      <c r="C831" s="21" t="s">
        <v>286</v>
      </c>
      <c r="D831" s="21" t="s">
        <v>265</v>
      </c>
      <c r="E831" s="21" t="s">
        <v>589</v>
      </c>
      <c r="F831" s="21"/>
      <c r="G831" s="27">
        <f aca="true" t="shared" si="147" ref="G831:G832">G832</f>
        <v>20000</v>
      </c>
      <c r="H831" s="204"/>
    </row>
    <row r="832" spans="1:8" ht="31.5">
      <c r="A832" s="26" t="s">
        <v>183</v>
      </c>
      <c r="B832" s="17">
        <v>908</v>
      </c>
      <c r="C832" s="21" t="s">
        <v>286</v>
      </c>
      <c r="D832" s="21" t="s">
        <v>265</v>
      </c>
      <c r="E832" s="21" t="s">
        <v>589</v>
      </c>
      <c r="F832" s="21" t="s">
        <v>184</v>
      </c>
      <c r="G832" s="27">
        <f t="shared" si="147"/>
        <v>20000</v>
      </c>
      <c r="H832" s="204"/>
    </row>
    <row r="833" spans="1:8" ht="47.25">
      <c r="A833" s="26" t="s">
        <v>185</v>
      </c>
      <c r="B833" s="17">
        <v>908</v>
      </c>
      <c r="C833" s="21" t="s">
        <v>286</v>
      </c>
      <c r="D833" s="21" t="s">
        <v>265</v>
      </c>
      <c r="E833" s="21" t="s">
        <v>589</v>
      </c>
      <c r="F833" s="21" t="s">
        <v>186</v>
      </c>
      <c r="G833" s="27">
        <v>20000</v>
      </c>
      <c r="H833" s="129"/>
    </row>
    <row r="834" spans="1:8" ht="47.25">
      <c r="A834" s="26" t="s">
        <v>771</v>
      </c>
      <c r="B834" s="17">
        <v>908</v>
      </c>
      <c r="C834" s="21" t="s">
        <v>286</v>
      </c>
      <c r="D834" s="21" t="s">
        <v>265</v>
      </c>
      <c r="E834" s="21" t="s">
        <v>772</v>
      </c>
      <c r="F834" s="21"/>
      <c r="G834" s="27">
        <f>G835</f>
        <v>111.2</v>
      </c>
      <c r="H834" s="131"/>
    </row>
    <row r="835" spans="1:8" ht="31.5">
      <c r="A835" s="26" t="s">
        <v>183</v>
      </c>
      <c r="B835" s="17">
        <v>908</v>
      </c>
      <c r="C835" s="21" t="s">
        <v>286</v>
      </c>
      <c r="D835" s="21" t="s">
        <v>265</v>
      </c>
      <c r="E835" s="21" t="s">
        <v>772</v>
      </c>
      <c r="F835" s="21" t="s">
        <v>184</v>
      </c>
      <c r="G835" s="27">
        <f>G836</f>
        <v>111.2</v>
      </c>
      <c r="H835" s="131"/>
    </row>
    <row r="836" spans="1:8" ht="47.25">
      <c r="A836" s="26" t="s">
        <v>185</v>
      </c>
      <c r="B836" s="17">
        <v>908</v>
      </c>
      <c r="C836" s="21" t="s">
        <v>286</v>
      </c>
      <c r="D836" s="21" t="s">
        <v>265</v>
      </c>
      <c r="E836" s="21" t="s">
        <v>772</v>
      </c>
      <c r="F836" s="21" t="s">
        <v>186</v>
      </c>
      <c r="G836" s="27">
        <v>111.2</v>
      </c>
      <c r="H836" s="131"/>
    </row>
    <row r="837" spans="1:8" ht="15.75">
      <c r="A837" s="26" t="s">
        <v>193</v>
      </c>
      <c r="B837" s="17">
        <v>908</v>
      </c>
      <c r="C837" s="21" t="s">
        <v>286</v>
      </c>
      <c r="D837" s="21" t="s">
        <v>265</v>
      </c>
      <c r="E837" s="21" t="s">
        <v>194</v>
      </c>
      <c r="F837" s="21"/>
      <c r="G837" s="27">
        <f>G838+G844</f>
        <v>23031.999999999996</v>
      </c>
      <c r="H837" s="204"/>
    </row>
    <row r="838" spans="1:8" ht="31.5">
      <c r="A838" s="37" t="s">
        <v>590</v>
      </c>
      <c r="B838" s="17">
        <v>908</v>
      </c>
      <c r="C838" s="21" t="s">
        <v>286</v>
      </c>
      <c r="D838" s="21" t="s">
        <v>265</v>
      </c>
      <c r="E838" s="21" t="s">
        <v>591</v>
      </c>
      <c r="F838" s="21"/>
      <c r="G838" s="27">
        <f>G839+G841</f>
        <v>20353.699999999997</v>
      </c>
      <c r="H838" s="204"/>
    </row>
    <row r="839" spans="1:8" ht="31.5">
      <c r="A839" s="26" t="s">
        <v>183</v>
      </c>
      <c r="B839" s="17">
        <v>908</v>
      </c>
      <c r="C839" s="21" t="s">
        <v>286</v>
      </c>
      <c r="D839" s="21" t="s">
        <v>265</v>
      </c>
      <c r="E839" s="21" t="s">
        <v>591</v>
      </c>
      <c r="F839" s="21" t="s">
        <v>184</v>
      </c>
      <c r="G839" s="27">
        <f>G840</f>
        <v>20322.1</v>
      </c>
      <c r="H839" s="204"/>
    </row>
    <row r="840" spans="1:10" ht="47.25">
      <c r="A840" s="26" t="s">
        <v>185</v>
      </c>
      <c r="B840" s="17">
        <v>908</v>
      </c>
      <c r="C840" s="21" t="s">
        <v>286</v>
      </c>
      <c r="D840" s="21" t="s">
        <v>265</v>
      </c>
      <c r="E840" s="21" t="s">
        <v>591</v>
      </c>
      <c r="F840" s="21" t="s">
        <v>186</v>
      </c>
      <c r="G840" s="188">
        <f>10880-5000-2230+172.1+16500</f>
        <v>20322.1</v>
      </c>
      <c r="H840" s="129" t="s">
        <v>849</v>
      </c>
      <c r="I840" s="138"/>
      <c r="J840" s="198" t="s">
        <v>816</v>
      </c>
    </row>
    <row r="841" spans="1:8" ht="15.75">
      <c r="A841" s="26" t="s">
        <v>187</v>
      </c>
      <c r="B841" s="17">
        <v>908</v>
      </c>
      <c r="C841" s="21" t="s">
        <v>286</v>
      </c>
      <c r="D841" s="21" t="s">
        <v>265</v>
      </c>
      <c r="E841" s="21" t="s">
        <v>591</v>
      </c>
      <c r="F841" s="21" t="s">
        <v>197</v>
      </c>
      <c r="G841" s="27">
        <f aca="true" t="shared" si="148" ref="G841">G842+G843</f>
        <v>31.6</v>
      </c>
      <c r="H841" s="204"/>
    </row>
    <row r="842" spans="1:8" ht="63" hidden="1">
      <c r="A842" s="26" t="s">
        <v>236</v>
      </c>
      <c r="B842" s="17">
        <v>908</v>
      </c>
      <c r="C842" s="21" t="s">
        <v>286</v>
      </c>
      <c r="D842" s="21" t="s">
        <v>265</v>
      </c>
      <c r="E842" s="21" t="s">
        <v>591</v>
      </c>
      <c r="F842" s="21" t="s">
        <v>212</v>
      </c>
      <c r="G842" s="27">
        <v>0</v>
      </c>
      <c r="H842" s="204"/>
    </row>
    <row r="843" spans="1:9" ht="15.75">
      <c r="A843" s="26" t="s">
        <v>621</v>
      </c>
      <c r="B843" s="17">
        <v>908</v>
      </c>
      <c r="C843" s="21" t="s">
        <v>286</v>
      </c>
      <c r="D843" s="21" t="s">
        <v>265</v>
      </c>
      <c r="E843" s="21" t="s">
        <v>591</v>
      </c>
      <c r="F843" s="21" t="s">
        <v>190</v>
      </c>
      <c r="G843" s="27">
        <v>31.6</v>
      </c>
      <c r="H843" s="129"/>
      <c r="I843" s="147"/>
    </row>
    <row r="844" spans="1:8" ht="15.75">
      <c r="A844" s="26" t="s">
        <v>592</v>
      </c>
      <c r="B844" s="17">
        <v>908</v>
      </c>
      <c r="C844" s="21" t="s">
        <v>286</v>
      </c>
      <c r="D844" s="21" t="s">
        <v>265</v>
      </c>
      <c r="E844" s="21" t="s">
        <v>593</v>
      </c>
      <c r="F844" s="21"/>
      <c r="G844" s="27">
        <f>G845</f>
        <v>2678.3</v>
      </c>
      <c r="H844" s="204"/>
    </row>
    <row r="845" spans="1:8" ht="15.75">
      <c r="A845" s="26" t="s">
        <v>187</v>
      </c>
      <c r="B845" s="17">
        <v>908</v>
      </c>
      <c r="C845" s="21" t="s">
        <v>286</v>
      </c>
      <c r="D845" s="21" t="s">
        <v>265</v>
      </c>
      <c r="E845" s="21" t="s">
        <v>593</v>
      </c>
      <c r="F845" s="21" t="s">
        <v>197</v>
      </c>
      <c r="G845" s="27">
        <f>G846</f>
        <v>2678.3</v>
      </c>
      <c r="H845" s="204"/>
    </row>
    <row r="846" spans="1:9" ht="15.75">
      <c r="A846" s="26" t="s">
        <v>198</v>
      </c>
      <c r="B846" s="17">
        <v>908</v>
      </c>
      <c r="C846" s="21" t="s">
        <v>286</v>
      </c>
      <c r="D846" s="21" t="s">
        <v>265</v>
      </c>
      <c r="E846" s="21" t="s">
        <v>593</v>
      </c>
      <c r="F846" s="21" t="s">
        <v>199</v>
      </c>
      <c r="G846" s="27">
        <v>2678.3</v>
      </c>
      <c r="H846" s="204"/>
      <c r="I846" s="138"/>
    </row>
    <row r="847" spans="1:8" ht="15.75">
      <c r="A847" s="24" t="s">
        <v>594</v>
      </c>
      <c r="B847" s="20">
        <v>908</v>
      </c>
      <c r="C847" s="25" t="s">
        <v>286</v>
      </c>
      <c r="D847" s="25" t="s">
        <v>267</v>
      </c>
      <c r="E847" s="25"/>
      <c r="F847" s="25"/>
      <c r="G847" s="22">
        <f>G848++G878+G874</f>
        <v>25464.6</v>
      </c>
      <c r="H847" s="204"/>
    </row>
    <row r="848" spans="1:8" ht="47.25">
      <c r="A848" s="26" t="s">
        <v>595</v>
      </c>
      <c r="B848" s="17">
        <v>908</v>
      </c>
      <c r="C848" s="21" t="s">
        <v>286</v>
      </c>
      <c r="D848" s="21" t="s">
        <v>267</v>
      </c>
      <c r="E848" s="21" t="s">
        <v>596</v>
      </c>
      <c r="F848" s="21"/>
      <c r="G848" s="27">
        <f>G849+G859</f>
        <v>12375.499999999998</v>
      </c>
      <c r="H848" s="204"/>
    </row>
    <row r="849" spans="1:8" ht="47.25">
      <c r="A849" s="26" t="s">
        <v>597</v>
      </c>
      <c r="B849" s="17">
        <v>908</v>
      </c>
      <c r="C849" s="21" t="s">
        <v>286</v>
      </c>
      <c r="D849" s="21" t="s">
        <v>267</v>
      </c>
      <c r="E849" s="21" t="s">
        <v>598</v>
      </c>
      <c r="F849" s="21"/>
      <c r="G849" s="27">
        <f>G850+G853+G856</f>
        <v>8697.3</v>
      </c>
      <c r="H849" s="204"/>
    </row>
    <row r="850" spans="1:8" ht="31.5">
      <c r="A850" s="26" t="s">
        <v>599</v>
      </c>
      <c r="B850" s="17">
        <v>908</v>
      </c>
      <c r="C850" s="21" t="s">
        <v>286</v>
      </c>
      <c r="D850" s="21" t="s">
        <v>267</v>
      </c>
      <c r="E850" s="21" t="s">
        <v>600</v>
      </c>
      <c r="F850" s="21"/>
      <c r="G850" s="27">
        <f>G851</f>
        <v>253.4</v>
      </c>
      <c r="H850" s="204"/>
    </row>
    <row r="851" spans="1:8" ht="31.5">
      <c r="A851" s="26" t="s">
        <v>183</v>
      </c>
      <c r="B851" s="17">
        <v>908</v>
      </c>
      <c r="C851" s="21" t="s">
        <v>286</v>
      </c>
      <c r="D851" s="21" t="s">
        <v>267</v>
      </c>
      <c r="E851" s="21" t="s">
        <v>600</v>
      </c>
      <c r="F851" s="21" t="s">
        <v>184</v>
      </c>
      <c r="G851" s="27">
        <f>G852</f>
        <v>253.4</v>
      </c>
      <c r="H851" s="204"/>
    </row>
    <row r="852" spans="1:8" ht="47.25">
      <c r="A852" s="26" t="s">
        <v>185</v>
      </c>
      <c r="B852" s="17">
        <v>908</v>
      </c>
      <c r="C852" s="21" t="s">
        <v>286</v>
      </c>
      <c r="D852" s="21" t="s">
        <v>267</v>
      </c>
      <c r="E852" s="21" t="s">
        <v>600</v>
      </c>
      <c r="F852" s="21" t="s">
        <v>186</v>
      </c>
      <c r="G852" s="27">
        <v>253.4</v>
      </c>
      <c r="H852" s="204"/>
    </row>
    <row r="853" spans="1:8" ht="15.75">
      <c r="A853" s="26" t="s">
        <v>601</v>
      </c>
      <c r="B853" s="17">
        <v>908</v>
      </c>
      <c r="C853" s="21" t="s">
        <v>286</v>
      </c>
      <c r="D853" s="21" t="s">
        <v>267</v>
      </c>
      <c r="E853" s="21" t="s">
        <v>602</v>
      </c>
      <c r="F853" s="21"/>
      <c r="G853" s="27">
        <f>G854</f>
        <v>5258.6</v>
      </c>
      <c r="H853" s="204"/>
    </row>
    <row r="854" spans="1:8" ht="31.5">
      <c r="A854" s="26" t="s">
        <v>183</v>
      </c>
      <c r="B854" s="17">
        <v>908</v>
      </c>
      <c r="C854" s="21" t="s">
        <v>286</v>
      </c>
      <c r="D854" s="21" t="s">
        <v>267</v>
      </c>
      <c r="E854" s="21" t="s">
        <v>602</v>
      </c>
      <c r="F854" s="21" t="s">
        <v>184</v>
      </c>
      <c r="G854" s="27">
        <f>G855</f>
        <v>5258.6</v>
      </c>
      <c r="H854" s="204"/>
    </row>
    <row r="855" spans="1:8" ht="47.25">
      <c r="A855" s="26" t="s">
        <v>185</v>
      </c>
      <c r="B855" s="17">
        <v>908</v>
      </c>
      <c r="C855" s="21" t="s">
        <v>286</v>
      </c>
      <c r="D855" s="21" t="s">
        <v>267</v>
      </c>
      <c r="E855" s="21" t="s">
        <v>602</v>
      </c>
      <c r="F855" s="21" t="s">
        <v>186</v>
      </c>
      <c r="G855" s="27">
        <v>5258.6</v>
      </c>
      <c r="H855" s="204"/>
    </row>
    <row r="856" spans="1:8" ht="15.75">
      <c r="A856" s="26" t="s">
        <v>603</v>
      </c>
      <c r="B856" s="17">
        <v>908</v>
      </c>
      <c r="C856" s="21" t="s">
        <v>286</v>
      </c>
      <c r="D856" s="21" t="s">
        <v>267</v>
      </c>
      <c r="E856" s="21" t="s">
        <v>604</v>
      </c>
      <c r="F856" s="21"/>
      <c r="G856" s="27">
        <f>G857</f>
        <v>3185.3</v>
      </c>
      <c r="H856" s="204"/>
    </row>
    <row r="857" spans="1:8" ht="31.5">
      <c r="A857" s="26" t="s">
        <v>183</v>
      </c>
      <c r="B857" s="17">
        <v>908</v>
      </c>
      <c r="C857" s="21" t="s">
        <v>286</v>
      </c>
      <c r="D857" s="21" t="s">
        <v>267</v>
      </c>
      <c r="E857" s="21" t="s">
        <v>604</v>
      </c>
      <c r="F857" s="21" t="s">
        <v>184</v>
      </c>
      <c r="G857" s="27">
        <f>G858</f>
        <v>3185.3</v>
      </c>
      <c r="H857" s="204"/>
    </row>
    <row r="858" spans="1:8" ht="47.25">
      <c r="A858" s="26" t="s">
        <v>185</v>
      </c>
      <c r="B858" s="17">
        <v>908</v>
      </c>
      <c r="C858" s="21" t="s">
        <v>286</v>
      </c>
      <c r="D858" s="21" t="s">
        <v>267</v>
      </c>
      <c r="E858" s="21" t="s">
        <v>604</v>
      </c>
      <c r="F858" s="21" t="s">
        <v>186</v>
      </c>
      <c r="G858" s="27">
        <v>3185.3</v>
      </c>
      <c r="H858" s="204"/>
    </row>
    <row r="859" spans="1:8" ht="47.25">
      <c r="A859" s="26" t="s">
        <v>605</v>
      </c>
      <c r="B859" s="17">
        <v>908</v>
      </c>
      <c r="C859" s="21" t="s">
        <v>286</v>
      </c>
      <c r="D859" s="21" t="s">
        <v>267</v>
      </c>
      <c r="E859" s="21" t="s">
        <v>606</v>
      </c>
      <c r="F859" s="21"/>
      <c r="G859" s="27">
        <f>G860+G865+G868+G871</f>
        <v>3678.1999999999994</v>
      </c>
      <c r="H859" s="204"/>
    </row>
    <row r="860" spans="1:8" ht="15.75">
      <c r="A860" s="26" t="s">
        <v>603</v>
      </c>
      <c r="B860" s="17">
        <v>908</v>
      </c>
      <c r="C860" s="21" t="s">
        <v>286</v>
      </c>
      <c r="D860" s="21" t="s">
        <v>267</v>
      </c>
      <c r="E860" s="21" t="s">
        <v>607</v>
      </c>
      <c r="F860" s="21"/>
      <c r="G860" s="27">
        <f>G861+G863</f>
        <v>1112.3999999999999</v>
      </c>
      <c r="H860" s="204"/>
    </row>
    <row r="861" spans="1:8" ht="94.5">
      <c r="A861" s="26" t="s">
        <v>179</v>
      </c>
      <c r="B861" s="17">
        <v>908</v>
      </c>
      <c r="C861" s="21" t="s">
        <v>286</v>
      </c>
      <c r="D861" s="21" t="s">
        <v>267</v>
      </c>
      <c r="E861" s="21" t="s">
        <v>607</v>
      </c>
      <c r="F861" s="21" t="s">
        <v>180</v>
      </c>
      <c r="G861" s="27">
        <f>G862</f>
        <v>892.8</v>
      </c>
      <c r="H861" s="204"/>
    </row>
    <row r="862" spans="1:8" ht="31.5">
      <c r="A862" s="48" t="s">
        <v>394</v>
      </c>
      <c r="B862" s="17">
        <v>908</v>
      </c>
      <c r="C862" s="21" t="s">
        <v>286</v>
      </c>
      <c r="D862" s="21" t="s">
        <v>267</v>
      </c>
      <c r="E862" s="21" t="s">
        <v>607</v>
      </c>
      <c r="F862" s="21" t="s">
        <v>261</v>
      </c>
      <c r="G862" s="27">
        <f>801.5+91.3</f>
        <v>892.8</v>
      </c>
      <c r="H862" s="129"/>
    </row>
    <row r="863" spans="1:8" ht="31.5">
      <c r="A863" s="26" t="s">
        <v>183</v>
      </c>
      <c r="B863" s="17">
        <v>908</v>
      </c>
      <c r="C863" s="21" t="s">
        <v>286</v>
      </c>
      <c r="D863" s="21" t="s">
        <v>267</v>
      </c>
      <c r="E863" s="21" t="s">
        <v>607</v>
      </c>
      <c r="F863" s="21" t="s">
        <v>184</v>
      </c>
      <c r="G863" s="27">
        <f>G864</f>
        <v>219.6</v>
      </c>
      <c r="H863" s="204"/>
    </row>
    <row r="864" spans="1:8" ht="47.25">
      <c r="A864" s="26" t="s">
        <v>185</v>
      </c>
      <c r="B864" s="17">
        <v>908</v>
      </c>
      <c r="C864" s="21" t="s">
        <v>286</v>
      </c>
      <c r="D864" s="21" t="s">
        <v>267</v>
      </c>
      <c r="E864" s="21" t="s">
        <v>607</v>
      </c>
      <c r="F864" s="21" t="s">
        <v>186</v>
      </c>
      <c r="G864" s="27">
        <v>219.6</v>
      </c>
      <c r="H864" s="204"/>
    </row>
    <row r="865" spans="1:8" ht="15.75">
      <c r="A865" s="26" t="s">
        <v>608</v>
      </c>
      <c r="B865" s="17">
        <v>908</v>
      </c>
      <c r="C865" s="21" t="s">
        <v>286</v>
      </c>
      <c r="D865" s="21" t="s">
        <v>267</v>
      </c>
      <c r="E865" s="21" t="s">
        <v>609</v>
      </c>
      <c r="F865" s="21"/>
      <c r="G865" s="27">
        <f>G866</f>
        <v>86.6</v>
      </c>
      <c r="H865" s="204"/>
    </row>
    <row r="866" spans="1:8" ht="31.5">
      <c r="A866" s="26" t="s">
        <v>183</v>
      </c>
      <c r="B866" s="17">
        <v>908</v>
      </c>
      <c r="C866" s="21" t="s">
        <v>286</v>
      </c>
      <c r="D866" s="21" t="s">
        <v>267</v>
      </c>
      <c r="E866" s="21" t="s">
        <v>609</v>
      </c>
      <c r="F866" s="21" t="s">
        <v>184</v>
      </c>
      <c r="G866" s="27">
        <f>G867</f>
        <v>86.6</v>
      </c>
      <c r="H866" s="204"/>
    </row>
    <row r="867" spans="1:8" ht="47.25">
      <c r="A867" s="26" t="s">
        <v>185</v>
      </c>
      <c r="B867" s="17">
        <v>908</v>
      </c>
      <c r="C867" s="21" t="s">
        <v>286</v>
      </c>
      <c r="D867" s="21" t="s">
        <v>267</v>
      </c>
      <c r="E867" s="21" t="s">
        <v>609</v>
      </c>
      <c r="F867" s="21" t="s">
        <v>186</v>
      </c>
      <c r="G867" s="27">
        <v>86.6</v>
      </c>
      <c r="H867" s="204"/>
    </row>
    <row r="868" spans="1:8" ht="47.25">
      <c r="A868" s="47" t="s">
        <v>610</v>
      </c>
      <c r="B868" s="17">
        <v>908</v>
      </c>
      <c r="C868" s="21" t="s">
        <v>286</v>
      </c>
      <c r="D868" s="21" t="s">
        <v>267</v>
      </c>
      <c r="E868" s="21" t="s">
        <v>611</v>
      </c>
      <c r="F868" s="21"/>
      <c r="G868" s="27">
        <f>G869</f>
        <v>2130.6</v>
      </c>
      <c r="H868" s="204"/>
    </row>
    <row r="869" spans="1:8" ht="31.5">
      <c r="A869" s="26" t="s">
        <v>183</v>
      </c>
      <c r="B869" s="17">
        <v>908</v>
      </c>
      <c r="C869" s="21" t="s">
        <v>286</v>
      </c>
      <c r="D869" s="21" t="s">
        <v>267</v>
      </c>
      <c r="E869" s="21" t="s">
        <v>611</v>
      </c>
      <c r="F869" s="21" t="s">
        <v>184</v>
      </c>
      <c r="G869" s="27">
        <f>G870</f>
        <v>2130.6</v>
      </c>
      <c r="H869" s="204"/>
    </row>
    <row r="870" spans="1:8" ht="47.25">
      <c r="A870" s="26" t="s">
        <v>185</v>
      </c>
      <c r="B870" s="17">
        <v>908</v>
      </c>
      <c r="C870" s="21" t="s">
        <v>286</v>
      </c>
      <c r="D870" s="21" t="s">
        <v>267</v>
      </c>
      <c r="E870" s="21" t="s">
        <v>611</v>
      </c>
      <c r="F870" s="21" t="s">
        <v>186</v>
      </c>
      <c r="G870" s="27">
        <v>2130.6</v>
      </c>
      <c r="H870" s="204"/>
    </row>
    <row r="871" spans="1:8" ht="31.5">
      <c r="A871" s="47" t="s">
        <v>612</v>
      </c>
      <c r="B871" s="17">
        <v>908</v>
      </c>
      <c r="C871" s="21" t="s">
        <v>286</v>
      </c>
      <c r="D871" s="21" t="s">
        <v>267</v>
      </c>
      <c r="E871" s="21" t="s">
        <v>613</v>
      </c>
      <c r="F871" s="21"/>
      <c r="G871" s="27">
        <f>G872</f>
        <v>348.6</v>
      </c>
      <c r="H871" s="204"/>
    </row>
    <row r="872" spans="1:8" ht="31.5">
      <c r="A872" s="26" t="s">
        <v>183</v>
      </c>
      <c r="B872" s="17">
        <v>908</v>
      </c>
      <c r="C872" s="21" t="s">
        <v>286</v>
      </c>
      <c r="D872" s="21" t="s">
        <v>267</v>
      </c>
      <c r="E872" s="21" t="s">
        <v>613</v>
      </c>
      <c r="F872" s="21" t="s">
        <v>184</v>
      </c>
      <c r="G872" s="27">
        <f>G873</f>
        <v>348.6</v>
      </c>
      <c r="H872" s="204"/>
    </row>
    <row r="873" spans="1:8" ht="47.25">
      <c r="A873" s="26" t="s">
        <v>185</v>
      </c>
      <c r="B873" s="17">
        <v>908</v>
      </c>
      <c r="C873" s="21" t="s">
        <v>286</v>
      </c>
      <c r="D873" s="21" t="s">
        <v>267</v>
      </c>
      <c r="E873" s="21" t="s">
        <v>613</v>
      </c>
      <c r="F873" s="21" t="s">
        <v>186</v>
      </c>
      <c r="G873" s="27">
        <v>348.6</v>
      </c>
      <c r="H873" s="204"/>
    </row>
    <row r="874" spans="1:8" ht="63">
      <c r="A874" s="26" t="s">
        <v>807</v>
      </c>
      <c r="B874" s="17">
        <v>908</v>
      </c>
      <c r="C874" s="21" t="s">
        <v>286</v>
      </c>
      <c r="D874" s="21" t="s">
        <v>267</v>
      </c>
      <c r="E874" s="21" t="s">
        <v>809</v>
      </c>
      <c r="F874" s="21"/>
      <c r="G874" s="27">
        <f>G875</f>
        <v>600</v>
      </c>
      <c r="H874" s="204"/>
    </row>
    <row r="875" spans="1:8" ht="31.5">
      <c r="A875" s="94" t="s">
        <v>808</v>
      </c>
      <c r="B875" s="17">
        <v>908</v>
      </c>
      <c r="C875" s="21" t="s">
        <v>286</v>
      </c>
      <c r="D875" s="21" t="s">
        <v>267</v>
      </c>
      <c r="E875" s="21" t="s">
        <v>810</v>
      </c>
      <c r="F875" s="21"/>
      <c r="G875" s="27">
        <f>G876</f>
        <v>600</v>
      </c>
      <c r="H875" s="204"/>
    </row>
    <row r="876" spans="1:8" ht="31.5">
      <c r="A876" s="26" t="s">
        <v>183</v>
      </c>
      <c r="B876" s="17">
        <v>908</v>
      </c>
      <c r="C876" s="21" t="s">
        <v>286</v>
      </c>
      <c r="D876" s="21" t="s">
        <v>267</v>
      </c>
      <c r="E876" s="21" t="s">
        <v>810</v>
      </c>
      <c r="F876" s="21" t="s">
        <v>184</v>
      </c>
      <c r="G876" s="27">
        <f>G877</f>
        <v>600</v>
      </c>
      <c r="H876" s="204"/>
    </row>
    <row r="877" spans="1:8" ht="47.25">
      <c r="A877" s="26" t="s">
        <v>185</v>
      </c>
      <c r="B877" s="17">
        <v>908</v>
      </c>
      <c r="C877" s="21" t="s">
        <v>286</v>
      </c>
      <c r="D877" s="21" t="s">
        <v>267</v>
      </c>
      <c r="E877" s="21" t="s">
        <v>810</v>
      </c>
      <c r="F877" s="21" t="s">
        <v>186</v>
      </c>
      <c r="G877" s="27">
        <v>600</v>
      </c>
      <c r="H877" s="129"/>
    </row>
    <row r="878" spans="1:8" ht="15.75">
      <c r="A878" s="26" t="s">
        <v>173</v>
      </c>
      <c r="B878" s="17">
        <v>908</v>
      </c>
      <c r="C878" s="21" t="s">
        <v>286</v>
      </c>
      <c r="D878" s="21" t="s">
        <v>267</v>
      </c>
      <c r="E878" s="21" t="s">
        <v>174</v>
      </c>
      <c r="F878" s="21"/>
      <c r="G878" s="27">
        <f>G879+G892</f>
        <v>12489.099999999999</v>
      </c>
      <c r="H878" s="204"/>
    </row>
    <row r="879" spans="1:8" ht="31.5">
      <c r="A879" s="26" t="s">
        <v>237</v>
      </c>
      <c r="B879" s="17">
        <v>908</v>
      </c>
      <c r="C879" s="21" t="s">
        <v>286</v>
      </c>
      <c r="D879" s="21" t="s">
        <v>267</v>
      </c>
      <c r="E879" s="21" t="s">
        <v>238</v>
      </c>
      <c r="F879" s="21"/>
      <c r="G879" s="27">
        <f>G880+G883+G886+G889</f>
        <v>12033.199999999999</v>
      </c>
      <c r="H879" s="204"/>
    </row>
    <row r="880" spans="1:8" ht="31.5">
      <c r="A880" s="26" t="s">
        <v>614</v>
      </c>
      <c r="B880" s="17">
        <v>908</v>
      </c>
      <c r="C880" s="21" t="s">
        <v>286</v>
      </c>
      <c r="D880" s="21" t="s">
        <v>267</v>
      </c>
      <c r="E880" s="21" t="s">
        <v>615</v>
      </c>
      <c r="F880" s="21"/>
      <c r="G880" s="27">
        <f>G881</f>
        <v>6302.4</v>
      </c>
      <c r="H880" s="204"/>
    </row>
    <row r="881" spans="1:8" ht="31.5">
      <c r="A881" s="26" t="s">
        <v>183</v>
      </c>
      <c r="B881" s="17">
        <v>908</v>
      </c>
      <c r="C881" s="21" t="s">
        <v>286</v>
      </c>
      <c r="D881" s="21" t="s">
        <v>267</v>
      </c>
      <c r="E881" s="21" t="s">
        <v>615</v>
      </c>
      <c r="F881" s="21" t="s">
        <v>184</v>
      </c>
      <c r="G881" s="27">
        <f>G882</f>
        <v>6302.4</v>
      </c>
      <c r="H881" s="204"/>
    </row>
    <row r="882" spans="1:9" ht="47.25">
      <c r="A882" s="26" t="s">
        <v>185</v>
      </c>
      <c r="B882" s="17">
        <v>908</v>
      </c>
      <c r="C882" s="21" t="s">
        <v>286</v>
      </c>
      <c r="D882" s="21" t="s">
        <v>267</v>
      </c>
      <c r="E882" s="21" t="s">
        <v>615</v>
      </c>
      <c r="F882" s="21" t="s">
        <v>186</v>
      </c>
      <c r="G882" s="27">
        <f>3907.3-814.9+3210</f>
        <v>6302.4</v>
      </c>
      <c r="H882" s="129"/>
      <c r="I882" s="138"/>
    </row>
    <row r="883" spans="1:8" ht="47.25">
      <c r="A883" s="26" t="s">
        <v>773</v>
      </c>
      <c r="B883" s="17">
        <v>908</v>
      </c>
      <c r="C883" s="21" t="s">
        <v>286</v>
      </c>
      <c r="D883" s="21" t="s">
        <v>267</v>
      </c>
      <c r="E883" s="21" t="s">
        <v>774</v>
      </c>
      <c r="F883" s="21"/>
      <c r="G883" s="27">
        <f aca="true" t="shared" si="149" ref="G883:G884">G884</f>
        <v>2132</v>
      </c>
      <c r="H883" s="204"/>
    </row>
    <row r="884" spans="1:8" ht="31.5">
      <c r="A884" s="26" t="s">
        <v>183</v>
      </c>
      <c r="B884" s="17">
        <v>908</v>
      </c>
      <c r="C884" s="21" t="s">
        <v>286</v>
      </c>
      <c r="D884" s="21" t="s">
        <v>267</v>
      </c>
      <c r="E884" s="21" t="s">
        <v>774</v>
      </c>
      <c r="F884" s="21" t="s">
        <v>184</v>
      </c>
      <c r="G884" s="27">
        <f t="shared" si="149"/>
        <v>2132</v>
      </c>
      <c r="H884" s="204"/>
    </row>
    <row r="885" spans="1:8" ht="47.25">
      <c r="A885" s="26" t="s">
        <v>185</v>
      </c>
      <c r="B885" s="17">
        <v>908</v>
      </c>
      <c r="C885" s="21" t="s">
        <v>286</v>
      </c>
      <c r="D885" s="21" t="s">
        <v>267</v>
      </c>
      <c r="E885" s="21" t="s">
        <v>774</v>
      </c>
      <c r="F885" s="21" t="s">
        <v>186</v>
      </c>
      <c r="G885" s="27">
        <v>2132</v>
      </c>
      <c r="H885" s="129"/>
    </row>
    <row r="886" spans="1:8" ht="47.25">
      <c r="A886" s="26" t="s">
        <v>775</v>
      </c>
      <c r="B886" s="17">
        <v>908</v>
      </c>
      <c r="C886" s="21" t="s">
        <v>286</v>
      </c>
      <c r="D886" s="21" t="s">
        <v>267</v>
      </c>
      <c r="E886" s="21" t="s">
        <v>616</v>
      </c>
      <c r="F886" s="21"/>
      <c r="G886" s="27">
        <f aca="true" t="shared" si="150" ref="G886:G887">G887</f>
        <v>2000</v>
      </c>
      <c r="H886" s="204"/>
    </row>
    <row r="887" spans="1:8" ht="31.5">
      <c r="A887" s="26" t="s">
        <v>183</v>
      </c>
      <c r="B887" s="17">
        <v>908</v>
      </c>
      <c r="C887" s="21" t="s">
        <v>286</v>
      </c>
      <c r="D887" s="21" t="s">
        <v>267</v>
      </c>
      <c r="E887" s="21" t="s">
        <v>616</v>
      </c>
      <c r="F887" s="21" t="s">
        <v>184</v>
      </c>
      <c r="G887" s="27">
        <f t="shared" si="150"/>
        <v>2000</v>
      </c>
      <c r="H887" s="204"/>
    </row>
    <row r="888" spans="1:8" ht="47.25">
      <c r="A888" s="26" t="s">
        <v>185</v>
      </c>
      <c r="B888" s="17">
        <v>908</v>
      </c>
      <c r="C888" s="21" t="s">
        <v>286</v>
      </c>
      <c r="D888" s="21" t="s">
        <v>267</v>
      </c>
      <c r="E888" s="21" t="s">
        <v>616</v>
      </c>
      <c r="F888" s="21" t="s">
        <v>186</v>
      </c>
      <c r="G888" s="27">
        <v>2000</v>
      </c>
      <c r="H888" s="129"/>
    </row>
    <row r="889" spans="1:8" ht="63">
      <c r="A889" s="26" t="s">
        <v>776</v>
      </c>
      <c r="B889" s="17">
        <v>908</v>
      </c>
      <c r="C889" s="21" t="s">
        <v>286</v>
      </c>
      <c r="D889" s="21" t="s">
        <v>267</v>
      </c>
      <c r="E889" s="21" t="s">
        <v>777</v>
      </c>
      <c r="F889" s="21"/>
      <c r="G889" s="27">
        <f>G890</f>
        <v>1598.8</v>
      </c>
      <c r="H889" s="131"/>
    </row>
    <row r="890" spans="1:8" ht="31.5">
      <c r="A890" s="26" t="s">
        <v>183</v>
      </c>
      <c r="B890" s="17">
        <v>908</v>
      </c>
      <c r="C890" s="21" t="s">
        <v>286</v>
      </c>
      <c r="D890" s="21" t="s">
        <v>267</v>
      </c>
      <c r="E890" s="21" t="s">
        <v>777</v>
      </c>
      <c r="F890" s="21" t="s">
        <v>184</v>
      </c>
      <c r="G890" s="27">
        <f>G891</f>
        <v>1598.8</v>
      </c>
      <c r="H890" s="131"/>
    </row>
    <row r="891" spans="1:8" ht="47.25">
      <c r="A891" s="26" t="s">
        <v>185</v>
      </c>
      <c r="B891" s="17">
        <v>908</v>
      </c>
      <c r="C891" s="21" t="s">
        <v>286</v>
      </c>
      <c r="D891" s="21" t="s">
        <v>267</v>
      </c>
      <c r="E891" s="21" t="s">
        <v>777</v>
      </c>
      <c r="F891" s="21" t="s">
        <v>186</v>
      </c>
      <c r="G891" s="27">
        <v>1598.8</v>
      </c>
      <c r="H891" s="131"/>
    </row>
    <row r="892" spans="1:8" ht="15.75">
      <c r="A892" s="26" t="s">
        <v>193</v>
      </c>
      <c r="B892" s="17">
        <v>908</v>
      </c>
      <c r="C892" s="21" t="s">
        <v>286</v>
      </c>
      <c r="D892" s="21" t="s">
        <v>267</v>
      </c>
      <c r="E892" s="21" t="s">
        <v>194</v>
      </c>
      <c r="F892" s="21"/>
      <c r="G892" s="27">
        <f>G893</f>
        <v>455.9</v>
      </c>
      <c r="H892" s="204"/>
    </row>
    <row r="893" spans="1:8" ht="15.75">
      <c r="A893" s="26" t="s">
        <v>617</v>
      </c>
      <c r="B893" s="17">
        <v>908</v>
      </c>
      <c r="C893" s="21" t="s">
        <v>286</v>
      </c>
      <c r="D893" s="21" t="s">
        <v>267</v>
      </c>
      <c r="E893" s="21" t="s">
        <v>618</v>
      </c>
      <c r="F893" s="21"/>
      <c r="G893" s="27">
        <f>G894</f>
        <v>455.9</v>
      </c>
      <c r="H893" s="204"/>
    </row>
    <row r="894" spans="1:8" ht="31.5">
      <c r="A894" s="26" t="s">
        <v>183</v>
      </c>
      <c r="B894" s="17">
        <v>908</v>
      </c>
      <c r="C894" s="21" t="s">
        <v>286</v>
      </c>
      <c r="D894" s="21" t="s">
        <v>267</v>
      </c>
      <c r="E894" s="21" t="s">
        <v>618</v>
      </c>
      <c r="F894" s="21" t="s">
        <v>184</v>
      </c>
      <c r="G894" s="27">
        <f>G895</f>
        <v>455.9</v>
      </c>
      <c r="H894" s="204"/>
    </row>
    <row r="895" spans="1:8" ht="47.25">
      <c r="A895" s="26" t="s">
        <v>185</v>
      </c>
      <c r="B895" s="17">
        <v>908</v>
      </c>
      <c r="C895" s="21" t="s">
        <v>286</v>
      </c>
      <c r="D895" s="21" t="s">
        <v>267</v>
      </c>
      <c r="E895" s="21" t="s">
        <v>618</v>
      </c>
      <c r="F895" s="21" t="s">
        <v>186</v>
      </c>
      <c r="G895" s="28">
        <v>455.9</v>
      </c>
      <c r="H895" s="204"/>
    </row>
    <row r="896" spans="1:8" ht="15.75" hidden="1">
      <c r="A896" s="26" t="s">
        <v>619</v>
      </c>
      <c r="B896" s="17">
        <v>908</v>
      </c>
      <c r="C896" s="21" t="s">
        <v>286</v>
      </c>
      <c r="D896" s="21" t="s">
        <v>267</v>
      </c>
      <c r="E896" s="21" t="s">
        <v>620</v>
      </c>
      <c r="F896" s="21"/>
      <c r="G896" s="28">
        <f aca="true" t="shared" si="151" ref="G896:G897">G897</f>
        <v>0</v>
      </c>
      <c r="H896" s="204"/>
    </row>
    <row r="897" spans="1:8" ht="15.75" hidden="1">
      <c r="A897" s="26" t="s">
        <v>187</v>
      </c>
      <c r="B897" s="17">
        <v>908</v>
      </c>
      <c r="C897" s="21" t="s">
        <v>286</v>
      </c>
      <c r="D897" s="21" t="s">
        <v>267</v>
      </c>
      <c r="E897" s="21" t="s">
        <v>620</v>
      </c>
      <c r="F897" s="21" t="s">
        <v>197</v>
      </c>
      <c r="G897" s="28">
        <f t="shared" si="151"/>
        <v>0</v>
      </c>
      <c r="H897" s="204"/>
    </row>
    <row r="898" spans="1:8" ht="15.75" hidden="1">
      <c r="A898" s="26" t="s">
        <v>621</v>
      </c>
      <c r="B898" s="17">
        <v>908</v>
      </c>
      <c r="C898" s="21" t="s">
        <v>286</v>
      </c>
      <c r="D898" s="21" t="s">
        <v>267</v>
      </c>
      <c r="E898" s="21" t="s">
        <v>620</v>
      </c>
      <c r="F898" s="21" t="s">
        <v>190</v>
      </c>
      <c r="G898" s="28">
        <v>0</v>
      </c>
      <c r="H898" s="204"/>
    </row>
    <row r="899" spans="1:8" ht="31.5">
      <c r="A899" s="24" t="s">
        <v>622</v>
      </c>
      <c r="B899" s="20">
        <v>908</v>
      </c>
      <c r="C899" s="25" t="s">
        <v>286</v>
      </c>
      <c r="D899" s="25" t="s">
        <v>286</v>
      </c>
      <c r="E899" s="25"/>
      <c r="F899" s="25"/>
      <c r="G899" s="22">
        <f>G900</f>
        <v>21124.69</v>
      </c>
      <c r="H899" s="204"/>
    </row>
    <row r="900" spans="1:8" ht="15.75">
      <c r="A900" s="26" t="s">
        <v>173</v>
      </c>
      <c r="B900" s="17">
        <v>908</v>
      </c>
      <c r="C900" s="21" t="s">
        <v>286</v>
      </c>
      <c r="D900" s="21" t="s">
        <v>286</v>
      </c>
      <c r="E900" s="21" t="s">
        <v>174</v>
      </c>
      <c r="F900" s="21"/>
      <c r="G900" s="27">
        <f>G901+G909</f>
        <v>21124.69</v>
      </c>
      <c r="H900" s="204"/>
    </row>
    <row r="901" spans="1:8" ht="31.5">
      <c r="A901" s="26" t="s">
        <v>175</v>
      </c>
      <c r="B901" s="17">
        <v>908</v>
      </c>
      <c r="C901" s="21" t="s">
        <v>286</v>
      </c>
      <c r="D901" s="21" t="s">
        <v>286</v>
      </c>
      <c r="E901" s="21" t="s">
        <v>176</v>
      </c>
      <c r="F901" s="21"/>
      <c r="G901" s="27">
        <f>G902</f>
        <v>13501.699999999999</v>
      </c>
      <c r="H901" s="204"/>
    </row>
    <row r="902" spans="1:8" ht="47.25">
      <c r="A902" s="26" t="s">
        <v>177</v>
      </c>
      <c r="B902" s="17">
        <v>908</v>
      </c>
      <c r="C902" s="21" t="s">
        <v>286</v>
      </c>
      <c r="D902" s="21" t="s">
        <v>286</v>
      </c>
      <c r="E902" s="21" t="s">
        <v>178</v>
      </c>
      <c r="F902" s="21"/>
      <c r="G902" s="27">
        <f>G903+G907+G905</f>
        <v>13501.699999999999</v>
      </c>
      <c r="H902" s="204"/>
    </row>
    <row r="903" spans="1:8" ht="94.5">
      <c r="A903" s="26" t="s">
        <v>179</v>
      </c>
      <c r="B903" s="17">
        <v>908</v>
      </c>
      <c r="C903" s="21" t="s">
        <v>286</v>
      </c>
      <c r="D903" s="21" t="s">
        <v>286</v>
      </c>
      <c r="E903" s="21" t="s">
        <v>178</v>
      </c>
      <c r="F903" s="21" t="s">
        <v>180</v>
      </c>
      <c r="G903" s="27">
        <f>G904</f>
        <v>13327.8</v>
      </c>
      <c r="H903" s="204"/>
    </row>
    <row r="904" spans="1:10" ht="31.5">
      <c r="A904" s="26" t="s">
        <v>181</v>
      </c>
      <c r="B904" s="17">
        <v>908</v>
      </c>
      <c r="C904" s="21" t="s">
        <v>286</v>
      </c>
      <c r="D904" s="21" t="s">
        <v>286</v>
      </c>
      <c r="E904" s="21" t="s">
        <v>178</v>
      </c>
      <c r="F904" s="21" t="s">
        <v>182</v>
      </c>
      <c r="G904" s="192">
        <f>13259.3+28.4+100-59.9</f>
        <v>13327.8</v>
      </c>
      <c r="H904" s="129" t="s">
        <v>845</v>
      </c>
      <c r="I904" s="147"/>
      <c r="J904" s="198" t="s">
        <v>854</v>
      </c>
    </row>
    <row r="905" spans="1:8" ht="31.5">
      <c r="A905" s="26" t="s">
        <v>183</v>
      </c>
      <c r="B905" s="17">
        <v>908</v>
      </c>
      <c r="C905" s="21" t="s">
        <v>286</v>
      </c>
      <c r="D905" s="21" t="s">
        <v>286</v>
      </c>
      <c r="E905" s="21" t="s">
        <v>178</v>
      </c>
      <c r="F905" s="21" t="s">
        <v>184</v>
      </c>
      <c r="G905" s="27">
        <f aca="true" t="shared" si="152" ref="G905">G906</f>
        <v>25</v>
      </c>
      <c r="H905" s="204"/>
    </row>
    <row r="906" spans="1:9" ht="47.25">
      <c r="A906" s="26" t="s">
        <v>185</v>
      </c>
      <c r="B906" s="17">
        <v>908</v>
      </c>
      <c r="C906" s="21" t="s">
        <v>286</v>
      </c>
      <c r="D906" s="21" t="s">
        <v>286</v>
      </c>
      <c r="E906" s="21" t="s">
        <v>178</v>
      </c>
      <c r="F906" s="21" t="s">
        <v>186</v>
      </c>
      <c r="G906" s="28">
        <v>25</v>
      </c>
      <c r="H906" s="129"/>
      <c r="I906" s="147"/>
    </row>
    <row r="907" spans="1:8" ht="15.75">
      <c r="A907" s="26" t="s">
        <v>187</v>
      </c>
      <c r="B907" s="17">
        <v>908</v>
      </c>
      <c r="C907" s="21" t="s">
        <v>286</v>
      </c>
      <c r="D907" s="21" t="s">
        <v>286</v>
      </c>
      <c r="E907" s="21" t="s">
        <v>178</v>
      </c>
      <c r="F907" s="21" t="s">
        <v>197</v>
      </c>
      <c r="G907" s="27">
        <f>G908</f>
        <v>148.9</v>
      </c>
      <c r="H907" s="204"/>
    </row>
    <row r="908" spans="1:8" ht="15.75">
      <c r="A908" s="26" t="s">
        <v>621</v>
      </c>
      <c r="B908" s="17">
        <v>908</v>
      </c>
      <c r="C908" s="21" t="s">
        <v>286</v>
      </c>
      <c r="D908" s="21" t="s">
        <v>286</v>
      </c>
      <c r="E908" s="21" t="s">
        <v>178</v>
      </c>
      <c r="F908" s="21" t="s">
        <v>190</v>
      </c>
      <c r="G908" s="188">
        <f>89+59.9</f>
        <v>148.9</v>
      </c>
      <c r="H908" s="183" t="s">
        <v>844</v>
      </c>
    </row>
    <row r="909" spans="1:8" ht="15.75">
      <c r="A909" s="26" t="s">
        <v>193</v>
      </c>
      <c r="B909" s="17">
        <v>908</v>
      </c>
      <c r="C909" s="21" t="s">
        <v>286</v>
      </c>
      <c r="D909" s="21" t="s">
        <v>286</v>
      </c>
      <c r="E909" s="21" t="s">
        <v>194</v>
      </c>
      <c r="F909" s="21"/>
      <c r="G909" s="27">
        <f>G913+G910</f>
        <v>7622.99</v>
      </c>
      <c r="H909" s="204"/>
    </row>
    <row r="910" spans="1:8" ht="31.5">
      <c r="A910" s="26" t="s">
        <v>623</v>
      </c>
      <c r="B910" s="17">
        <v>908</v>
      </c>
      <c r="C910" s="21" t="s">
        <v>286</v>
      </c>
      <c r="D910" s="21" t="s">
        <v>286</v>
      </c>
      <c r="E910" s="21" t="s">
        <v>624</v>
      </c>
      <c r="F910" s="21"/>
      <c r="G910" s="28">
        <f>G911</f>
        <v>1461</v>
      </c>
      <c r="H910" s="204"/>
    </row>
    <row r="911" spans="1:8" ht="15.75">
      <c r="A911" s="26" t="s">
        <v>187</v>
      </c>
      <c r="B911" s="17">
        <v>908</v>
      </c>
      <c r="C911" s="21" t="s">
        <v>286</v>
      </c>
      <c r="D911" s="21" t="s">
        <v>286</v>
      </c>
      <c r="E911" s="21" t="s">
        <v>624</v>
      </c>
      <c r="F911" s="21" t="s">
        <v>197</v>
      </c>
      <c r="G911" s="28">
        <f>G912</f>
        <v>1461</v>
      </c>
      <c r="H911" s="204"/>
    </row>
    <row r="912" spans="1:8" ht="63">
      <c r="A912" s="26" t="s">
        <v>236</v>
      </c>
      <c r="B912" s="17">
        <v>908</v>
      </c>
      <c r="C912" s="21" t="s">
        <v>286</v>
      </c>
      <c r="D912" s="21" t="s">
        <v>286</v>
      </c>
      <c r="E912" s="21" t="s">
        <v>624</v>
      </c>
      <c r="F912" s="21" t="s">
        <v>212</v>
      </c>
      <c r="G912" s="28">
        <v>1461</v>
      </c>
      <c r="H912" s="204"/>
    </row>
    <row r="913" spans="1:8" ht="31.5">
      <c r="A913" s="26" t="s">
        <v>392</v>
      </c>
      <c r="B913" s="17">
        <v>908</v>
      </c>
      <c r="C913" s="21" t="s">
        <v>286</v>
      </c>
      <c r="D913" s="21" t="s">
        <v>286</v>
      </c>
      <c r="E913" s="21" t="s">
        <v>393</v>
      </c>
      <c r="F913" s="21"/>
      <c r="G913" s="27">
        <f>G914+G916</f>
        <v>6161.99</v>
      </c>
      <c r="H913" s="204"/>
    </row>
    <row r="914" spans="1:8" ht="94.5">
      <c r="A914" s="26" t="s">
        <v>179</v>
      </c>
      <c r="B914" s="17">
        <v>908</v>
      </c>
      <c r="C914" s="21" t="s">
        <v>286</v>
      </c>
      <c r="D914" s="21" t="s">
        <v>286</v>
      </c>
      <c r="E914" s="21" t="s">
        <v>393</v>
      </c>
      <c r="F914" s="21" t="s">
        <v>180</v>
      </c>
      <c r="G914" s="27">
        <f>G915</f>
        <v>4505.49</v>
      </c>
      <c r="H914" s="204"/>
    </row>
    <row r="915" spans="1:10" ht="31.5">
      <c r="A915" s="26" t="s">
        <v>394</v>
      </c>
      <c r="B915" s="17">
        <v>908</v>
      </c>
      <c r="C915" s="21" t="s">
        <v>286</v>
      </c>
      <c r="D915" s="21" t="s">
        <v>286</v>
      </c>
      <c r="E915" s="21" t="s">
        <v>393</v>
      </c>
      <c r="F915" s="21" t="s">
        <v>261</v>
      </c>
      <c r="G915" s="182">
        <f>6196.89-1411.4-100-180</f>
        <v>4505.49</v>
      </c>
      <c r="H915" s="129" t="s">
        <v>860</v>
      </c>
      <c r="I915" s="147"/>
      <c r="J915" s="197" t="s">
        <v>859</v>
      </c>
    </row>
    <row r="916" spans="1:8" ht="31.5">
      <c r="A916" s="26" t="s">
        <v>183</v>
      </c>
      <c r="B916" s="17">
        <v>908</v>
      </c>
      <c r="C916" s="21" t="s">
        <v>286</v>
      </c>
      <c r="D916" s="21" t="s">
        <v>286</v>
      </c>
      <c r="E916" s="21" t="s">
        <v>393</v>
      </c>
      <c r="F916" s="21" t="s">
        <v>184</v>
      </c>
      <c r="G916" s="27">
        <f>G917</f>
        <v>1656.5</v>
      </c>
      <c r="H916" s="204"/>
    </row>
    <row r="917" spans="1:10" ht="47.25">
      <c r="A917" s="26" t="s">
        <v>185</v>
      </c>
      <c r="B917" s="17">
        <v>908</v>
      </c>
      <c r="C917" s="21" t="s">
        <v>286</v>
      </c>
      <c r="D917" s="21" t="s">
        <v>286</v>
      </c>
      <c r="E917" s="21" t="s">
        <v>393</v>
      </c>
      <c r="F917" s="21" t="s">
        <v>186</v>
      </c>
      <c r="G917" s="182">
        <f>1341.9+928.5-198.8-595.1+180</f>
        <v>1656.5</v>
      </c>
      <c r="H917" s="129" t="s">
        <v>861</v>
      </c>
      <c r="I917" s="148"/>
      <c r="J917" s="197"/>
    </row>
    <row r="918" spans="1:8" ht="15.75">
      <c r="A918" s="24" t="s">
        <v>295</v>
      </c>
      <c r="B918" s="20">
        <v>908</v>
      </c>
      <c r="C918" s="25" t="s">
        <v>296</v>
      </c>
      <c r="D918" s="25"/>
      <c r="E918" s="25"/>
      <c r="F918" s="25"/>
      <c r="G918" s="22">
        <f aca="true" t="shared" si="153" ref="G918:G923">G919</f>
        <v>87.1</v>
      </c>
      <c r="H918" s="204"/>
    </row>
    <row r="919" spans="1:8" ht="31.5">
      <c r="A919" s="24" t="s">
        <v>310</v>
      </c>
      <c r="B919" s="20">
        <v>908</v>
      </c>
      <c r="C919" s="25" t="s">
        <v>296</v>
      </c>
      <c r="D919" s="25" t="s">
        <v>172</v>
      </c>
      <c r="E919" s="25"/>
      <c r="F919" s="25"/>
      <c r="G919" s="22">
        <f t="shared" si="153"/>
        <v>87.1</v>
      </c>
      <c r="H919" s="204"/>
    </row>
    <row r="920" spans="1:8" ht="15.75">
      <c r="A920" s="26" t="s">
        <v>173</v>
      </c>
      <c r="B920" s="17">
        <v>908</v>
      </c>
      <c r="C920" s="21" t="s">
        <v>296</v>
      </c>
      <c r="D920" s="21" t="s">
        <v>172</v>
      </c>
      <c r="E920" s="21" t="s">
        <v>174</v>
      </c>
      <c r="F920" s="21"/>
      <c r="G920" s="22">
        <f t="shared" si="153"/>
        <v>87.1</v>
      </c>
      <c r="H920" s="204"/>
    </row>
    <row r="921" spans="1:8" ht="15.75">
      <c r="A921" s="26" t="s">
        <v>193</v>
      </c>
      <c r="B921" s="17">
        <v>908</v>
      </c>
      <c r="C921" s="21" t="s">
        <v>296</v>
      </c>
      <c r="D921" s="21" t="s">
        <v>172</v>
      </c>
      <c r="E921" s="21" t="s">
        <v>194</v>
      </c>
      <c r="F921" s="21"/>
      <c r="G921" s="27">
        <f t="shared" si="153"/>
        <v>87.1</v>
      </c>
      <c r="H921" s="204"/>
    </row>
    <row r="922" spans="1:8" ht="15.75">
      <c r="A922" s="26" t="s">
        <v>625</v>
      </c>
      <c r="B922" s="17">
        <v>908</v>
      </c>
      <c r="C922" s="21" t="s">
        <v>296</v>
      </c>
      <c r="D922" s="21" t="s">
        <v>172</v>
      </c>
      <c r="E922" s="21" t="s">
        <v>626</v>
      </c>
      <c r="F922" s="21"/>
      <c r="G922" s="27">
        <f t="shared" si="153"/>
        <v>87.1</v>
      </c>
      <c r="H922" s="204"/>
    </row>
    <row r="923" spans="1:8" ht="15.75">
      <c r="A923" s="26" t="s">
        <v>187</v>
      </c>
      <c r="B923" s="17">
        <v>908</v>
      </c>
      <c r="C923" s="21" t="s">
        <v>296</v>
      </c>
      <c r="D923" s="21" t="s">
        <v>172</v>
      </c>
      <c r="E923" s="21" t="s">
        <v>626</v>
      </c>
      <c r="F923" s="21" t="s">
        <v>197</v>
      </c>
      <c r="G923" s="27">
        <f t="shared" si="153"/>
        <v>87.1</v>
      </c>
      <c r="H923" s="204"/>
    </row>
    <row r="924" spans="1:8" ht="63">
      <c r="A924" s="26" t="s">
        <v>236</v>
      </c>
      <c r="B924" s="17">
        <v>908</v>
      </c>
      <c r="C924" s="21" t="s">
        <v>296</v>
      </c>
      <c r="D924" s="21" t="s">
        <v>172</v>
      </c>
      <c r="E924" s="21" t="s">
        <v>626</v>
      </c>
      <c r="F924" s="21" t="s">
        <v>212</v>
      </c>
      <c r="G924" s="27">
        <v>87.1</v>
      </c>
      <c r="H924" s="204"/>
    </row>
    <row r="925" spans="1:8" ht="31.5">
      <c r="A925" s="20" t="s">
        <v>627</v>
      </c>
      <c r="B925" s="20">
        <v>910</v>
      </c>
      <c r="C925" s="49"/>
      <c r="D925" s="49"/>
      <c r="E925" s="49"/>
      <c r="F925" s="49"/>
      <c r="G925" s="22">
        <f>G926</f>
        <v>7042.5</v>
      </c>
      <c r="H925" s="204"/>
    </row>
    <row r="926" spans="1:8" ht="15.75">
      <c r="A926" s="24" t="s">
        <v>169</v>
      </c>
      <c r="B926" s="20">
        <v>910</v>
      </c>
      <c r="C926" s="25" t="s">
        <v>170</v>
      </c>
      <c r="D926" s="25"/>
      <c r="E926" s="25"/>
      <c r="F926" s="25"/>
      <c r="G926" s="22">
        <f>G927+G935+G945+G953</f>
        <v>7042.5</v>
      </c>
      <c r="H926" s="204"/>
    </row>
    <row r="927" spans="1:8" ht="47.25">
      <c r="A927" s="24" t="s">
        <v>628</v>
      </c>
      <c r="B927" s="20">
        <v>910</v>
      </c>
      <c r="C927" s="25" t="s">
        <v>170</v>
      </c>
      <c r="D927" s="25" t="s">
        <v>265</v>
      </c>
      <c r="E927" s="25"/>
      <c r="F927" s="25"/>
      <c r="G927" s="22">
        <f>G928</f>
        <v>4188.8</v>
      </c>
      <c r="H927" s="204"/>
    </row>
    <row r="928" spans="1:8" ht="15.75">
      <c r="A928" s="26" t="s">
        <v>173</v>
      </c>
      <c r="B928" s="17">
        <v>910</v>
      </c>
      <c r="C928" s="21" t="s">
        <v>170</v>
      </c>
      <c r="D928" s="21" t="s">
        <v>265</v>
      </c>
      <c r="E928" s="21" t="s">
        <v>174</v>
      </c>
      <c r="F928" s="21"/>
      <c r="G928" s="27">
        <f aca="true" t="shared" si="154" ref="G928">G929</f>
        <v>4188.8</v>
      </c>
      <c r="H928" s="204"/>
    </row>
    <row r="929" spans="1:8" ht="31.5">
      <c r="A929" s="26" t="s">
        <v>175</v>
      </c>
      <c r="B929" s="17">
        <v>910</v>
      </c>
      <c r="C929" s="21" t="s">
        <v>170</v>
      </c>
      <c r="D929" s="21" t="s">
        <v>265</v>
      </c>
      <c r="E929" s="21" t="s">
        <v>176</v>
      </c>
      <c r="F929" s="21"/>
      <c r="G929" s="27">
        <f>G930</f>
        <v>4188.8</v>
      </c>
      <c r="H929" s="204"/>
    </row>
    <row r="930" spans="1:8" ht="47.25">
      <c r="A930" s="26" t="s">
        <v>629</v>
      </c>
      <c r="B930" s="17">
        <v>910</v>
      </c>
      <c r="C930" s="21" t="s">
        <v>170</v>
      </c>
      <c r="D930" s="21" t="s">
        <v>265</v>
      </c>
      <c r="E930" s="21" t="s">
        <v>630</v>
      </c>
      <c r="F930" s="21"/>
      <c r="G930" s="27">
        <f aca="true" t="shared" si="155" ref="G930">G931+G933</f>
        <v>4188.8</v>
      </c>
      <c r="H930" s="204"/>
    </row>
    <row r="931" spans="1:8" ht="94.5">
      <c r="A931" s="26" t="s">
        <v>179</v>
      </c>
      <c r="B931" s="17">
        <v>910</v>
      </c>
      <c r="C931" s="21" t="s">
        <v>170</v>
      </c>
      <c r="D931" s="21" t="s">
        <v>265</v>
      </c>
      <c r="E931" s="21" t="s">
        <v>630</v>
      </c>
      <c r="F931" s="21" t="s">
        <v>180</v>
      </c>
      <c r="G931" s="27">
        <f>G932+G933</f>
        <v>4188.8</v>
      </c>
      <c r="H931" s="204"/>
    </row>
    <row r="932" spans="1:10" ht="31.5">
      <c r="A932" s="26" t="s">
        <v>181</v>
      </c>
      <c r="B932" s="17">
        <v>910</v>
      </c>
      <c r="C932" s="21" t="s">
        <v>170</v>
      </c>
      <c r="D932" s="21" t="s">
        <v>265</v>
      </c>
      <c r="E932" s="21" t="s">
        <v>630</v>
      </c>
      <c r="F932" s="21" t="s">
        <v>182</v>
      </c>
      <c r="G932" s="28">
        <v>4188.8</v>
      </c>
      <c r="H932" s="204"/>
      <c r="J932" s="197" t="s">
        <v>855</v>
      </c>
    </row>
    <row r="933" spans="1:8" ht="47.25" hidden="1">
      <c r="A933" s="26" t="s">
        <v>250</v>
      </c>
      <c r="B933" s="17">
        <v>910</v>
      </c>
      <c r="C933" s="21" t="s">
        <v>170</v>
      </c>
      <c r="D933" s="21" t="s">
        <v>265</v>
      </c>
      <c r="E933" s="21" t="s">
        <v>630</v>
      </c>
      <c r="F933" s="21" t="s">
        <v>184</v>
      </c>
      <c r="G933" s="27">
        <f aca="true" t="shared" si="156" ref="G933">G934</f>
        <v>0</v>
      </c>
      <c r="H933" s="204"/>
    </row>
    <row r="934" spans="1:8" ht="47.25" hidden="1">
      <c r="A934" s="26" t="s">
        <v>185</v>
      </c>
      <c r="B934" s="17">
        <v>910</v>
      </c>
      <c r="C934" s="21" t="s">
        <v>170</v>
      </c>
      <c r="D934" s="21" t="s">
        <v>265</v>
      </c>
      <c r="E934" s="21" t="s">
        <v>630</v>
      </c>
      <c r="F934" s="21" t="s">
        <v>186</v>
      </c>
      <c r="G934" s="27"/>
      <c r="H934" s="204"/>
    </row>
    <row r="935" spans="1:8" ht="78.75">
      <c r="A935" s="24" t="s">
        <v>631</v>
      </c>
      <c r="B935" s="20">
        <v>910</v>
      </c>
      <c r="C935" s="25" t="s">
        <v>170</v>
      </c>
      <c r="D935" s="25" t="s">
        <v>267</v>
      </c>
      <c r="E935" s="25"/>
      <c r="F935" s="25"/>
      <c r="G935" s="22">
        <f>G936</f>
        <v>1138.7</v>
      </c>
      <c r="H935" s="204"/>
    </row>
    <row r="936" spans="1:8" ht="15.75">
      <c r="A936" s="26" t="s">
        <v>173</v>
      </c>
      <c r="B936" s="17">
        <v>910</v>
      </c>
      <c r="C936" s="21" t="s">
        <v>170</v>
      </c>
      <c r="D936" s="21" t="s">
        <v>267</v>
      </c>
      <c r="E936" s="21" t="s">
        <v>174</v>
      </c>
      <c r="F936" s="25"/>
      <c r="G936" s="27">
        <f aca="true" t="shared" si="157" ref="G936">G937</f>
        <v>1138.7</v>
      </c>
      <c r="H936" s="204"/>
    </row>
    <row r="937" spans="1:8" ht="31.5">
      <c r="A937" s="26" t="s">
        <v>175</v>
      </c>
      <c r="B937" s="17">
        <v>910</v>
      </c>
      <c r="C937" s="21" t="s">
        <v>170</v>
      </c>
      <c r="D937" s="21" t="s">
        <v>267</v>
      </c>
      <c r="E937" s="21" t="s">
        <v>176</v>
      </c>
      <c r="F937" s="25"/>
      <c r="G937" s="27">
        <f>G938</f>
        <v>1138.7</v>
      </c>
      <c r="H937" s="204"/>
    </row>
    <row r="938" spans="1:8" ht="47.25">
      <c r="A938" s="26" t="s">
        <v>632</v>
      </c>
      <c r="B938" s="17">
        <v>910</v>
      </c>
      <c r="C938" s="21" t="s">
        <v>170</v>
      </c>
      <c r="D938" s="21" t="s">
        <v>267</v>
      </c>
      <c r="E938" s="21" t="s">
        <v>633</v>
      </c>
      <c r="F938" s="21"/>
      <c r="G938" s="27">
        <f aca="true" t="shared" si="158" ref="G938">G939+G941+G943</f>
        <v>1138.7</v>
      </c>
      <c r="H938" s="204"/>
    </row>
    <row r="939" spans="1:8" ht="94.5">
      <c r="A939" s="26" t="s">
        <v>179</v>
      </c>
      <c r="B939" s="17">
        <v>910</v>
      </c>
      <c r="C939" s="21" t="s">
        <v>170</v>
      </c>
      <c r="D939" s="21" t="s">
        <v>267</v>
      </c>
      <c r="E939" s="21" t="s">
        <v>633</v>
      </c>
      <c r="F939" s="21" t="s">
        <v>180</v>
      </c>
      <c r="G939" s="27">
        <f>G940</f>
        <v>1003.7</v>
      </c>
      <c r="H939" s="204"/>
    </row>
    <row r="940" spans="1:8" ht="31.5">
      <c r="A940" s="26" t="s">
        <v>181</v>
      </c>
      <c r="B940" s="17">
        <v>910</v>
      </c>
      <c r="C940" s="21" t="s">
        <v>170</v>
      </c>
      <c r="D940" s="21" t="s">
        <v>267</v>
      </c>
      <c r="E940" s="21" t="s">
        <v>633</v>
      </c>
      <c r="F940" s="21" t="s">
        <v>182</v>
      </c>
      <c r="G940" s="27">
        <v>1003.7</v>
      </c>
      <c r="H940" s="204"/>
    </row>
    <row r="941" spans="1:8" ht="47.25">
      <c r="A941" s="26" t="s">
        <v>250</v>
      </c>
      <c r="B941" s="17">
        <v>910</v>
      </c>
      <c r="C941" s="21" t="s">
        <v>170</v>
      </c>
      <c r="D941" s="21" t="s">
        <v>267</v>
      </c>
      <c r="E941" s="21" t="s">
        <v>633</v>
      </c>
      <c r="F941" s="21" t="s">
        <v>184</v>
      </c>
      <c r="G941" s="27">
        <f>G942</f>
        <v>135</v>
      </c>
      <c r="H941" s="204"/>
    </row>
    <row r="942" spans="1:8" ht="47.25">
      <c r="A942" s="26" t="s">
        <v>185</v>
      </c>
      <c r="B942" s="17">
        <v>910</v>
      </c>
      <c r="C942" s="21" t="s">
        <v>170</v>
      </c>
      <c r="D942" s="21" t="s">
        <v>267</v>
      </c>
      <c r="E942" s="21" t="s">
        <v>633</v>
      </c>
      <c r="F942" s="21" t="s">
        <v>186</v>
      </c>
      <c r="G942" s="27">
        <v>135</v>
      </c>
      <c r="H942" s="204"/>
    </row>
    <row r="943" spans="1:8" ht="15.75" hidden="1">
      <c r="A943" s="26" t="s">
        <v>187</v>
      </c>
      <c r="B943" s="17">
        <v>910</v>
      </c>
      <c r="C943" s="21" t="s">
        <v>170</v>
      </c>
      <c r="D943" s="21" t="s">
        <v>267</v>
      </c>
      <c r="E943" s="21" t="s">
        <v>633</v>
      </c>
      <c r="F943" s="21" t="s">
        <v>197</v>
      </c>
      <c r="G943" s="27">
        <f aca="true" t="shared" si="159" ref="G943">G944</f>
        <v>0</v>
      </c>
      <c r="H943" s="204"/>
    </row>
    <row r="944" spans="1:8" ht="15.75" hidden="1">
      <c r="A944" s="26" t="s">
        <v>621</v>
      </c>
      <c r="B944" s="17">
        <v>910</v>
      </c>
      <c r="C944" s="21" t="s">
        <v>170</v>
      </c>
      <c r="D944" s="21" t="s">
        <v>267</v>
      </c>
      <c r="E944" s="21" t="s">
        <v>633</v>
      </c>
      <c r="F944" s="21" t="s">
        <v>190</v>
      </c>
      <c r="G944" s="27">
        <v>0</v>
      </c>
      <c r="H944" s="204"/>
    </row>
    <row r="945" spans="1:8" ht="63">
      <c r="A945" s="24" t="s">
        <v>171</v>
      </c>
      <c r="B945" s="20">
        <v>910</v>
      </c>
      <c r="C945" s="25" t="s">
        <v>170</v>
      </c>
      <c r="D945" s="25" t="s">
        <v>172</v>
      </c>
      <c r="E945" s="25"/>
      <c r="F945" s="25"/>
      <c r="G945" s="22">
        <f>G946</f>
        <v>1682.5</v>
      </c>
      <c r="H945" s="204"/>
    </row>
    <row r="946" spans="1:9" s="135" customFormat="1" ht="15.75">
      <c r="A946" s="26" t="s">
        <v>173</v>
      </c>
      <c r="B946" s="17">
        <v>910</v>
      </c>
      <c r="C946" s="21" t="s">
        <v>170</v>
      </c>
      <c r="D946" s="21" t="s">
        <v>172</v>
      </c>
      <c r="E946" s="21" t="s">
        <v>174</v>
      </c>
      <c r="F946" s="21"/>
      <c r="G946" s="27">
        <f>G947</f>
        <v>1682.5</v>
      </c>
      <c r="H946" s="204"/>
      <c r="I946" s="151"/>
    </row>
    <row r="947" spans="1:9" s="135" customFormat="1" ht="31.5">
      <c r="A947" s="26" t="s">
        <v>175</v>
      </c>
      <c r="B947" s="17">
        <v>910</v>
      </c>
      <c r="C947" s="21" t="s">
        <v>170</v>
      </c>
      <c r="D947" s="21" t="s">
        <v>172</v>
      </c>
      <c r="E947" s="21" t="s">
        <v>176</v>
      </c>
      <c r="F947" s="21"/>
      <c r="G947" s="27">
        <f>G948</f>
        <v>1682.5</v>
      </c>
      <c r="H947" s="204"/>
      <c r="I947" s="151"/>
    </row>
    <row r="948" spans="1:9" s="135" customFormat="1" ht="47.25">
      <c r="A948" s="26" t="s">
        <v>177</v>
      </c>
      <c r="B948" s="17">
        <v>910</v>
      </c>
      <c r="C948" s="21" t="s">
        <v>170</v>
      </c>
      <c r="D948" s="21" t="s">
        <v>172</v>
      </c>
      <c r="E948" s="21" t="s">
        <v>178</v>
      </c>
      <c r="F948" s="21"/>
      <c r="G948" s="27">
        <f>G949+G951</f>
        <v>1682.5</v>
      </c>
      <c r="H948" s="204"/>
      <c r="I948" s="151"/>
    </row>
    <row r="949" spans="1:8" ht="94.5">
      <c r="A949" s="26" t="s">
        <v>179</v>
      </c>
      <c r="B949" s="17">
        <v>910</v>
      </c>
      <c r="C949" s="21" t="s">
        <v>170</v>
      </c>
      <c r="D949" s="21" t="s">
        <v>172</v>
      </c>
      <c r="E949" s="21" t="s">
        <v>178</v>
      </c>
      <c r="F949" s="21" t="s">
        <v>180</v>
      </c>
      <c r="G949" s="27">
        <f>G950</f>
        <v>1664.2</v>
      </c>
      <c r="H949" s="204"/>
    </row>
    <row r="950" spans="1:10" ht="31.5">
      <c r="A950" s="26" t="s">
        <v>181</v>
      </c>
      <c r="B950" s="17">
        <v>910</v>
      </c>
      <c r="C950" s="21" t="s">
        <v>170</v>
      </c>
      <c r="D950" s="21" t="s">
        <v>172</v>
      </c>
      <c r="E950" s="21" t="s">
        <v>178</v>
      </c>
      <c r="F950" s="21" t="s">
        <v>182</v>
      </c>
      <c r="G950" s="27">
        <v>1664.2</v>
      </c>
      <c r="H950" s="204"/>
      <c r="J950" s="200" t="s">
        <v>856</v>
      </c>
    </row>
    <row r="951" spans="1:8" ht="47.25">
      <c r="A951" s="26" t="s">
        <v>250</v>
      </c>
      <c r="B951" s="17">
        <v>910</v>
      </c>
      <c r="C951" s="21" t="s">
        <v>170</v>
      </c>
      <c r="D951" s="21" t="s">
        <v>172</v>
      </c>
      <c r="E951" s="21" t="s">
        <v>178</v>
      </c>
      <c r="F951" s="21" t="s">
        <v>184</v>
      </c>
      <c r="G951" s="27">
        <f>G952</f>
        <v>18.3</v>
      </c>
      <c r="H951" s="204"/>
    </row>
    <row r="952" spans="1:8" ht="47.25">
      <c r="A952" s="26" t="s">
        <v>185</v>
      </c>
      <c r="B952" s="17">
        <v>910</v>
      </c>
      <c r="C952" s="21" t="s">
        <v>170</v>
      </c>
      <c r="D952" s="21" t="s">
        <v>172</v>
      </c>
      <c r="E952" s="21" t="s">
        <v>178</v>
      </c>
      <c r="F952" s="21" t="s">
        <v>186</v>
      </c>
      <c r="G952" s="27">
        <v>18.3</v>
      </c>
      <c r="H952" s="204"/>
    </row>
    <row r="953" spans="1:8" ht="15.75">
      <c r="A953" s="24" t="s">
        <v>191</v>
      </c>
      <c r="B953" s="20">
        <v>910</v>
      </c>
      <c r="C953" s="25" t="s">
        <v>170</v>
      </c>
      <c r="D953" s="25" t="s">
        <v>192</v>
      </c>
      <c r="E953" s="133"/>
      <c r="F953" s="21"/>
      <c r="G953" s="22">
        <f>G954+G958</f>
        <v>32.5</v>
      </c>
      <c r="H953" s="204"/>
    </row>
    <row r="954" spans="1:8" ht="47.25">
      <c r="A954" s="26" t="s">
        <v>213</v>
      </c>
      <c r="B954" s="17">
        <v>910</v>
      </c>
      <c r="C954" s="21" t="s">
        <v>170</v>
      </c>
      <c r="D954" s="21" t="s">
        <v>192</v>
      </c>
      <c r="E954" s="21" t="s">
        <v>214</v>
      </c>
      <c r="F954" s="21"/>
      <c r="G954" s="27">
        <f>G955</f>
        <v>0.5</v>
      </c>
      <c r="H954" s="204"/>
    </row>
    <row r="955" spans="1:8" ht="63">
      <c r="A955" s="33" t="s">
        <v>778</v>
      </c>
      <c r="B955" s="17">
        <v>910</v>
      </c>
      <c r="C955" s="21" t="s">
        <v>170</v>
      </c>
      <c r="D955" s="21" t="s">
        <v>192</v>
      </c>
      <c r="E955" s="42" t="s">
        <v>779</v>
      </c>
      <c r="F955" s="21"/>
      <c r="G955" s="27">
        <f>G956</f>
        <v>0.5</v>
      </c>
      <c r="H955" s="204"/>
    </row>
    <row r="956" spans="1:8" ht="31.5">
      <c r="A956" s="26" t="s">
        <v>183</v>
      </c>
      <c r="B956" s="17">
        <v>910</v>
      </c>
      <c r="C956" s="21" t="s">
        <v>170</v>
      </c>
      <c r="D956" s="21" t="s">
        <v>192</v>
      </c>
      <c r="E956" s="42" t="s">
        <v>779</v>
      </c>
      <c r="F956" s="21" t="s">
        <v>184</v>
      </c>
      <c r="G956" s="27">
        <f>G957</f>
        <v>0.5</v>
      </c>
      <c r="H956" s="204"/>
    </row>
    <row r="957" spans="1:8" ht="47.25">
      <c r="A957" s="26" t="s">
        <v>185</v>
      </c>
      <c r="B957" s="17">
        <v>910</v>
      </c>
      <c r="C957" s="21" t="s">
        <v>170</v>
      </c>
      <c r="D957" s="21" t="s">
        <v>192</v>
      </c>
      <c r="E957" s="42" t="s">
        <v>779</v>
      </c>
      <c r="F957" s="21" t="s">
        <v>186</v>
      </c>
      <c r="G957" s="27">
        <v>0.5</v>
      </c>
      <c r="H957" s="204"/>
    </row>
    <row r="958" spans="1:8" ht="15.75">
      <c r="A958" s="33" t="s">
        <v>173</v>
      </c>
      <c r="B958" s="17">
        <v>910</v>
      </c>
      <c r="C958" s="21" t="s">
        <v>170</v>
      </c>
      <c r="D958" s="21" t="s">
        <v>192</v>
      </c>
      <c r="E958" s="21" t="s">
        <v>174</v>
      </c>
      <c r="F958" s="21"/>
      <c r="G958" s="27">
        <f>G959</f>
        <v>32</v>
      </c>
      <c r="H958" s="204"/>
    </row>
    <row r="959" spans="1:8" ht="31.5">
      <c r="A959" s="33" t="s">
        <v>237</v>
      </c>
      <c r="B959" s="17">
        <v>910</v>
      </c>
      <c r="C959" s="21" t="s">
        <v>170</v>
      </c>
      <c r="D959" s="21" t="s">
        <v>192</v>
      </c>
      <c r="E959" s="21" t="s">
        <v>238</v>
      </c>
      <c r="F959" s="21"/>
      <c r="G959" s="27">
        <f>G960</f>
        <v>32</v>
      </c>
      <c r="H959" s="204"/>
    </row>
    <row r="960" spans="1:8" ht="63">
      <c r="A960" s="33" t="s">
        <v>778</v>
      </c>
      <c r="B960" s="17">
        <v>910</v>
      </c>
      <c r="C960" s="21" t="s">
        <v>170</v>
      </c>
      <c r="D960" s="21" t="s">
        <v>192</v>
      </c>
      <c r="E960" s="21" t="s">
        <v>780</v>
      </c>
      <c r="F960" s="21"/>
      <c r="G960" s="27">
        <f>G961</f>
        <v>32</v>
      </c>
      <c r="H960" s="204"/>
    </row>
    <row r="961" spans="1:8" ht="31.5">
      <c r="A961" s="26" t="s">
        <v>183</v>
      </c>
      <c r="B961" s="17">
        <v>910</v>
      </c>
      <c r="C961" s="21" t="s">
        <v>170</v>
      </c>
      <c r="D961" s="21" t="s">
        <v>192</v>
      </c>
      <c r="E961" s="21" t="s">
        <v>780</v>
      </c>
      <c r="F961" s="21" t="s">
        <v>184</v>
      </c>
      <c r="G961" s="27">
        <f>G962</f>
        <v>32</v>
      </c>
      <c r="H961" s="204"/>
    </row>
    <row r="962" spans="1:8" ht="47.25">
      <c r="A962" s="26" t="s">
        <v>185</v>
      </c>
      <c r="B962" s="17">
        <v>910</v>
      </c>
      <c r="C962" s="21" t="s">
        <v>170</v>
      </c>
      <c r="D962" s="21" t="s">
        <v>192</v>
      </c>
      <c r="E962" s="21" t="s">
        <v>780</v>
      </c>
      <c r="F962" s="21" t="s">
        <v>186</v>
      </c>
      <c r="G962" s="27">
        <v>32</v>
      </c>
      <c r="H962" s="134"/>
    </row>
    <row r="963" spans="1:8" ht="31.5">
      <c r="A963" s="24" t="s">
        <v>634</v>
      </c>
      <c r="B963" s="20">
        <v>913</v>
      </c>
      <c r="C963" s="25"/>
      <c r="D963" s="25"/>
      <c r="E963" s="25"/>
      <c r="F963" s="25"/>
      <c r="G963" s="22">
        <f aca="true" t="shared" si="160" ref="G963:G967">G964</f>
        <v>6309.8</v>
      </c>
      <c r="H963" s="204"/>
    </row>
    <row r="964" spans="1:8" ht="15.75">
      <c r="A964" s="24" t="s">
        <v>635</v>
      </c>
      <c r="B964" s="20">
        <v>913</v>
      </c>
      <c r="C964" s="25" t="s">
        <v>290</v>
      </c>
      <c r="D964" s="21"/>
      <c r="E964" s="21"/>
      <c r="F964" s="21"/>
      <c r="G964" s="27">
        <f>G965</f>
        <v>6309.8</v>
      </c>
      <c r="H964" s="204"/>
    </row>
    <row r="965" spans="1:8" ht="15.75">
      <c r="A965" s="24" t="s">
        <v>636</v>
      </c>
      <c r="B965" s="20">
        <v>913</v>
      </c>
      <c r="C965" s="25" t="s">
        <v>290</v>
      </c>
      <c r="D965" s="25" t="s">
        <v>265</v>
      </c>
      <c r="E965" s="25"/>
      <c r="F965" s="25"/>
      <c r="G965" s="27">
        <f t="shared" si="160"/>
        <v>6309.8</v>
      </c>
      <c r="H965" s="204"/>
    </row>
    <row r="966" spans="1:8" ht="15.75">
      <c r="A966" s="26" t="s">
        <v>173</v>
      </c>
      <c r="B966" s="17">
        <v>913</v>
      </c>
      <c r="C966" s="21" t="s">
        <v>290</v>
      </c>
      <c r="D966" s="21" t="s">
        <v>265</v>
      </c>
      <c r="E966" s="21" t="s">
        <v>174</v>
      </c>
      <c r="F966" s="21"/>
      <c r="G966" s="27">
        <f>G967</f>
        <v>6309.8</v>
      </c>
      <c r="H966" s="204"/>
    </row>
    <row r="967" spans="1:8" ht="31.5">
      <c r="A967" s="26" t="s">
        <v>637</v>
      </c>
      <c r="B967" s="17">
        <v>913</v>
      </c>
      <c r="C967" s="21" t="s">
        <v>290</v>
      </c>
      <c r="D967" s="21" t="s">
        <v>265</v>
      </c>
      <c r="E967" s="21" t="s">
        <v>638</v>
      </c>
      <c r="F967" s="21"/>
      <c r="G967" s="27">
        <f t="shared" si="160"/>
        <v>6309.8</v>
      </c>
      <c r="H967" s="204"/>
    </row>
    <row r="968" spans="1:8" ht="31.5">
      <c r="A968" s="26" t="s">
        <v>362</v>
      </c>
      <c r="B968" s="17">
        <v>913</v>
      </c>
      <c r="C968" s="21" t="s">
        <v>290</v>
      </c>
      <c r="D968" s="21" t="s">
        <v>265</v>
      </c>
      <c r="E968" s="21" t="s">
        <v>639</v>
      </c>
      <c r="F968" s="21"/>
      <c r="G968" s="27">
        <f>G969+G971+G973</f>
        <v>6309.8</v>
      </c>
      <c r="H968" s="204"/>
    </row>
    <row r="969" spans="1:8" ht="94.5">
      <c r="A969" s="26" t="s">
        <v>179</v>
      </c>
      <c r="B969" s="17">
        <v>913</v>
      </c>
      <c r="C969" s="21" t="s">
        <v>290</v>
      </c>
      <c r="D969" s="21" t="s">
        <v>265</v>
      </c>
      <c r="E969" s="21" t="s">
        <v>639</v>
      </c>
      <c r="F969" s="21" t="s">
        <v>180</v>
      </c>
      <c r="G969" s="27">
        <f aca="true" t="shared" si="161" ref="G969">G970</f>
        <v>5371.7</v>
      </c>
      <c r="H969" s="204"/>
    </row>
    <row r="970" spans="1:8" ht="31.5">
      <c r="A970" s="26" t="s">
        <v>260</v>
      </c>
      <c r="B970" s="17">
        <v>913</v>
      </c>
      <c r="C970" s="21" t="s">
        <v>290</v>
      </c>
      <c r="D970" s="21" t="s">
        <v>265</v>
      </c>
      <c r="E970" s="21" t="s">
        <v>639</v>
      </c>
      <c r="F970" s="21" t="s">
        <v>261</v>
      </c>
      <c r="G970" s="28">
        <v>5371.7</v>
      </c>
      <c r="H970" s="204"/>
    </row>
    <row r="971" spans="1:8" ht="31.5">
      <c r="A971" s="26" t="s">
        <v>183</v>
      </c>
      <c r="B971" s="17">
        <v>913</v>
      </c>
      <c r="C971" s="21" t="s">
        <v>290</v>
      </c>
      <c r="D971" s="21" t="s">
        <v>265</v>
      </c>
      <c r="E971" s="21" t="s">
        <v>639</v>
      </c>
      <c r="F971" s="21" t="s">
        <v>184</v>
      </c>
      <c r="G971" s="27">
        <f aca="true" t="shared" si="162" ref="G971">G972</f>
        <v>928.1</v>
      </c>
      <c r="H971" s="204"/>
    </row>
    <row r="972" spans="1:9" ht="47.25">
      <c r="A972" s="26" t="s">
        <v>185</v>
      </c>
      <c r="B972" s="17">
        <v>913</v>
      </c>
      <c r="C972" s="21" t="s">
        <v>290</v>
      </c>
      <c r="D972" s="21" t="s">
        <v>265</v>
      </c>
      <c r="E972" s="21" t="s">
        <v>639</v>
      </c>
      <c r="F972" s="21" t="s">
        <v>186</v>
      </c>
      <c r="G972" s="28">
        <f>898.3+28.1+1.7</f>
        <v>928.1</v>
      </c>
      <c r="H972" s="129"/>
      <c r="I972" s="148"/>
    </row>
    <row r="973" spans="1:8" ht="15.75">
      <c r="A973" s="26" t="s">
        <v>187</v>
      </c>
      <c r="B973" s="17">
        <v>913</v>
      </c>
      <c r="C973" s="21" t="s">
        <v>290</v>
      </c>
      <c r="D973" s="21" t="s">
        <v>265</v>
      </c>
      <c r="E973" s="21" t="s">
        <v>639</v>
      </c>
      <c r="F973" s="21" t="s">
        <v>197</v>
      </c>
      <c r="G973" s="27">
        <f aca="true" t="shared" si="163" ref="G973">G974</f>
        <v>10</v>
      </c>
      <c r="H973" s="204"/>
    </row>
    <row r="974" spans="1:8" ht="15.75">
      <c r="A974" s="26" t="s">
        <v>621</v>
      </c>
      <c r="B974" s="17">
        <v>913</v>
      </c>
      <c r="C974" s="21" t="s">
        <v>290</v>
      </c>
      <c r="D974" s="21" t="s">
        <v>265</v>
      </c>
      <c r="E974" s="21" t="s">
        <v>639</v>
      </c>
      <c r="F974" s="21" t="s">
        <v>190</v>
      </c>
      <c r="G974" s="27">
        <v>10</v>
      </c>
      <c r="H974" s="204"/>
    </row>
    <row r="975" spans="1:12" ht="18.75">
      <c r="A975" s="50" t="s">
        <v>640</v>
      </c>
      <c r="B975" s="50"/>
      <c r="C975" s="25"/>
      <c r="D975" s="25"/>
      <c r="E975" s="25"/>
      <c r="F975" s="25"/>
      <c r="G975" s="51">
        <f>G963+G925+G748+G673+G498+G459+G220+G27+G10</f>
        <v>665442.19</v>
      </c>
      <c r="H975" s="204"/>
      <c r="L975" s="139"/>
    </row>
    <row r="976" spans="1:9" ht="15">
      <c r="A976" s="52"/>
      <c r="B976" s="52"/>
      <c r="C976" s="52"/>
      <c r="D976" s="52"/>
      <c r="E976" s="52"/>
      <c r="F976" s="52"/>
      <c r="G976" s="52"/>
      <c r="I976" s="137"/>
    </row>
    <row r="977" spans="1:7" ht="18.75">
      <c r="A977" s="52"/>
      <c r="B977" s="52"/>
      <c r="C977" s="53"/>
      <c r="D977" s="53"/>
      <c r="E977" s="53"/>
      <c r="F977" s="125" t="s">
        <v>641</v>
      </c>
      <c r="G977" s="54">
        <f>G975-G978</f>
        <v>460911.0899999999</v>
      </c>
    </row>
    <row r="978" spans="1:9" ht="18.75">
      <c r="A978" s="52"/>
      <c r="B978" s="52"/>
      <c r="C978" s="53"/>
      <c r="D978" s="53"/>
      <c r="E978" s="53"/>
      <c r="F978" s="125" t="s">
        <v>642</v>
      </c>
      <c r="G978" s="54">
        <f>G98+G180+G186+G208+G214+G261+G273+G338+G444+G480+G494+G527+G581+G640+G694+G787+G827+G879+G623+G959</f>
        <v>204531.10000000003</v>
      </c>
      <c r="I978" s="141"/>
    </row>
    <row r="979" spans="1:7" ht="15.75">
      <c r="A979" s="52"/>
      <c r="B979" s="52"/>
      <c r="C979" s="53"/>
      <c r="D979" s="55"/>
      <c r="E979" s="55"/>
      <c r="F979" s="55"/>
      <c r="G979" s="126"/>
    </row>
    <row r="980" spans="1:7" ht="15.75">
      <c r="A980" s="52"/>
      <c r="B980" s="52"/>
      <c r="C980" s="53"/>
      <c r="D980" s="55"/>
      <c r="E980" s="55"/>
      <c r="F980" s="55"/>
      <c r="G980" s="53"/>
    </row>
    <row r="981" spans="1:12" ht="15.75">
      <c r="A981" s="52"/>
      <c r="B981" s="52"/>
      <c r="C981" s="56">
        <v>1</v>
      </c>
      <c r="D981" s="55"/>
      <c r="E981" s="55"/>
      <c r="F981" s="55"/>
      <c r="G981" s="57">
        <f>G11+G28+G460+G499+G926+G749+G228</f>
        <v>118780.1</v>
      </c>
      <c r="H981" s="128"/>
      <c r="I981" s="142">
        <f>'прил.№2 Рд,пр'!D12</f>
        <v>118780.09999999998</v>
      </c>
      <c r="L981" s="128"/>
    </row>
    <row r="982" spans="1:12" ht="15.75">
      <c r="A982" s="52"/>
      <c r="B982" s="52"/>
      <c r="C982" s="56">
        <v>2</v>
      </c>
      <c r="D982" s="55"/>
      <c r="E982" s="55"/>
      <c r="F982" s="55"/>
      <c r="G982" s="57">
        <f>G147</f>
        <v>0</v>
      </c>
      <c r="H982" s="128"/>
      <c r="I982" s="142">
        <v>0</v>
      </c>
      <c r="L982" s="128"/>
    </row>
    <row r="983" spans="1:12" ht="15.75">
      <c r="A983" s="52"/>
      <c r="B983" s="52"/>
      <c r="C983" s="56">
        <v>3</v>
      </c>
      <c r="D983" s="55"/>
      <c r="E983" s="55"/>
      <c r="F983" s="55"/>
      <c r="G983" s="57">
        <f>G763+G159</f>
        <v>7209.400000000001</v>
      </c>
      <c r="H983" s="128"/>
      <c r="I983" s="142">
        <f>'прил.№2 Рд,пр'!D21</f>
        <v>7209.400000000001</v>
      </c>
      <c r="L983" s="128"/>
    </row>
    <row r="984" spans="1:12" ht="15.75">
      <c r="A984" s="52"/>
      <c r="B984" s="52"/>
      <c r="C984" s="56">
        <v>4</v>
      </c>
      <c r="D984" s="55"/>
      <c r="E984" s="55"/>
      <c r="F984" s="55"/>
      <c r="G984" s="57">
        <f>G177+G770</f>
        <v>20153.2</v>
      </c>
      <c r="H984" s="128"/>
      <c r="I984" s="142">
        <f>'прил.№2 Рд,пр'!D23</f>
        <v>20153.2</v>
      </c>
      <c r="L984" s="128"/>
    </row>
    <row r="985" spans="1:12" ht="15.75">
      <c r="A985" s="52"/>
      <c r="B985" s="52"/>
      <c r="C985" s="56">
        <v>5</v>
      </c>
      <c r="D985" s="55"/>
      <c r="E985" s="55"/>
      <c r="F985" s="55"/>
      <c r="G985" s="57">
        <f>G784+G477</f>
        <v>109165.59000000001</v>
      </c>
      <c r="H985" s="128"/>
      <c r="I985" s="142">
        <f>'прил.№2 Рд,пр'!D28</f>
        <v>109165.59999999999</v>
      </c>
      <c r="L985" s="128"/>
    </row>
    <row r="986" spans="1:12" ht="15.75">
      <c r="A986" s="52"/>
      <c r="B986" s="52"/>
      <c r="C986" s="56">
        <v>7</v>
      </c>
      <c r="D986" s="55"/>
      <c r="E986" s="55"/>
      <c r="F986" s="55"/>
      <c r="G986" s="57">
        <f>G674+G506+G235</f>
        <v>290484.60000000003</v>
      </c>
      <c r="H986" s="128"/>
      <c r="I986" s="142">
        <f>'прил.№2 Рд,пр'!D33</f>
        <v>290484.6</v>
      </c>
      <c r="L986" s="128"/>
    </row>
    <row r="987" spans="1:12" ht="15.75">
      <c r="A987" s="52"/>
      <c r="B987" s="52"/>
      <c r="C987" s="56">
        <v>8</v>
      </c>
      <c r="D987" s="55"/>
      <c r="E987" s="55"/>
      <c r="F987" s="55"/>
      <c r="G987" s="57">
        <f>G277</f>
        <v>61699.8</v>
      </c>
      <c r="H987" s="128"/>
      <c r="I987" s="142">
        <f>'прил.№2 Рд,пр'!D39</f>
        <v>61699.8</v>
      </c>
      <c r="L987" s="128"/>
    </row>
    <row r="988" spans="1:12" ht="15.75">
      <c r="A988" s="52"/>
      <c r="B988" s="52"/>
      <c r="C988" s="56">
        <v>10</v>
      </c>
      <c r="D988" s="55"/>
      <c r="E988" s="55"/>
      <c r="F988" s="55"/>
      <c r="G988" s="57">
        <f>G918+G492+G388+G195</f>
        <v>16937</v>
      </c>
      <c r="H988" s="128"/>
      <c r="I988" s="142">
        <f>'прил.№2 Рд,пр'!D42</f>
        <v>16937</v>
      </c>
      <c r="L988" s="128"/>
    </row>
    <row r="989" spans="1:12" ht="15.75">
      <c r="A989" s="52"/>
      <c r="B989" s="52"/>
      <c r="C989" s="56">
        <v>11</v>
      </c>
      <c r="D989" s="55"/>
      <c r="E989" s="55"/>
      <c r="F989" s="55"/>
      <c r="G989" s="57">
        <f>G704</f>
        <v>34702.7</v>
      </c>
      <c r="H989" s="128"/>
      <c r="I989" s="142">
        <f>'прил.№2 Рд,пр'!D47</f>
        <v>34702.7</v>
      </c>
      <c r="L989" s="128"/>
    </row>
    <row r="990" spans="1:12" ht="15.75">
      <c r="A990" s="52"/>
      <c r="B990" s="52"/>
      <c r="C990" s="56">
        <v>12</v>
      </c>
      <c r="D990" s="55"/>
      <c r="E990" s="55"/>
      <c r="F990" s="55"/>
      <c r="G990" s="57">
        <f>G964</f>
        <v>6309.8</v>
      </c>
      <c r="H990" s="128"/>
      <c r="I990" s="142">
        <f>'прил.№2 Рд,пр'!D50</f>
        <v>6309.8</v>
      </c>
      <c r="L990" s="128"/>
    </row>
    <row r="991" spans="1:12" ht="15.75">
      <c r="A991" s="52"/>
      <c r="B991" s="52"/>
      <c r="C991" s="57"/>
      <c r="D991" s="55"/>
      <c r="E991" s="55"/>
      <c r="F991" s="55"/>
      <c r="G991" s="127">
        <f>SUM(G981:G990)</f>
        <v>665442.1900000002</v>
      </c>
      <c r="H991" s="128"/>
      <c r="I991" s="142">
        <f>'прил.№2 Рд,пр'!D52</f>
        <v>665442.2</v>
      </c>
      <c r="L991" s="128"/>
    </row>
    <row r="992" spans="7:9" ht="15">
      <c r="G992" s="128"/>
      <c r="H992" s="128"/>
      <c r="I992" s="142"/>
    </row>
    <row r="993" spans="4:9" ht="15">
      <c r="D993" s="1" t="s">
        <v>643</v>
      </c>
      <c r="E993" s="1">
        <v>50</v>
      </c>
      <c r="G993" s="128">
        <f>G778</f>
        <v>15124.1</v>
      </c>
      <c r="H993" s="128"/>
      <c r="I993" s="142"/>
    </row>
    <row r="994" spans="5:9" ht="15">
      <c r="E994" s="1">
        <v>51</v>
      </c>
      <c r="G994" s="128">
        <f>G390</f>
        <v>3693</v>
      </c>
      <c r="H994" s="128"/>
      <c r="I994" s="142"/>
    </row>
    <row r="995" spans="5:9" ht="15">
      <c r="E995" s="1">
        <v>52</v>
      </c>
      <c r="G995" s="128">
        <f>G508+G547+G634+G613</f>
        <v>89244.70000000001</v>
      </c>
      <c r="H995" s="128"/>
      <c r="I995" s="142"/>
    </row>
    <row r="996" spans="5:9" ht="15">
      <c r="E996" s="1">
        <v>53</v>
      </c>
      <c r="G996" s="128">
        <f>G57</f>
        <v>250</v>
      </c>
      <c r="H996" s="128"/>
      <c r="I996" s="142"/>
    </row>
    <row r="997" spans="5:9" ht="15">
      <c r="E997" s="1">
        <v>54</v>
      </c>
      <c r="G997" s="128">
        <f>G61+G954</f>
        <v>654</v>
      </c>
      <c r="H997" s="128"/>
      <c r="I997" s="142"/>
    </row>
    <row r="998" spans="5:9" ht="15">
      <c r="E998" s="1">
        <v>55</v>
      </c>
      <c r="G998" s="128">
        <f>G203</f>
        <v>10</v>
      </c>
      <c r="H998" s="128"/>
      <c r="I998" s="142"/>
    </row>
    <row r="999" spans="5:9" ht="15">
      <c r="E999" s="1">
        <v>56</v>
      </c>
      <c r="G999" s="128">
        <f>G73</f>
        <v>80</v>
      </c>
      <c r="H999" s="128"/>
      <c r="I999" s="142"/>
    </row>
    <row r="1000" spans="5:9" ht="15">
      <c r="E1000" s="1">
        <v>57</v>
      </c>
      <c r="G1000" s="128">
        <f>G726+G706+G676</f>
        <v>36478.9</v>
      </c>
      <c r="H1000" s="128"/>
      <c r="I1000" s="142"/>
    </row>
    <row r="1001" spans="5:9" ht="15">
      <c r="E1001" s="1">
        <v>58</v>
      </c>
      <c r="G1001" s="128">
        <f>G279+G237</f>
        <v>58528.700000000004</v>
      </c>
      <c r="H1001" s="128"/>
      <c r="I1001" s="142"/>
    </row>
    <row r="1002" spans="5:9" ht="15">
      <c r="E1002" s="1">
        <v>59</v>
      </c>
      <c r="G1002" s="128">
        <f>G333</f>
        <v>200</v>
      </c>
      <c r="H1002" s="128"/>
      <c r="I1002" s="142"/>
    </row>
    <row r="1003" spans="5:9" ht="15">
      <c r="E1003" s="1">
        <v>60</v>
      </c>
      <c r="G1003" s="128">
        <f>G848</f>
        <v>12375.499999999998</v>
      </c>
      <c r="H1003" s="128"/>
      <c r="I1003" s="142"/>
    </row>
    <row r="1004" spans="5:9" ht="15">
      <c r="E1004" s="1">
        <v>61</v>
      </c>
      <c r="G1004" s="128">
        <f>G86</f>
        <v>120</v>
      </c>
      <c r="H1004" s="128"/>
      <c r="I1004" s="142"/>
    </row>
    <row r="1005" spans="5:9" ht="15">
      <c r="E1005" s="1">
        <v>62</v>
      </c>
      <c r="G1005" s="128">
        <f>G801</f>
        <v>5567.900000000001</v>
      </c>
      <c r="H1005" s="128"/>
      <c r="I1005" s="142"/>
    </row>
    <row r="1006" spans="5:9" ht="15">
      <c r="E1006" s="1">
        <v>63</v>
      </c>
      <c r="G1006" s="128">
        <f>G359+G646</f>
        <v>145</v>
      </c>
      <c r="H1006" s="128"/>
      <c r="I1006" s="142"/>
    </row>
    <row r="1007" spans="5:9" ht="15">
      <c r="E1007" s="1">
        <v>64</v>
      </c>
      <c r="G1007" s="128">
        <f>G90+G369</f>
        <v>34</v>
      </c>
      <c r="H1007" s="128"/>
      <c r="I1007" s="142"/>
    </row>
    <row r="1008" spans="5:9" ht="15">
      <c r="E1008" s="1">
        <v>65</v>
      </c>
      <c r="G1008" s="128">
        <f>G874</f>
        <v>600</v>
      </c>
      <c r="H1008" s="128"/>
      <c r="I1008" s="142"/>
    </row>
    <row r="1009" spans="7:9" ht="15">
      <c r="G1009" s="128">
        <f>SUM(G993:G1008)</f>
        <v>223105.80000000002</v>
      </c>
      <c r="H1009" s="128"/>
      <c r="I1009" s="142"/>
    </row>
    <row r="1010" spans="7:9" ht="15">
      <c r="G1010" s="128"/>
      <c r="H1010" s="128"/>
      <c r="I1010" s="142"/>
    </row>
  </sheetData>
  <mergeCells count="5">
    <mergeCell ref="A4:G4"/>
    <mergeCell ref="A5:G5"/>
    <mergeCell ref="J381:K387"/>
    <mergeCell ref="J666:K672"/>
    <mergeCell ref="J741:K747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65" r:id="rId1"/>
  <rowBreaks count="1" manualBreakCount="1">
    <brk id="975" max="16383" man="1"/>
  </rowBreaks>
  <colBreaks count="1" manualBreakCount="1">
    <brk id="8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631"/>
  <sheetViews>
    <sheetView view="pageBreakPreview" zoomScale="60" workbookViewId="0" topLeftCell="A1">
      <selection activeCell="L6" sqref="L6"/>
    </sheetView>
  </sheetViews>
  <sheetFormatPr defaultColWidth="9.140625" defaultRowHeight="15"/>
  <cols>
    <col min="1" max="1" width="56.28125" style="1" customWidth="1"/>
    <col min="2" max="2" width="17.421875" style="1" customWidth="1"/>
    <col min="3" max="3" width="8.28125" style="1" customWidth="1"/>
    <col min="4" max="4" width="7.28125" style="0" customWidth="1"/>
    <col min="5" max="5" width="8.7109375" style="0" customWidth="1"/>
    <col min="6" max="6" width="9.140625" style="1" customWidth="1"/>
    <col min="7" max="7" width="10.8515625" style="1" hidden="1" customWidth="1"/>
    <col min="8" max="8" width="11.28125" style="0" hidden="1" customWidth="1"/>
    <col min="9" max="9" width="11.57421875" style="130" hidden="1" customWidth="1"/>
    <col min="10" max="10" width="10.00390625" style="0" hidden="1" customWidth="1"/>
    <col min="11" max="11" width="10.140625" style="0" hidden="1" customWidth="1"/>
    <col min="12" max="12" width="14.8515625" style="1" customWidth="1"/>
    <col min="13" max="13" width="15.28125" style="1" customWidth="1"/>
    <col min="14" max="14" width="14.57421875" style="1" customWidth="1"/>
  </cols>
  <sheetData>
    <row r="1" ht="18.75">
      <c r="M1" s="343" t="s">
        <v>160</v>
      </c>
    </row>
    <row r="2" ht="18.75">
      <c r="M2" s="343" t="s">
        <v>1045</v>
      </c>
    </row>
    <row r="3" ht="18.75">
      <c r="M3" s="343" t="s">
        <v>1026</v>
      </c>
    </row>
    <row r="4" spans="4:13" ht="18.75">
      <c r="D4" s="1"/>
      <c r="F4" s="59"/>
      <c r="M4" s="343" t="s">
        <v>1046</v>
      </c>
    </row>
    <row r="5" spans="4:13" ht="18.75">
      <c r="D5" s="1"/>
      <c r="F5" s="59"/>
      <c r="M5" s="343" t="s">
        <v>1047</v>
      </c>
    </row>
    <row r="6" spans="4:14" ht="18.75">
      <c r="D6" s="1"/>
      <c r="E6" s="1"/>
      <c r="F6" s="73"/>
      <c r="G6" s="74"/>
      <c r="L6" s="268"/>
      <c r="M6" s="268"/>
      <c r="N6" s="268"/>
    </row>
    <row r="7" spans="1:14" ht="38.25" customHeight="1">
      <c r="A7" s="336" t="s">
        <v>1031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</row>
    <row r="8" spans="1:14" ht="15.75">
      <c r="A8" s="73"/>
      <c r="B8" s="73"/>
      <c r="C8" s="73"/>
      <c r="D8" s="73"/>
      <c r="E8" s="75"/>
      <c r="F8" s="75"/>
      <c r="G8" s="76" t="s">
        <v>1</v>
      </c>
      <c r="L8" s="259"/>
      <c r="M8" s="259"/>
      <c r="N8" s="259"/>
    </row>
    <row r="9" spans="1:14" ht="63">
      <c r="A9" s="77" t="s">
        <v>646</v>
      </c>
      <c r="B9" s="77" t="s">
        <v>695</v>
      </c>
      <c r="C9" s="77" t="s">
        <v>696</v>
      </c>
      <c r="D9" s="77" t="s">
        <v>697</v>
      </c>
      <c r="E9" s="77" t="s">
        <v>698</v>
      </c>
      <c r="F9" s="77" t="s">
        <v>699</v>
      </c>
      <c r="G9" s="6" t="s">
        <v>4</v>
      </c>
      <c r="H9" s="210" t="s">
        <v>864</v>
      </c>
      <c r="I9" s="211" t="s">
        <v>875</v>
      </c>
      <c r="J9" s="211" t="s">
        <v>876</v>
      </c>
      <c r="K9" s="211" t="s">
        <v>877</v>
      </c>
      <c r="L9" s="298" t="s">
        <v>1023</v>
      </c>
      <c r="M9" s="298" t="s">
        <v>1028</v>
      </c>
      <c r="N9" s="298" t="s">
        <v>1024</v>
      </c>
    </row>
    <row r="10" spans="1:14" ht="15.75">
      <c r="A10" s="77">
        <v>1</v>
      </c>
      <c r="B10" s="77">
        <v>2</v>
      </c>
      <c r="C10" s="77">
        <v>3</v>
      </c>
      <c r="D10" s="77">
        <v>4</v>
      </c>
      <c r="E10" s="77">
        <v>5</v>
      </c>
      <c r="F10" s="77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7</v>
      </c>
      <c r="M10" s="6">
        <v>8</v>
      </c>
      <c r="N10" s="6">
        <v>9</v>
      </c>
    </row>
    <row r="11" spans="1:14" ht="47.25">
      <c r="A11" s="64" t="s">
        <v>1000</v>
      </c>
      <c r="B11" s="8" t="s">
        <v>563</v>
      </c>
      <c r="C11" s="8"/>
      <c r="D11" s="8"/>
      <c r="E11" s="8"/>
      <c r="F11" s="8"/>
      <c r="G11" s="4">
        <f>G14</f>
        <v>15124.1</v>
      </c>
      <c r="H11" s="4">
        <f aca="true" t="shared" si="0" ref="H11:L11">H14</f>
        <v>15124.1</v>
      </c>
      <c r="I11" s="4">
        <f t="shared" si="0"/>
        <v>15124.1</v>
      </c>
      <c r="J11" s="4">
        <f t="shared" si="0"/>
        <v>15124.1</v>
      </c>
      <c r="K11" s="4">
        <f t="shared" si="0"/>
        <v>15124.1</v>
      </c>
      <c r="L11" s="4">
        <f t="shared" si="0"/>
        <v>6895.3</v>
      </c>
      <c r="M11" s="4">
        <f aca="true" t="shared" si="1" ref="M11">M14</f>
        <v>1240.1</v>
      </c>
      <c r="N11" s="4">
        <f>M11/L11*100</f>
        <v>17.98471422563195</v>
      </c>
    </row>
    <row r="12" spans="1:14" ht="15.75">
      <c r="A12" s="31" t="s">
        <v>284</v>
      </c>
      <c r="B12" s="42" t="s">
        <v>563</v>
      </c>
      <c r="C12" s="42" t="s">
        <v>202</v>
      </c>
      <c r="D12" s="42"/>
      <c r="E12" s="42"/>
      <c r="F12" s="42"/>
      <c r="G12" s="7">
        <f>G13</f>
        <v>15124.1</v>
      </c>
      <c r="H12" s="7">
        <f aca="true" t="shared" si="2" ref="H12:M13">H13</f>
        <v>15124.1</v>
      </c>
      <c r="I12" s="7">
        <f t="shared" si="2"/>
        <v>15124.1</v>
      </c>
      <c r="J12" s="7">
        <f t="shared" si="2"/>
        <v>15124.1</v>
      </c>
      <c r="K12" s="7">
        <f t="shared" si="2"/>
        <v>15124.1</v>
      </c>
      <c r="L12" s="7">
        <f t="shared" si="2"/>
        <v>6895.3</v>
      </c>
      <c r="M12" s="7">
        <f t="shared" si="2"/>
        <v>1240.1</v>
      </c>
      <c r="N12" s="7">
        <f aca="true" t="shared" si="3" ref="N12:N75">M12/L12*100</f>
        <v>17.98471422563195</v>
      </c>
    </row>
    <row r="13" spans="1:14" ht="15.75">
      <c r="A13" s="31" t="s">
        <v>561</v>
      </c>
      <c r="B13" s="42" t="s">
        <v>563</v>
      </c>
      <c r="C13" s="42" t="s">
        <v>202</v>
      </c>
      <c r="D13" s="42" t="s">
        <v>271</v>
      </c>
      <c r="E13" s="42"/>
      <c r="F13" s="42"/>
      <c r="G13" s="7">
        <f>G14</f>
        <v>15124.1</v>
      </c>
      <c r="H13" s="7">
        <f t="shared" si="2"/>
        <v>15124.1</v>
      </c>
      <c r="I13" s="7">
        <f t="shared" si="2"/>
        <v>15124.1</v>
      </c>
      <c r="J13" s="7">
        <f t="shared" si="2"/>
        <v>15124.1</v>
      </c>
      <c r="K13" s="7">
        <f t="shared" si="2"/>
        <v>15124.1</v>
      </c>
      <c r="L13" s="7">
        <f t="shared" si="2"/>
        <v>6895.3</v>
      </c>
      <c r="M13" s="7">
        <f t="shared" si="2"/>
        <v>1240.1</v>
      </c>
      <c r="N13" s="7">
        <f t="shared" si="3"/>
        <v>17.98471422563195</v>
      </c>
    </row>
    <row r="14" spans="1:14" ht="15.75">
      <c r="A14" s="31" t="s">
        <v>564</v>
      </c>
      <c r="B14" s="42" t="s">
        <v>565</v>
      </c>
      <c r="C14" s="42" t="s">
        <v>202</v>
      </c>
      <c r="D14" s="42" t="s">
        <v>271</v>
      </c>
      <c r="E14" s="42"/>
      <c r="F14" s="42"/>
      <c r="G14" s="7">
        <f>G15+G17</f>
        <v>15124.1</v>
      </c>
      <c r="H14" s="7">
        <f aca="true" t="shared" si="4" ref="H14:L14">H15+H17</f>
        <v>15124.1</v>
      </c>
      <c r="I14" s="7">
        <f t="shared" si="4"/>
        <v>15124.1</v>
      </c>
      <c r="J14" s="7">
        <f t="shared" si="4"/>
        <v>15124.1</v>
      </c>
      <c r="K14" s="7">
        <f t="shared" si="4"/>
        <v>15124.1</v>
      </c>
      <c r="L14" s="7">
        <f t="shared" si="4"/>
        <v>6895.3</v>
      </c>
      <c r="M14" s="7">
        <f aca="true" t="shared" si="5" ref="M14">M15+M17</f>
        <v>1240.1</v>
      </c>
      <c r="N14" s="7">
        <f t="shared" si="3"/>
        <v>17.98471422563195</v>
      </c>
    </row>
    <row r="15" spans="1:14" ht="31.5">
      <c r="A15" s="31" t="s">
        <v>183</v>
      </c>
      <c r="B15" s="42" t="s">
        <v>565</v>
      </c>
      <c r="C15" s="42" t="s">
        <v>202</v>
      </c>
      <c r="D15" s="42" t="s">
        <v>271</v>
      </c>
      <c r="E15" s="42" t="s">
        <v>184</v>
      </c>
      <c r="F15" s="42"/>
      <c r="G15" s="7">
        <f>G16</f>
        <v>15108.1</v>
      </c>
      <c r="H15" s="7">
        <f aca="true" t="shared" si="6" ref="H15:M15">H16</f>
        <v>15108.1</v>
      </c>
      <c r="I15" s="7">
        <f t="shared" si="6"/>
        <v>15108.1</v>
      </c>
      <c r="J15" s="7">
        <f t="shared" si="6"/>
        <v>15108.1</v>
      </c>
      <c r="K15" s="7">
        <f t="shared" si="6"/>
        <v>15108.1</v>
      </c>
      <c r="L15" s="7">
        <f t="shared" si="6"/>
        <v>6879.3</v>
      </c>
      <c r="M15" s="7">
        <f t="shared" si="6"/>
        <v>1240.1</v>
      </c>
      <c r="N15" s="7">
        <f t="shared" si="3"/>
        <v>18.026543398310874</v>
      </c>
    </row>
    <row r="16" spans="1:14" ht="31.5">
      <c r="A16" s="31" t="s">
        <v>185</v>
      </c>
      <c r="B16" s="42" t="s">
        <v>565</v>
      </c>
      <c r="C16" s="42" t="s">
        <v>202</v>
      </c>
      <c r="D16" s="42" t="s">
        <v>271</v>
      </c>
      <c r="E16" s="42" t="s">
        <v>186</v>
      </c>
      <c r="F16" s="42"/>
      <c r="G16" s="7">
        <f>'Прил.№4 ведомств.'!G897</f>
        <v>15108.1</v>
      </c>
      <c r="H16" s="7">
        <f>'Прил.№4 ведомств.'!I897</f>
        <v>15108.1</v>
      </c>
      <c r="I16" s="7">
        <f>'Прил.№4 ведомств.'!J897</f>
        <v>15108.1</v>
      </c>
      <c r="J16" s="7">
        <f>'Прил.№4 ведомств.'!K897</f>
        <v>15108.1</v>
      </c>
      <c r="K16" s="7">
        <f>'Прил.№4 ведомств.'!L897</f>
        <v>15108.1</v>
      </c>
      <c r="L16" s="7">
        <f>'Прил.№4 ведомств.'!M897</f>
        <v>6879.3</v>
      </c>
      <c r="M16" s="7">
        <f>'Прил.№4 ведомств.'!N897</f>
        <v>1240.1</v>
      </c>
      <c r="N16" s="7">
        <f t="shared" si="3"/>
        <v>18.026543398310874</v>
      </c>
    </row>
    <row r="17" spans="1:14" ht="15.75">
      <c r="A17" s="26" t="s">
        <v>187</v>
      </c>
      <c r="B17" s="42" t="s">
        <v>565</v>
      </c>
      <c r="C17" s="42" t="s">
        <v>202</v>
      </c>
      <c r="D17" s="42" t="s">
        <v>271</v>
      </c>
      <c r="E17" s="42" t="s">
        <v>197</v>
      </c>
      <c r="F17" s="42"/>
      <c r="G17" s="7">
        <f>G18</f>
        <v>16</v>
      </c>
      <c r="H17" s="7">
        <f aca="true" t="shared" si="7" ref="H17:M17">H18</f>
        <v>16</v>
      </c>
      <c r="I17" s="7">
        <f t="shared" si="7"/>
        <v>16</v>
      </c>
      <c r="J17" s="7">
        <f t="shared" si="7"/>
        <v>16</v>
      </c>
      <c r="K17" s="7">
        <f t="shared" si="7"/>
        <v>16</v>
      </c>
      <c r="L17" s="7">
        <f t="shared" si="7"/>
        <v>16</v>
      </c>
      <c r="M17" s="7">
        <f t="shared" si="7"/>
        <v>0</v>
      </c>
      <c r="N17" s="7">
        <f t="shared" si="3"/>
        <v>0</v>
      </c>
    </row>
    <row r="18" spans="1:14" ht="15.75">
      <c r="A18" s="26" t="s">
        <v>189</v>
      </c>
      <c r="B18" s="42" t="s">
        <v>565</v>
      </c>
      <c r="C18" s="42" t="s">
        <v>202</v>
      </c>
      <c r="D18" s="42" t="s">
        <v>271</v>
      </c>
      <c r="E18" s="42" t="s">
        <v>190</v>
      </c>
      <c r="F18" s="42"/>
      <c r="G18" s="7">
        <f>'Прил.№4 ведомств.'!G899</f>
        <v>16</v>
      </c>
      <c r="H18" s="7">
        <f>'Прил.№4 ведомств.'!I899</f>
        <v>16</v>
      </c>
      <c r="I18" s="7">
        <f>'Прил.№4 ведомств.'!J899</f>
        <v>16</v>
      </c>
      <c r="J18" s="7">
        <f>'Прил.№4 ведомств.'!K899</f>
        <v>16</v>
      </c>
      <c r="K18" s="7">
        <f>'Прил.№4 ведомств.'!L899</f>
        <v>16</v>
      </c>
      <c r="L18" s="7">
        <f>'Прил.№4 ведомств.'!M899</f>
        <v>16</v>
      </c>
      <c r="M18" s="7">
        <f>'Прил.№4 ведомств.'!N899</f>
        <v>0</v>
      </c>
      <c r="N18" s="7">
        <f t="shared" si="3"/>
        <v>0</v>
      </c>
    </row>
    <row r="19" spans="1:14" ht="31.5">
      <c r="A19" s="47" t="s">
        <v>701</v>
      </c>
      <c r="B19" s="42" t="s">
        <v>563</v>
      </c>
      <c r="C19" s="42" t="s">
        <v>202</v>
      </c>
      <c r="D19" s="42" t="s">
        <v>271</v>
      </c>
      <c r="E19" s="42"/>
      <c r="F19" s="42" t="s">
        <v>702</v>
      </c>
      <c r="G19" s="7">
        <f>G14</f>
        <v>15124.1</v>
      </c>
      <c r="H19" s="7">
        <f aca="true" t="shared" si="8" ref="H19:L19">H14</f>
        <v>15124.1</v>
      </c>
      <c r="I19" s="7">
        <f t="shared" si="8"/>
        <v>15124.1</v>
      </c>
      <c r="J19" s="7">
        <f t="shared" si="8"/>
        <v>15124.1</v>
      </c>
      <c r="K19" s="7">
        <f t="shared" si="8"/>
        <v>15124.1</v>
      </c>
      <c r="L19" s="7">
        <f t="shared" si="8"/>
        <v>6895.3</v>
      </c>
      <c r="M19" s="7">
        <f aca="true" t="shared" si="9" ref="M19">M14</f>
        <v>1240.1</v>
      </c>
      <c r="N19" s="7">
        <f t="shared" si="3"/>
        <v>17.98471422563195</v>
      </c>
    </row>
    <row r="20" spans="1:14" ht="47.25">
      <c r="A20" s="64" t="s">
        <v>395</v>
      </c>
      <c r="B20" s="8" t="s">
        <v>396</v>
      </c>
      <c r="C20" s="8"/>
      <c r="D20" s="8"/>
      <c r="E20" s="8"/>
      <c r="F20" s="8"/>
      <c r="G20" s="68">
        <f>G21+G36+G43+G50+G59+G66+G73+G99</f>
        <v>3693</v>
      </c>
      <c r="H20" s="68">
        <f aca="true" t="shared" si="10" ref="H20:K20">H21+H36+H43+H50+H59+H66+H73+H99</f>
        <v>3693</v>
      </c>
      <c r="I20" s="68">
        <f t="shared" si="10"/>
        <v>5185</v>
      </c>
      <c r="J20" s="68">
        <f t="shared" si="10"/>
        <v>5300</v>
      </c>
      <c r="K20" s="68">
        <f t="shared" si="10"/>
        <v>5345</v>
      </c>
      <c r="L20" s="68">
        <f>L21+L36+L43+L50+L59+L66+L73+L99</f>
        <v>3753</v>
      </c>
      <c r="M20" s="68">
        <f aca="true" t="shared" si="11" ref="M20">M21+M36+M43+M50+M59+M66+M73+M99</f>
        <v>1267.7</v>
      </c>
      <c r="N20" s="4">
        <f t="shared" si="3"/>
        <v>33.77831068478551</v>
      </c>
    </row>
    <row r="21" spans="1:14" ht="31.5">
      <c r="A21" s="64" t="s">
        <v>703</v>
      </c>
      <c r="B21" s="8" t="s">
        <v>398</v>
      </c>
      <c r="C21" s="8"/>
      <c r="D21" s="8"/>
      <c r="E21" s="8"/>
      <c r="F21" s="8"/>
      <c r="G21" s="68">
        <f>G22</f>
        <v>935</v>
      </c>
      <c r="H21" s="68">
        <f aca="true" t="shared" si="12" ref="H21:M22">H22</f>
        <v>935</v>
      </c>
      <c r="I21" s="68">
        <f t="shared" si="12"/>
        <v>985</v>
      </c>
      <c r="J21" s="68">
        <f t="shared" si="12"/>
        <v>1020</v>
      </c>
      <c r="K21" s="68">
        <f t="shared" si="12"/>
        <v>1035</v>
      </c>
      <c r="L21" s="68">
        <f t="shared" si="12"/>
        <v>1000</v>
      </c>
      <c r="M21" s="68">
        <f t="shared" si="12"/>
        <v>331.3</v>
      </c>
      <c r="N21" s="4">
        <f t="shared" si="3"/>
        <v>33.13</v>
      </c>
    </row>
    <row r="22" spans="1:14" ht="15.75">
      <c r="A22" s="47" t="s">
        <v>295</v>
      </c>
      <c r="B22" s="42" t="s">
        <v>398</v>
      </c>
      <c r="C22" s="42" t="s">
        <v>296</v>
      </c>
      <c r="D22" s="42"/>
      <c r="E22" s="42"/>
      <c r="F22" s="42"/>
      <c r="G22" s="11">
        <f>G23</f>
        <v>935</v>
      </c>
      <c r="H22" s="11">
        <f t="shared" si="12"/>
        <v>935</v>
      </c>
      <c r="I22" s="11">
        <f t="shared" si="12"/>
        <v>985</v>
      </c>
      <c r="J22" s="11">
        <f t="shared" si="12"/>
        <v>1020</v>
      </c>
      <c r="K22" s="11">
        <f t="shared" si="12"/>
        <v>1035</v>
      </c>
      <c r="L22" s="11">
        <f t="shared" si="12"/>
        <v>1000</v>
      </c>
      <c r="M22" s="11">
        <f t="shared" si="12"/>
        <v>331.3</v>
      </c>
      <c r="N22" s="7">
        <f t="shared" si="3"/>
        <v>33.13</v>
      </c>
    </row>
    <row r="23" spans="1:14" ht="15.75">
      <c r="A23" s="47" t="s">
        <v>304</v>
      </c>
      <c r="B23" s="42" t="s">
        <v>398</v>
      </c>
      <c r="C23" s="42" t="s">
        <v>296</v>
      </c>
      <c r="D23" s="42" t="s">
        <v>267</v>
      </c>
      <c r="E23" s="42"/>
      <c r="F23" s="42"/>
      <c r="G23" s="11">
        <f>G24+G32</f>
        <v>935</v>
      </c>
      <c r="H23" s="11">
        <f aca="true" t="shared" si="13" ref="H23:L23">H24+H32</f>
        <v>935</v>
      </c>
      <c r="I23" s="11">
        <f t="shared" si="13"/>
        <v>985</v>
      </c>
      <c r="J23" s="11">
        <f t="shared" si="13"/>
        <v>1020</v>
      </c>
      <c r="K23" s="11">
        <f t="shared" si="13"/>
        <v>1035</v>
      </c>
      <c r="L23" s="11">
        <f t="shared" si="13"/>
        <v>1000</v>
      </c>
      <c r="M23" s="11">
        <f aca="true" t="shared" si="14" ref="M23">M24+M32</f>
        <v>331.3</v>
      </c>
      <c r="N23" s="7">
        <f t="shared" si="3"/>
        <v>33.13</v>
      </c>
    </row>
    <row r="24" spans="1:14" ht="31.5">
      <c r="A24" s="31" t="s">
        <v>209</v>
      </c>
      <c r="B24" s="21" t="s">
        <v>399</v>
      </c>
      <c r="C24" s="42" t="s">
        <v>296</v>
      </c>
      <c r="D24" s="42" t="s">
        <v>267</v>
      </c>
      <c r="E24" s="42"/>
      <c r="F24" s="42"/>
      <c r="G24" s="11">
        <f>G27+G30</f>
        <v>666.4</v>
      </c>
      <c r="H24" s="11">
        <f aca="true" t="shared" si="15" ref="H24:K24">H27+H30</f>
        <v>666.4</v>
      </c>
      <c r="I24" s="11">
        <f t="shared" si="15"/>
        <v>716.4</v>
      </c>
      <c r="J24" s="11">
        <f t="shared" si="15"/>
        <v>751.4</v>
      </c>
      <c r="K24" s="11">
        <f t="shared" si="15"/>
        <v>766.4</v>
      </c>
      <c r="L24" s="11">
        <f>L27+L30+L25</f>
        <v>731.4</v>
      </c>
      <c r="M24" s="11">
        <f>M27+M30+M25</f>
        <v>331.3</v>
      </c>
      <c r="N24" s="7">
        <f t="shared" si="3"/>
        <v>45.296691277003006</v>
      </c>
    </row>
    <row r="25" spans="1:14" ht="78.75">
      <c r="A25" s="26" t="s">
        <v>179</v>
      </c>
      <c r="B25" s="21" t="s">
        <v>399</v>
      </c>
      <c r="C25" s="42" t="s">
        <v>296</v>
      </c>
      <c r="D25" s="42" t="s">
        <v>267</v>
      </c>
      <c r="E25" s="42" t="s">
        <v>180</v>
      </c>
      <c r="F25" s="42"/>
      <c r="G25" s="11">
        <f>G26</f>
        <v>0</v>
      </c>
      <c r="H25" s="11">
        <f aca="true" t="shared" si="16" ref="H25:M25">H26</f>
        <v>0</v>
      </c>
      <c r="I25" s="11">
        <f t="shared" si="16"/>
        <v>0</v>
      </c>
      <c r="J25" s="11">
        <f t="shared" si="16"/>
        <v>0</v>
      </c>
      <c r="K25" s="11">
        <f t="shared" si="16"/>
        <v>0</v>
      </c>
      <c r="L25" s="11">
        <f t="shared" si="16"/>
        <v>40</v>
      </c>
      <c r="M25" s="11">
        <f t="shared" si="16"/>
        <v>5</v>
      </c>
      <c r="N25" s="7">
        <f t="shared" si="3"/>
        <v>12.5</v>
      </c>
    </row>
    <row r="26" spans="1:14" ht="15.75">
      <c r="A26" s="26" t="s">
        <v>394</v>
      </c>
      <c r="B26" s="21" t="s">
        <v>399</v>
      </c>
      <c r="C26" s="42" t="s">
        <v>296</v>
      </c>
      <c r="D26" s="42" t="s">
        <v>267</v>
      </c>
      <c r="E26" s="42" t="s">
        <v>261</v>
      </c>
      <c r="F26" s="42"/>
      <c r="G26" s="11"/>
      <c r="H26" s="11"/>
      <c r="I26" s="11"/>
      <c r="J26" s="11"/>
      <c r="K26" s="11"/>
      <c r="L26" s="11">
        <f>'Прил.№4 ведомств.'!M460</f>
        <v>40</v>
      </c>
      <c r="M26" s="11">
        <f>'Прил.№4 ведомств.'!N460</f>
        <v>5</v>
      </c>
      <c r="N26" s="7">
        <f t="shared" si="3"/>
        <v>12.5</v>
      </c>
    </row>
    <row r="27" spans="1:14" ht="31.5">
      <c r="A27" s="31" t="s">
        <v>183</v>
      </c>
      <c r="B27" s="21" t="s">
        <v>399</v>
      </c>
      <c r="C27" s="42" t="s">
        <v>296</v>
      </c>
      <c r="D27" s="42" t="s">
        <v>267</v>
      </c>
      <c r="E27" s="42" t="s">
        <v>184</v>
      </c>
      <c r="F27" s="42"/>
      <c r="G27" s="11">
        <f>G28</f>
        <v>641.4</v>
      </c>
      <c r="H27" s="11">
        <f aca="true" t="shared" si="17" ref="H27:M27">H28</f>
        <v>641.4</v>
      </c>
      <c r="I27" s="11">
        <f t="shared" si="17"/>
        <v>641.4</v>
      </c>
      <c r="J27" s="11">
        <f t="shared" si="17"/>
        <v>641.4</v>
      </c>
      <c r="K27" s="11">
        <f t="shared" si="17"/>
        <v>641.4</v>
      </c>
      <c r="L27" s="11">
        <f t="shared" si="17"/>
        <v>666.4</v>
      </c>
      <c r="M27" s="11">
        <f t="shared" si="17"/>
        <v>301.3</v>
      </c>
      <c r="N27" s="7">
        <f t="shared" si="3"/>
        <v>45.21308523409364</v>
      </c>
    </row>
    <row r="28" spans="1:14" ht="31.5">
      <c r="A28" s="31" t="s">
        <v>185</v>
      </c>
      <c r="B28" s="21" t="s">
        <v>399</v>
      </c>
      <c r="C28" s="42" t="s">
        <v>296</v>
      </c>
      <c r="D28" s="42" t="s">
        <v>267</v>
      </c>
      <c r="E28" s="42" t="s">
        <v>186</v>
      </c>
      <c r="F28" s="42"/>
      <c r="G28" s="7">
        <f>'Прил.№4 ведомств.'!G462</f>
        <v>641.4</v>
      </c>
      <c r="H28" s="7">
        <f>'Прил.№4 ведомств.'!I462</f>
        <v>641.4</v>
      </c>
      <c r="I28" s="7">
        <f>'Прил.№4 ведомств.'!J462</f>
        <v>641.4</v>
      </c>
      <c r="J28" s="7">
        <f>'Прил.№4 ведомств.'!K462</f>
        <v>641.4</v>
      </c>
      <c r="K28" s="7">
        <f>'Прил.№4 ведомств.'!L462</f>
        <v>641.4</v>
      </c>
      <c r="L28" s="7">
        <f>'Прил.№4 ведомств.'!M462</f>
        <v>666.4</v>
      </c>
      <c r="M28" s="7">
        <f>'Прил.№4 ведомств.'!N462</f>
        <v>301.3</v>
      </c>
      <c r="N28" s="7">
        <f t="shared" si="3"/>
        <v>45.21308523409364</v>
      </c>
    </row>
    <row r="29" spans="1:14" ht="15.75" hidden="1">
      <c r="A29" s="31"/>
      <c r="B29" s="42"/>
      <c r="C29" s="42"/>
      <c r="D29" s="42"/>
      <c r="E29" s="42"/>
      <c r="F29" s="42"/>
      <c r="G29" s="7"/>
      <c r="H29" s="7"/>
      <c r="I29" s="7"/>
      <c r="J29" s="7"/>
      <c r="K29" s="7"/>
      <c r="L29" s="7"/>
      <c r="M29" s="7"/>
      <c r="N29" s="7" t="e">
        <f t="shared" si="3"/>
        <v>#DIV/0!</v>
      </c>
    </row>
    <row r="30" spans="1:14" ht="15.75">
      <c r="A30" s="26" t="s">
        <v>300</v>
      </c>
      <c r="B30" s="21" t="s">
        <v>399</v>
      </c>
      <c r="C30" s="42" t="s">
        <v>296</v>
      </c>
      <c r="D30" s="42" t="s">
        <v>267</v>
      </c>
      <c r="E30" s="21" t="s">
        <v>301</v>
      </c>
      <c r="F30" s="42"/>
      <c r="G30" s="7">
        <f>G31</f>
        <v>25</v>
      </c>
      <c r="H30" s="7">
        <f aca="true" t="shared" si="18" ref="H30:M30">H31</f>
        <v>25</v>
      </c>
      <c r="I30" s="7">
        <f t="shared" si="18"/>
        <v>75</v>
      </c>
      <c r="J30" s="7">
        <f t="shared" si="18"/>
        <v>110</v>
      </c>
      <c r="K30" s="7">
        <f t="shared" si="18"/>
        <v>125</v>
      </c>
      <c r="L30" s="7">
        <f t="shared" si="18"/>
        <v>25</v>
      </c>
      <c r="M30" s="7">
        <f t="shared" si="18"/>
        <v>25</v>
      </c>
      <c r="N30" s="7">
        <f t="shared" si="3"/>
        <v>100</v>
      </c>
    </row>
    <row r="31" spans="1:14" ht="31.5">
      <c r="A31" s="26" t="s">
        <v>400</v>
      </c>
      <c r="B31" s="21" t="s">
        <v>399</v>
      </c>
      <c r="C31" s="42" t="s">
        <v>296</v>
      </c>
      <c r="D31" s="42" t="s">
        <v>267</v>
      </c>
      <c r="E31" s="21" t="s">
        <v>401</v>
      </c>
      <c r="F31" s="42"/>
      <c r="G31" s="7">
        <f>'Прил.№4 ведомств.'!G464</f>
        <v>25</v>
      </c>
      <c r="H31" s="7">
        <f>'Прил.№4 ведомств.'!I464</f>
        <v>25</v>
      </c>
      <c r="I31" s="7">
        <f>'Прил.№4 ведомств.'!J464</f>
        <v>75</v>
      </c>
      <c r="J31" s="7">
        <f>'Прил.№4 ведомств.'!K464</f>
        <v>110</v>
      </c>
      <c r="K31" s="7">
        <f>'Прил.№4 ведомств.'!L464</f>
        <v>125</v>
      </c>
      <c r="L31" s="7">
        <f>'Прил.№4 ведомств.'!M464</f>
        <v>25</v>
      </c>
      <c r="M31" s="7">
        <f>'Прил.№4 ведомств.'!N464</f>
        <v>25</v>
      </c>
      <c r="N31" s="7">
        <f t="shared" si="3"/>
        <v>100</v>
      </c>
    </row>
    <row r="32" spans="1:14" ht="31.5">
      <c r="A32" s="26" t="s">
        <v>402</v>
      </c>
      <c r="B32" s="21" t="s">
        <v>403</v>
      </c>
      <c r="C32" s="42" t="s">
        <v>296</v>
      </c>
      <c r="D32" s="42" t="s">
        <v>267</v>
      </c>
      <c r="E32" s="42"/>
      <c r="F32" s="42"/>
      <c r="G32" s="11">
        <f>G33</f>
        <v>268.6</v>
      </c>
      <c r="H32" s="11">
        <f aca="true" t="shared" si="19" ref="H32:M33">H33</f>
        <v>268.6</v>
      </c>
      <c r="I32" s="11">
        <f t="shared" si="19"/>
        <v>268.6</v>
      </c>
      <c r="J32" s="11">
        <f t="shared" si="19"/>
        <v>268.6</v>
      </c>
      <c r="K32" s="11">
        <f t="shared" si="19"/>
        <v>268.6</v>
      </c>
      <c r="L32" s="11">
        <f t="shared" si="19"/>
        <v>268.6</v>
      </c>
      <c r="M32" s="11">
        <f t="shared" si="19"/>
        <v>0</v>
      </c>
      <c r="N32" s="7">
        <f t="shared" si="3"/>
        <v>0</v>
      </c>
    </row>
    <row r="33" spans="1:14" ht="31.5">
      <c r="A33" s="26" t="s">
        <v>324</v>
      </c>
      <c r="B33" s="21" t="s">
        <v>403</v>
      </c>
      <c r="C33" s="42" t="s">
        <v>296</v>
      </c>
      <c r="D33" s="42" t="s">
        <v>267</v>
      </c>
      <c r="E33" s="42" t="s">
        <v>325</v>
      </c>
      <c r="F33" s="42"/>
      <c r="G33" s="11">
        <f>G34</f>
        <v>268.6</v>
      </c>
      <c r="H33" s="11">
        <f t="shared" si="19"/>
        <v>268.6</v>
      </c>
      <c r="I33" s="11">
        <f t="shared" si="19"/>
        <v>268.6</v>
      </c>
      <c r="J33" s="11">
        <f t="shared" si="19"/>
        <v>268.6</v>
      </c>
      <c r="K33" s="11">
        <f t="shared" si="19"/>
        <v>268.6</v>
      </c>
      <c r="L33" s="11">
        <f t="shared" si="19"/>
        <v>268.6</v>
      </c>
      <c r="M33" s="11">
        <f t="shared" si="19"/>
        <v>0</v>
      </c>
      <c r="N33" s="7">
        <f t="shared" si="3"/>
        <v>0</v>
      </c>
    </row>
    <row r="34" spans="1:14" ht="15.75">
      <c r="A34" s="26" t="s">
        <v>326</v>
      </c>
      <c r="B34" s="21" t="s">
        <v>403</v>
      </c>
      <c r="C34" s="42" t="s">
        <v>296</v>
      </c>
      <c r="D34" s="42" t="s">
        <v>267</v>
      </c>
      <c r="E34" s="42" t="s">
        <v>327</v>
      </c>
      <c r="F34" s="42"/>
      <c r="G34" s="11">
        <f>'Прил.№4 ведомств.'!G467</f>
        <v>268.6</v>
      </c>
      <c r="H34" s="11">
        <f>'Прил.№4 ведомств.'!I467</f>
        <v>268.6</v>
      </c>
      <c r="I34" s="11">
        <f>'Прил.№4 ведомств.'!J467</f>
        <v>268.6</v>
      </c>
      <c r="J34" s="11">
        <f>'Прил.№4 ведомств.'!K467</f>
        <v>268.6</v>
      </c>
      <c r="K34" s="11">
        <f>'Прил.№4 ведомств.'!L467</f>
        <v>268.6</v>
      </c>
      <c r="L34" s="11">
        <f>'Прил.№4 ведомств.'!M467</f>
        <v>268.6</v>
      </c>
      <c r="M34" s="11">
        <f>'Прил.№4 ведомств.'!N467</f>
        <v>0</v>
      </c>
      <c r="N34" s="7">
        <f t="shared" si="3"/>
        <v>0</v>
      </c>
    </row>
    <row r="35" spans="1:14" ht="47.25">
      <c r="A35" s="47" t="s">
        <v>313</v>
      </c>
      <c r="B35" s="21" t="s">
        <v>398</v>
      </c>
      <c r="C35" s="42" t="s">
        <v>296</v>
      </c>
      <c r="D35" s="42" t="s">
        <v>267</v>
      </c>
      <c r="E35" s="42"/>
      <c r="F35" s="42" t="s">
        <v>705</v>
      </c>
      <c r="G35" s="7">
        <f>G21</f>
        <v>935</v>
      </c>
      <c r="H35" s="7">
        <f aca="true" t="shared" si="20" ref="H35:L35">H21</f>
        <v>935</v>
      </c>
      <c r="I35" s="7">
        <f t="shared" si="20"/>
        <v>985</v>
      </c>
      <c r="J35" s="7">
        <f t="shared" si="20"/>
        <v>1020</v>
      </c>
      <c r="K35" s="7">
        <f t="shared" si="20"/>
        <v>1035</v>
      </c>
      <c r="L35" s="7">
        <f t="shared" si="20"/>
        <v>1000</v>
      </c>
      <c r="M35" s="7">
        <f aca="true" t="shared" si="21" ref="M35">M21</f>
        <v>331.3</v>
      </c>
      <c r="N35" s="7">
        <f t="shared" si="3"/>
        <v>33.13</v>
      </c>
    </row>
    <row r="36" spans="1:14" ht="31.5">
      <c r="A36" s="64" t="s">
        <v>706</v>
      </c>
      <c r="B36" s="8" t="s">
        <v>405</v>
      </c>
      <c r="C36" s="8"/>
      <c r="D36" s="8"/>
      <c r="E36" s="8"/>
      <c r="F36" s="8"/>
      <c r="G36" s="68">
        <f>G37</f>
        <v>63</v>
      </c>
      <c r="H36" s="68">
        <f aca="true" t="shared" si="22" ref="H36:M40">H37</f>
        <v>63</v>
      </c>
      <c r="I36" s="68">
        <f t="shared" si="22"/>
        <v>63</v>
      </c>
      <c r="J36" s="68">
        <f t="shared" si="22"/>
        <v>63</v>
      </c>
      <c r="K36" s="68">
        <f t="shared" si="22"/>
        <v>63</v>
      </c>
      <c r="L36" s="68">
        <f t="shared" si="22"/>
        <v>148.4</v>
      </c>
      <c r="M36" s="68">
        <f t="shared" si="22"/>
        <v>0</v>
      </c>
      <c r="N36" s="4">
        <f t="shared" si="3"/>
        <v>0</v>
      </c>
    </row>
    <row r="37" spans="1:14" ht="15.75">
      <c r="A37" s="47" t="s">
        <v>295</v>
      </c>
      <c r="B37" s="42" t="s">
        <v>405</v>
      </c>
      <c r="C37" s="42" t="s">
        <v>296</v>
      </c>
      <c r="D37" s="42"/>
      <c r="E37" s="42"/>
      <c r="F37" s="42"/>
      <c r="G37" s="11">
        <f>G38</f>
        <v>63</v>
      </c>
      <c r="H37" s="11">
        <f t="shared" si="22"/>
        <v>63</v>
      </c>
      <c r="I37" s="11">
        <f t="shared" si="22"/>
        <v>63</v>
      </c>
      <c r="J37" s="11">
        <f t="shared" si="22"/>
        <v>63</v>
      </c>
      <c r="K37" s="11">
        <f t="shared" si="22"/>
        <v>63</v>
      </c>
      <c r="L37" s="11">
        <f t="shared" si="22"/>
        <v>148.4</v>
      </c>
      <c r="M37" s="11">
        <f t="shared" si="22"/>
        <v>0</v>
      </c>
      <c r="N37" s="7">
        <f t="shared" si="3"/>
        <v>0</v>
      </c>
    </row>
    <row r="38" spans="1:14" ht="15.75">
      <c r="A38" s="47" t="s">
        <v>304</v>
      </c>
      <c r="B38" s="42" t="s">
        <v>405</v>
      </c>
      <c r="C38" s="42" t="s">
        <v>296</v>
      </c>
      <c r="D38" s="42" t="s">
        <v>267</v>
      </c>
      <c r="E38" s="42"/>
      <c r="F38" s="42"/>
      <c r="G38" s="11">
        <f>G39</f>
        <v>63</v>
      </c>
      <c r="H38" s="11">
        <f t="shared" si="22"/>
        <v>63</v>
      </c>
      <c r="I38" s="11">
        <f t="shared" si="22"/>
        <v>63</v>
      </c>
      <c r="J38" s="11">
        <f t="shared" si="22"/>
        <v>63</v>
      </c>
      <c r="K38" s="11">
        <f t="shared" si="22"/>
        <v>63</v>
      </c>
      <c r="L38" s="11">
        <f t="shared" si="22"/>
        <v>148.4</v>
      </c>
      <c r="M38" s="11">
        <f t="shared" si="22"/>
        <v>0</v>
      </c>
      <c r="N38" s="7">
        <f t="shared" si="3"/>
        <v>0</v>
      </c>
    </row>
    <row r="39" spans="1:14" ht="15.75">
      <c r="A39" s="26" t="s">
        <v>687</v>
      </c>
      <c r="B39" s="21" t="s">
        <v>688</v>
      </c>
      <c r="C39" s="42" t="s">
        <v>296</v>
      </c>
      <c r="D39" s="42" t="s">
        <v>267</v>
      </c>
      <c r="E39" s="42"/>
      <c r="F39" s="42"/>
      <c r="G39" s="11">
        <f>G40</f>
        <v>63</v>
      </c>
      <c r="H39" s="11">
        <f t="shared" si="22"/>
        <v>63</v>
      </c>
      <c r="I39" s="11">
        <f t="shared" si="22"/>
        <v>63</v>
      </c>
      <c r="J39" s="11">
        <f t="shared" si="22"/>
        <v>63</v>
      </c>
      <c r="K39" s="11">
        <f t="shared" si="22"/>
        <v>63</v>
      </c>
      <c r="L39" s="11">
        <f t="shared" si="22"/>
        <v>148.4</v>
      </c>
      <c r="M39" s="11">
        <f t="shared" si="22"/>
        <v>0</v>
      </c>
      <c r="N39" s="7">
        <f t="shared" si="3"/>
        <v>0</v>
      </c>
    </row>
    <row r="40" spans="1:14" ht="15.75">
      <c r="A40" s="31" t="s">
        <v>300</v>
      </c>
      <c r="B40" s="21" t="s">
        <v>688</v>
      </c>
      <c r="C40" s="42" t="s">
        <v>296</v>
      </c>
      <c r="D40" s="42" t="s">
        <v>267</v>
      </c>
      <c r="E40" s="42" t="s">
        <v>301</v>
      </c>
      <c r="F40" s="42"/>
      <c r="G40" s="11">
        <f>G41</f>
        <v>63</v>
      </c>
      <c r="H40" s="11">
        <f t="shared" si="22"/>
        <v>63</v>
      </c>
      <c r="I40" s="11">
        <f t="shared" si="22"/>
        <v>63</v>
      </c>
      <c r="J40" s="11">
        <f t="shared" si="22"/>
        <v>63</v>
      </c>
      <c r="K40" s="11">
        <f t="shared" si="22"/>
        <v>63</v>
      </c>
      <c r="L40" s="11">
        <f t="shared" si="22"/>
        <v>148.4</v>
      </c>
      <c r="M40" s="11">
        <f t="shared" si="22"/>
        <v>0</v>
      </c>
      <c r="N40" s="7">
        <f t="shared" si="3"/>
        <v>0</v>
      </c>
    </row>
    <row r="41" spans="1:14" ht="31.5">
      <c r="A41" s="31" t="s">
        <v>302</v>
      </c>
      <c r="B41" s="21" t="s">
        <v>688</v>
      </c>
      <c r="C41" s="42" t="s">
        <v>296</v>
      </c>
      <c r="D41" s="42" t="s">
        <v>267</v>
      </c>
      <c r="E41" s="42" t="s">
        <v>303</v>
      </c>
      <c r="F41" s="42"/>
      <c r="G41" s="11">
        <f>'Прил.№4 ведомств.'!G471</f>
        <v>63</v>
      </c>
      <c r="H41" s="11">
        <f>'Прил.№4 ведомств.'!I471</f>
        <v>63</v>
      </c>
      <c r="I41" s="11">
        <f>'Прил.№4 ведомств.'!J471</f>
        <v>63</v>
      </c>
      <c r="J41" s="11">
        <f>'Прил.№4 ведомств.'!K471</f>
        <v>63</v>
      </c>
      <c r="K41" s="11">
        <f>'Прил.№4 ведомств.'!L471</f>
        <v>63</v>
      </c>
      <c r="L41" s="11">
        <f>'Прил.№4 ведомств.'!M471</f>
        <v>148.4</v>
      </c>
      <c r="M41" s="11">
        <f>'Прил.№4 ведомств.'!N471</f>
        <v>0</v>
      </c>
      <c r="N41" s="7">
        <f t="shared" si="3"/>
        <v>0</v>
      </c>
    </row>
    <row r="42" spans="1:14" ht="47.25">
      <c r="A42" s="47" t="s">
        <v>313</v>
      </c>
      <c r="B42" s="21" t="s">
        <v>405</v>
      </c>
      <c r="C42" s="42" t="s">
        <v>296</v>
      </c>
      <c r="D42" s="42" t="s">
        <v>267</v>
      </c>
      <c r="E42" s="42"/>
      <c r="F42" s="42" t="s">
        <v>705</v>
      </c>
      <c r="G42" s="11">
        <f>G36</f>
        <v>63</v>
      </c>
      <c r="H42" s="11">
        <f aca="true" t="shared" si="23" ref="H42:L42">H36</f>
        <v>63</v>
      </c>
      <c r="I42" s="11">
        <f t="shared" si="23"/>
        <v>63</v>
      </c>
      <c r="J42" s="11">
        <f t="shared" si="23"/>
        <v>63</v>
      </c>
      <c r="K42" s="11">
        <f t="shared" si="23"/>
        <v>63</v>
      </c>
      <c r="L42" s="11">
        <f t="shared" si="23"/>
        <v>148.4</v>
      </c>
      <c r="M42" s="11">
        <f aca="true" t="shared" si="24" ref="M42">M36</f>
        <v>0</v>
      </c>
      <c r="N42" s="7">
        <f t="shared" si="3"/>
        <v>0</v>
      </c>
    </row>
    <row r="43" spans="1:14" ht="31.5">
      <c r="A43" s="64" t="s">
        <v>707</v>
      </c>
      <c r="B43" s="8" t="s">
        <v>408</v>
      </c>
      <c r="C43" s="8"/>
      <c r="D43" s="8"/>
      <c r="E43" s="8"/>
      <c r="F43" s="8"/>
      <c r="G43" s="68">
        <f>G44</f>
        <v>420</v>
      </c>
      <c r="H43" s="68">
        <f aca="true" t="shared" si="25" ref="H43:M47">H44</f>
        <v>420</v>
      </c>
      <c r="I43" s="68">
        <f t="shared" si="25"/>
        <v>420</v>
      </c>
      <c r="J43" s="68">
        <f t="shared" si="25"/>
        <v>420</v>
      </c>
      <c r="K43" s="68">
        <f t="shared" si="25"/>
        <v>420</v>
      </c>
      <c r="L43" s="68">
        <f t="shared" si="25"/>
        <v>420</v>
      </c>
      <c r="M43" s="68">
        <f t="shared" si="25"/>
        <v>200</v>
      </c>
      <c r="N43" s="4">
        <f t="shared" si="3"/>
        <v>47.61904761904761</v>
      </c>
    </row>
    <row r="44" spans="1:14" ht="15.75">
      <c r="A44" s="47" t="s">
        <v>295</v>
      </c>
      <c r="B44" s="42" t="s">
        <v>408</v>
      </c>
      <c r="C44" s="42" t="s">
        <v>296</v>
      </c>
      <c r="D44" s="42"/>
      <c r="E44" s="42"/>
      <c r="F44" s="42"/>
      <c r="G44" s="11">
        <f>G45</f>
        <v>420</v>
      </c>
      <c r="H44" s="11">
        <f t="shared" si="25"/>
        <v>420</v>
      </c>
      <c r="I44" s="11">
        <f t="shared" si="25"/>
        <v>420</v>
      </c>
      <c r="J44" s="11">
        <f t="shared" si="25"/>
        <v>420</v>
      </c>
      <c r="K44" s="11">
        <f t="shared" si="25"/>
        <v>420</v>
      </c>
      <c r="L44" s="11">
        <f t="shared" si="25"/>
        <v>420</v>
      </c>
      <c r="M44" s="11">
        <f t="shared" si="25"/>
        <v>200</v>
      </c>
      <c r="N44" s="7">
        <f t="shared" si="3"/>
        <v>47.61904761904761</v>
      </c>
    </row>
    <row r="45" spans="1:14" ht="15.75">
      <c r="A45" s="47" t="s">
        <v>304</v>
      </c>
      <c r="B45" s="42" t="s">
        <v>408</v>
      </c>
      <c r="C45" s="42" t="s">
        <v>296</v>
      </c>
      <c r="D45" s="42" t="s">
        <v>267</v>
      </c>
      <c r="E45" s="42"/>
      <c r="F45" s="42"/>
      <c r="G45" s="11">
        <f>G46</f>
        <v>420</v>
      </c>
      <c r="H45" s="11">
        <f t="shared" si="25"/>
        <v>420</v>
      </c>
      <c r="I45" s="11">
        <f t="shared" si="25"/>
        <v>420</v>
      </c>
      <c r="J45" s="11">
        <f t="shared" si="25"/>
        <v>420</v>
      </c>
      <c r="K45" s="11">
        <f t="shared" si="25"/>
        <v>420</v>
      </c>
      <c r="L45" s="11">
        <f t="shared" si="25"/>
        <v>420</v>
      </c>
      <c r="M45" s="11">
        <f t="shared" si="25"/>
        <v>200</v>
      </c>
      <c r="N45" s="7">
        <f t="shared" si="3"/>
        <v>47.61904761904761</v>
      </c>
    </row>
    <row r="46" spans="1:14" ht="31.5">
      <c r="A46" s="31" t="s">
        <v>209</v>
      </c>
      <c r="B46" s="42" t="s">
        <v>409</v>
      </c>
      <c r="C46" s="42" t="s">
        <v>296</v>
      </c>
      <c r="D46" s="42" t="s">
        <v>267</v>
      </c>
      <c r="E46" s="42"/>
      <c r="F46" s="42"/>
      <c r="G46" s="11">
        <f>G47</f>
        <v>420</v>
      </c>
      <c r="H46" s="11">
        <f t="shared" si="25"/>
        <v>420</v>
      </c>
      <c r="I46" s="11">
        <f t="shared" si="25"/>
        <v>420</v>
      </c>
      <c r="J46" s="11">
        <f t="shared" si="25"/>
        <v>420</v>
      </c>
      <c r="K46" s="11">
        <f t="shared" si="25"/>
        <v>420</v>
      </c>
      <c r="L46" s="11">
        <f t="shared" si="25"/>
        <v>420</v>
      </c>
      <c r="M46" s="11">
        <f t="shared" si="25"/>
        <v>200</v>
      </c>
      <c r="N46" s="7">
        <f t="shared" si="3"/>
        <v>47.61904761904761</v>
      </c>
    </row>
    <row r="47" spans="1:14" ht="15.75">
      <c r="A47" s="31" t="s">
        <v>300</v>
      </c>
      <c r="B47" s="42" t="s">
        <v>409</v>
      </c>
      <c r="C47" s="42" t="s">
        <v>296</v>
      </c>
      <c r="D47" s="42" t="s">
        <v>267</v>
      </c>
      <c r="E47" s="42" t="s">
        <v>301</v>
      </c>
      <c r="F47" s="42"/>
      <c r="G47" s="11">
        <f>G48</f>
        <v>420</v>
      </c>
      <c r="H47" s="11">
        <f t="shared" si="25"/>
        <v>420</v>
      </c>
      <c r="I47" s="11">
        <f t="shared" si="25"/>
        <v>420</v>
      </c>
      <c r="J47" s="11">
        <f t="shared" si="25"/>
        <v>420</v>
      </c>
      <c r="K47" s="11">
        <f t="shared" si="25"/>
        <v>420</v>
      </c>
      <c r="L47" s="11">
        <f t="shared" si="25"/>
        <v>420</v>
      </c>
      <c r="M47" s="11">
        <f t="shared" si="25"/>
        <v>200</v>
      </c>
      <c r="N47" s="7">
        <f t="shared" si="3"/>
        <v>47.61904761904761</v>
      </c>
    </row>
    <row r="48" spans="1:14" ht="31.5">
      <c r="A48" s="31" t="s">
        <v>400</v>
      </c>
      <c r="B48" s="42" t="s">
        <v>409</v>
      </c>
      <c r="C48" s="42" t="s">
        <v>296</v>
      </c>
      <c r="D48" s="42" t="s">
        <v>267</v>
      </c>
      <c r="E48" s="42" t="s">
        <v>401</v>
      </c>
      <c r="F48" s="42"/>
      <c r="G48" s="11">
        <f>'Прил.№4 ведомств.'!G475</f>
        <v>420</v>
      </c>
      <c r="H48" s="11">
        <f>'Прил.№4 ведомств.'!I475</f>
        <v>420</v>
      </c>
      <c r="I48" s="11">
        <f>'Прил.№4 ведомств.'!J475</f>
        <v>420</v>
      </c>
      <c r="J48" s="11">
        <f>'Прил.№4 ведомств.'!K475</f>
        <v>420</v>
      </c>
      <c r="K48" s="11">
        <f>'Прил.№4 ведомств.'!L475</f>
        <v>420</v>
      </c>
      <c r="L48" s="11">
        <f>'Прил.№4 ведомств.'!M475</f>
        <v>420</v>
      </c>
      <c r="M48" s="11">
        <f>'Прил.№4 ведомств.'!N475</f>
        <v>200</v>
      </c>
      <c r="N48" s="7">
        <f t="shared" si="3"/>
        <v>47.61904761904761</v>
      </c>
    </row>
    <row r="49" spans="1:14" ht="47.25">
      <c r="A49" s="47" t="s">
        <v>313</v>
      </c>
      <c r="B49" s="42" t="s">
        <v>408</v>
      </c>
      <c r="C49" s="42" t="s">
        <v>296</v>
      </c>
      <c r="D49" s="42" t="s">
        <v>267</v>
      </c>
      <c r="E49" s="42"/>
      <c r="F49" s="42" t="s">
        <v>705</v>
      </c>
      <c r="G49" s="11">
        <f>G43</f>
        <v>420</v>
      </c>
      <c r="H49" s="11">
        <f aca="true" t="shared" si="26" ref="H49:L49">H43</f>
        <v>420</v>
      </c>
      <c r="I49" s="11">
        <f t="shared" si="26"/>
        <v>420</v>
      </c>
      <c r="J49" s="11">
        <f t="shared" si="26"/>
        <v>420</v>
      </c>
      <c r="K49" s="11">
        <f t="shared" si="26"/>
        <v>420</v>
      </c>
      <c r="L49" s="11">
        <f t="shared" si="26"/>
        <v>420</v>
      </c>
      <c r="M49" s="11">
        <f aca="true" t="shared" si="27" ref="M49">M43</f>
        <v>200</v>
      </c>
      <c r="N49" s="7">
        <f t="shared" si="3"/>
        <v>47.61904761904761</v>
      </c>
    </row>
    <row r="50" spans="1:14" ht="15.75">
      <c r="A50" s="64" t="s">
        <v>709</v>
      </c>
      <c r="B50" s="8" t="s">
        <v>411</v>
      </c>
      <c r="C50" s="8"/>
      <c r="D50" s="8"/>
      <c r="E50" s="8"/>
      <c r="F50" s="8"/>
      <c r="G50" s="68">
        <f>G51</f>
        <v>1595</v>
      </c>
      <c r="H50" s="68">
        <f aca="true" t="shared" si="28" ref="H50:M52">H51</f>
        <v>1595</v>
      </c>
      <c r="I50" s="68">
        <f t="shared" si="28"/>
        <v>1595</v>
      </c>
      <c r="J50" s="68">
        <f t="shared" si="28"/>
        <v>1595</v>
      </c>
      <c r="K50" s="68">
        <f t="shared" si="28"/>
        <v>1595</v>
      </c>
      <c r="L50" s="68">
        <f t="shared" si="28"/>
        <v>1504.6</v>
      </c>
      <c r="M50" s="68">
        <f t="shared" si="28"/>
        <v>567.7</v>
      </c>
      <c r="N50" s="4">
        <f t="shared" si="3"/>
        <v>37.73095839425761</v>
      </c>
    </row>
    <row r="51" spans="1:14" ht="15.75">
      <c r="A51" s="47" t="s">
        <v>295</v>
      </c>
      <c r="B51" s="42" t="s">
        <v>411</v>
      </c>
      <c r="C51" s="42" t="s">
        <v>296</v>
      </c>
      <c r="D51" s="42"/>
      <c r="E51" s="42"/>
      <c r="F51" s="42"/>
      <c r="G51" s="11">
        <f>G52</f>
        <v>1595</v>
      </c>
      <c r="H51" s="11">
        <f t="shared" si="28"/>
        <v>1595</v>
      </c>
      <c r="I51" s="11">
        <f t="shared" si="28"/>
        <v>1595</v>
      </c>
      <c r="J51" s="11">
        <f t="shared" si="28"/>
        <v>1595</v>
      </c>
      <c r="K51" s="11">
        <f t="shared" si="28"/>
        <v>1595</v>
      </c>
      <c r="L51" s="11">
        <f t="shared" si="28"/>
        <v>1504.6</v>
      </c>
      <c r="M51" s="11">
        <f t="shared" si="28"/>
        <v>567.7</v>
      </c>
      <c r="N51" s="7">
        <f t="shared" si="3"/>
        <v>37.73095839425761</v>
      </c>
    </row>
    <row r="52" spans="1:14" ht="15.75">
      <c r="A52" s="47" t="s">
        <v>304</v>
      </c>
      <c r="B52" s="42" t="s">
        <v>411</v>
      </c>
      <c r="C52" s="42" t="s">
        <v>296</v>
      </c>
      <c r="D52" s="42" t="s">
        <v>267</v>
      </c>
      <c r="E52" s="42"/>
      <c r="F52" s="42"/>
      <c r="G52" s="11">
        <f>G53</f>
        <v>1595</v>
      </c>
      <c r="H52" s="11">
        <f t="shared" si="28"/>
        <v>1595</v>
      </c>
      <c r="I52" s="11">
        <f t="shared" si="28"/>
        <v>1595</v>
      </c>
      <c r="J52" s="11">
        <f t="shared" si="28"/>
        <v>1595</v>
      </c>
      <c r="K52" s="11">
        <f t="shared" si="28"/>
        <v>1595</v>
      </c>
      <c r="L52" s="11">
        <f t="shared" si="28"/>
        <v>1504.6</v>
      </c>
      <c r="M52" s="11">
        <f t="shared" si="28"/>
        <v>567.7</v>
      </c>
      <c r="N52" s="7">
        <f t="shared" si="3"/>
        <v>37.73095839425761</v>
      </c>
    </row>
    <row r="53" spans="1:14" ht="31.5">
      <c r="A53" s="31" t="s">
        <v>209</v>
      </c>
      <c r="B53" s="42" t="s">
        <v>412</v>
      </c>
      <c r="C53" s="42" t="s">
        <v>296</v>
      </c>
      <c r="D53" s="42" t="s">
        <v>267</v>
      </c>
      <c r="E53" s="42"/>
      <c r="F53" s="42"/>
      <c r="G53" s="11">
        <f>G54+G56</f>
        <v>1595</v>
      </c>
      <c r="H53" s="11">
        <f aca="true" t="shared" si="29" ref="H53:L53">H54+H56</f>
        <v>1595</v>
      </c>
      <c r="I53" s="11">
        <f t="shared" si="29"/>
        <v>1595</v>
      </c>
      <c r="J53" s="11">
        <f t="shared" si="29"/>
        <v>1595</v>
      </c>
      <c r="K53" s="11">
        <f t="shared" si="29"/>
        <v>1595</v>
      </c>
      <c r="L53" s="11">
        <f t="shared" si="29"/>
        <v>1504.6</v>
      </c>
      <c r="M53" s="11">
        <f aca="true" t="shared" si="30" ref="M53">M54+M56</f>
        <v>567.7</v>
      </c>
      <c r="N53" s="7">
        <f t="shared" si="3"/>
        <v>37.73095839425761</v>
      </c>
    </row>
    <row r="54" spans="1:14" ht="31.5">
      <c r="A54" s="31" t="s">
        <v>183</v>
      </c>
      <c r="B54" s="42" t="s">
        <v>412</v>
      </c>
      <c r="C54" s="42" t="s">
        <v>296</v>
      </c>
      <c r="D54" s="42" t="s">
        <v>267</v>
      </c>
      <c r="E54" s="42" t="s">
        <v>184</v>
      </c>
      <c r="F54" s="42"/>
      <c r="G54" s="11">
        <f>G55</f>
        <v>547</v>
      </c>
      <c r="H54" s="11">
        <f aca="true" t="shared" si="31" ref="H54:M54">H55</f>
        <v>547</v>
      </c>
      <c r="I54" s="11">
        <f t="shared" si="31"/>
        <v>547</v>
      </c>
      <c r="J54" s="11">
        <f t="shared" si="31"/>
        <v>547</v>
      </c>
      <c r="K54" s="11">
        <f t="shared" si="31"/>
        <v>547</v>
      </c>
      <c r="L54" s="11">
        <f t="shared" si="31"/>
        <v>456.6</v>
      </c>
      <c r="M54" s="11">
        <f t="shared" si="31"/>
        <v>8</v>
      </c>
      <c r="N54" s="7">
        <f t="shared" si="3"/>
        <v>1.7520805957074024</v>
      </c>
    </row>
    <row r="55" spans="1:14" ht="31.5">
      <c r="A55" s="31" t="s">
        <v>185</v>
      </c>
      <c r="B55" s="42" t="s">
        <v>412</v>
      </c>
      <c r="C55" s="42" t="s">
        <v>296</v>
      </c>
      <c r="D55" s="42" t="s">
        <v>267</v>
      </c>
      <c r="E55" s="42" t="s">
        <v>186</v>
      </c>
      <c r="F55" s="42"/>
      <c r="G55" s="11">
        <f>'Прил.№4 ведомств.'!G479</f>
        <v>547</v>
      </c>
      <c r="H55" s="11">
        <f>'Прил.№4 ведомств.'!I479</f>
        <v>547</v>
      </c>
      <c r="I55" s="11">
        <f>'Прил.№4 ведомств.'!J479</f>
        <v>547</v>
      </c>
      <c r="J55" s="11">
        <f>'Прил.№4 ведомств.'!K479</f>
        <v>547</v>
      </c>
      <c r="K55" s="11">
        <f>'Прил.№4 ведомств.'!L479</f>
        <v>547</v>
      </c>
      <c r="L55" s="11">
        <f>'Прил.№4 ведомств.'!M479</f>
        <v>456.6</v>
      </c>
      <c r="M55" s="11">
        <f>'Прил.№4 ведомств.'!N479</f>
        <v>8</v>
      </c>
      <c r="N55" s="7">
        <f t="shared" si="3"/>
        <v>1.7520805957074024</v>
      </c>
    </row>
    <row r="56" spans="1:14" ht="15.75">
      <c r="A56" s="31" t="s">
        <v>300</v>
      </c>
      <c r="B56" s="42" t="s">
        <v>412</v>
      </c>
      <c r="C56" s="42" t="s">
        <v>296</v>
      </c>
      <c r="D56" s="42" t="s">
        <v>267</v>
      </c>
      <c r="E56" s="42" t="s">
        <v>301</v>
      </c>
      <c r="F56" s="42"/>
      <c r="G56" s="11">
        <f>G57</f>
        <v>1048</v>
      </c>
      <c r="H56" s="11">
        <f aca="true" t="shared" si="32" ref="H56:M56">H57</f>
        <v>1048</v>
      </c>
      <c r="I56" s="11">
        <f t="shared" si="32"/>
        <v>1048</v>
      </c>
      <c r="J56" s="11">
        <f t="shared" si="32"/>
        <v>1048</v>
      </c>
      <c r="K56" s="11">
        <f t="shared" si="32"/>
        <v>1048</v>
      </c>
      <c r="L56" s="11">
        <f t="shared" si="32"/>
        <v>1048</v>
      </c>
      <c r="M56" s="11">
        <f t="shared" si="32"/>
        <v>559.7</v>
      </c>
      <c r="N56" s="7">
        <f t="shared" si="3"/>
        <v>53.406488549618324</v>
      </c>
    </row>
    <row r="57" spans="1:14" ht="31.5">
      <c r="A57" s="31" t="s">
        <v>400</v>
      </c>
      <c r="B57" s="42" t="s">
        <v>412</v>
      </c>
      <c r="C57" s="42" t="s">
        <v>296</v>
      </c>
      <c r="D57" s="42" t="s">
        <v>267</v>
      </c>
      <c r="E57" s="42" t="s">
        <v>401</v>
      </c>
      <c r="F57" s="42"/>
      <c r="G57" s="11">
        <f>'Прил.№4 ведомств.'!G481</f>
        <v>1048</v>
      </c>
      <c r="H57" s="11">
        <f>'Прил.№4 ведомств.'!I481</f>
        <v>1048</v>
      </c>
      <c r="I57" s="11">
        <f>'Прил.№4 ведомств.'!J481</f>
        <v>1048</v>
      </c>
      <c r="J57" s="11">
        <f>'Прил.№4 ведомств.'!K481</f>
        <v>1048</v>
      </c>
      <c r="K57" s="11">
        <f>'Прил.№4 ведомств.'!L481</f>
        <v>1048</v>
      </c>
      <c r="L57" s="11">
        <f>'Прил.№4 ведомств.'!M481</f>
        <v>1048</v>
      </c>
      <c r="M57" s="11">
        <f>'Прил.№4 ведомств.'!N481</f>
        <v>559.7</v>
      </c>
      <c r="N57" s="7">
        <f t="shared" si="3"/>
        <v>53.406488549618324</v>
      </c>
    </row>
    <row r="58" spans="1:14" ht="47.25">
      <c r="A58" s="47" t="s">
        <v>313</v>
      </c>
      <c r="B58" s="42" t="s">
        <v>411</v>
      </c>
      <c r="C58" s="42" t="s">
        <v>296</v>
      </c>
      <c r="D58" s="42" t="s">
        <v>267</v>
      </c>
      <c r="E58" s="42"/>
      <c r="F58" s="42" t="s">
        <v>705</v>
      </c>
      <c r="G58" s="11">
        <f>G50</f>
        <v>1595</v>
      </c>
      <c r="H58" s="11">
        <f aca="true" t="shared" si="33" ref="H58:L58">H50</f>
        <v>1595</v>
      </c>
      <c r="I58" s="11">
        <f t="shared" si="33"/>
        <v>1595</v>
      </c>
      <c r="J58" s="11">
        <f t="shared" si="33"/>
        <v>1595</v>
      </c>
      <c r="K58" s="11">
        <f t="shared" si="33"/>
        <v>1595</v>
      </c>
      <c r="L58" s="11">
        <f t="shared" si="33"/>
        <v>1504.6</v>
      </c>
      <c r="M58" s="11">
        <f aca="true" t="shared" si="34" ref="M58">M50</f>
        <v>567.7</v>
      </c>
      <c r="N58" s="7">
        <f t="shared" si="3"/>
        <v>37.73095839425761</v>
      </c>
    </row>
    <row r="59" spans="1:14" ht="31.5">
      <c r="A59" s="64" t="s">
        <v>711</v>
      </c>
      <c r="B59" s="8" t="s">
        <v>414</v>
      </c>
      <c r="C59" s="8"/>
      <c r="D59" s="8"/>
      <c r="E59" s="8"/>
      <c r="F59" s="8"/>
      <c r="G59" s="68">
        <f>G60</f>
        <v>335</v>
      </c>
      <c r="H59" s="68">
        <f aca="true" t="shared" si="35" ref="H59:M63">H60</f>
        <v>335</v>
      </c>
      <c r="I59" s="68">
        <f t="shared" si="35"/>
        <v>1882</v>
      </c>
      <c r="J59" s="68">
        <f t="shared" si="35"/>
        <v>1962</v>
      </c>
      <c r="K59" s="68">
        <f t="shared" si="35"/>
        <v>1992</v>
      </c>
      <c r="L59" s="68">
        <f t="shared" si="35"/>
        <v>250</v>
      </c>
      <c r="M59" s="68">
        <f t="shared" si="35"/>
        <v>140</v>
      </c>
      <c r="N59" s="4">
        <f t="shared" si="3"/>
        <v>56.00000000000001</v>
      </c>
    </row>
    <row r="60" spans="1:14" ht="15.75">
      <c r="A60" s="47" t="s">
        <v>295</v>
      </c>
      <c r="B60" s="42" t="s">
        <v>414</v>
      </c>
      <c r="C60" s="42" t="s">
        <v>296</v>
      </c>
      <c r="D60" s="42"/>
      <c r="E60" s="42"/>
      <c r="F60" s="42"/>
      <c r="G60" s="11">
        <f>G61</f>
        <v>335</v>
      </c>
      <c r="H60" s="11">
        <f t="shared" si="35"/>
        <v>335</v>
      </c>
      <c r="I60" s="11">
        <f t="shared" si="35"/>
        <v>1882</v>
      </c>
      <c r="J60" s="11">
        <f t="shared" si="35"/>
        <v>1962</v>
      </c>
      <c r="K60" s="11">
        <f t="shared" si="35"/>
        <v>1992</v>
      </c>
      <c r="L60" s="11">
        <f t="shared" si="35"/>
        <v>250</v>
      </c>
      <c r="M60" s="11">
        <f t="shared" si="35"/>
        <v>140</v>
      </c>
      <c r="N60" s="7">
        <f t="shared" si="3"/>
        <v>56.00000000000001</v>
      </c>
    </row>
    <row r="61" spans="1:14" ht="21.75" customHeight="1">
      <c r="A61" s="47" t="s">
        <v>304</v>
      </c>
      <c r="B61" s="42" t="s">
        <v>414</v>
      </c>
      <c r="C61" s="42" t="s">
        <v>296</v>
      </c>
      <c r="D61" s="42" t="s">
        <v>267</v>
      </c>
      <c r="E61" s="42"/>
      <c r="F61" s="42"/>
      <c r="G61" s="11">
        <f>G62</f>
        <v>335</v>
      </c>
      <c r="H61" s="11">
        <f t="shared" si="35"/>
        <v>335</v>
      </c>
      <c r="I61" s="11">
        <f t="shared" si="35"/>
        <v>1882</v>
      </c>
      <c r="J61" s="11">
        <f t="shared" si="35"/>
        <v>1962</v>
      </c>
      <c r="K61" s="11">
        <f t="shared" si="35"/>
        <v>1992</v>
      </c>
      <c r="L61" s="11">
        <f t="shared" si="35"/>
        <v>250</v>
      </c>
      <c r="M61" s="11">
        <f t="shared" si="35"/>
        <v>140</v>
      </c>
      <c r="N61" s="7">
        <f t="shared" si="3"/>
        <v>56.00000000000001</v>
      </c>
    </row>
    <row r="62" spans="1:14" ht="31.5">
      <c r="A62" s="31" t="s">
        <v>209</v>
      </c>
      <c r="B62" s="42" t="s">
        <v>415</v>
      </c>
      <c r="C62" s="42" t="s">
        <v>296</v>
      </c>
      <c r="D62" s="42" t="s">
        <v>267</v>
      </c>
      <c r="E62" s="42"/>
      <c r="F62" s="42"/>
      <c r="G62" s="11">
        <f>G63</f>
        <v>335</v>
      </c>
      <c r="H62" s="11">
        <f t="shared" si="35"/>
        <v>335</v>
      </c>
      <c r="I62" s="11">
        <f t="shared" si="35"/>
        <v>1882</v>
      </c>
      <c r="J62" s="11">
        <f t="shared" si="35"/>
        <v>1962</v>
      </c>
      <c r="K62" s="11">
        <f t="shared" si="35"/>
        <v>1992</v>
      </c>
      <c r="L62" s="11">
        <f t="shared" si="35"/>
        <v>250</v>
      </c>
      <c r="M62" s="11">
        <f t="shared" si="35"/>
        <v>140</v>
      </c>
      <c r="N62" s="7">
        <f t="shared" si="3"/>
        <v>56.00000000000001</v>
      </c>
    </row>
    <row r="63" spans="1:14" ht="15.75">
      <c r="A63" s="31" t="s">
        <v>300</v>
      </c>
      <c r="B63" s="42" t="s">
        <v>415</v>
      </c>
      <c r="C63" s="42" t="s">
        <v>296</v>
      </c>
      <c r="D63" s="42" t="s">
        <v>267</v>
      </c>
      <c r="E63" s="42" t="s">
        <v>301</v>
      </c>
      <c r="F63" s="42"/>
      <c r="G63" s="11">
        <f>G64</f>
        <v>335</v>
      </c>
      <c r="H63" s="11">
        <f t="shared" si="35"/>
        <v>335</v>
      </c>
      <c r="I63" s="11">
        <f t="shared" si="35"/>
        <v>1882</v>
      </c>
      <c r="J63" s="11">
        <f t="shared" si="35"/>
        <v>1962</v>
      </c>
      <c r="K63" s="11">
        <f t="shared" si="35"/>
        <v>1992</v>
      </c>
      <c r="L63" s="11">
        <f t="shared" si="35"/>
        <v>250</v>
      </c>
      <c r="M63" s="11">
        <f t="shared" si="35"/>
        <v>140</v>
      </c>
      <c r="N63" s="7">
        <f t="shared" si="3"/>
        <v>56.00000000000001</v>
      </c>
    </row>
    <row r="64" spans="1:14" ht="31.5">
      <c r="A64" s="31" t="s">
        <v>400</v>
      </c>
      <c r="B64" s="42" t="s">
        <v>415</v>
      </c>
      <c r="C64" s="42" t="s">
        <v>296</v>
      </c>
      <c r="D64" s="42" t="s">
        <v>267</v>
      </c>
      <c r="E64" s="42" t="s">
        <v>401</v>
      </c>
      <c r="F64" s="42"/>
      <c r="G64" s="11">
        <f>'Прил.№4 ведомств.'!G485</f>
        <v>335</v>
      </c>
      <c r="H64" s="11">
        <f>'Прил.№4 ведомств.'!I485</f>
        <v>335</v>
      </c>
      <c r="I64" s="11">
        <f>'Прил.№4 ведомств.'!J485</f>
        <v>1882</v>
      </c>
      <c r="J64" s="11">
        <f>'Прил.№4 ведомств.'!K485</f>
        <v>1962</v>
      </c>
      <c r="K64" s="11">
        <f>'Прил.№4 ведомств.'!L485</f>
        <v>1992</v>
      </c>
      <c r="L64" s="11">
        <f>'Прил.№4 ведомств.'!M485</f>
        <v>250</v>
      </c>
      <c r="M64" s="11">
        <f>'Прил.№4 ведомств.'!N485</f>
        <v>140</v>
      </c>
      <c r="N64" s="7">
        <f t="shared" si="3"/>
        <v>56.00000000000001</v>
      </c>
    </row>
    <row r="65" spans="1:14" ht="47.25">
      <c r="A65" s="47" t="s">
        <v>313</v>
      </c>
      <c r="B65" s="42" t="s">
        <v>414</v>
      </c>
      <c r="C65" s="42" t="s">
        <v>296</v>
      </c>
      <c r="D65" s="42" t="s">
        <v>267</v>
      </c>
      <c r="E65" s="42"/>
      <c r="F65" s="42" t="s">
        <v>705</v>
      </c>
      <c r="G65" s="11">
        <f>G59</f>
        <v>335</v>
      </c>
      <c r="H65" s="11">
        <f aca="true" t="shared" si="36" ref="H65:L65">H59</f>
        <v>335</v>
      </c>
      <c r="I65" s="11">
        <f t="shared" si="36"/>
        <v>1882</v>
      </c>
      <c r="J65" s="11">
        <f t="shared" si="36"/>
        <v>1962</v>
      </c>
      <c r="K65" s="11">
        <f t="shared" si="36"/>
        <v>1992</v>
      </c>
      <c r="L65" s="11">
        <f t="shared" si="36"/>
        <v>250</v>
      </c>
      <c r="M65" s="11">
        <f aca="true" t="shared" si="37" ref="M65">M59</f>
        <v>140</v>
      </c>
      <c r="N65" s="7">
        <f t="shared" si="3"/>
        <v>56.00000000000001</v>
      </c>
    </row>
    <row r="66" spans="1:14" ht="47.25">
      <c r="A66" s="64" t="s">
        <v>416</v>
      </c>
      <c r="B66" s="8" t="s">
        <v>417</v>
      </c>
      <c r="C66" s="8"/>
      <c r="D66" s="8"/>
      <c r="E66" s="8"/>
      <c r="F66" s="8"/>
      <c r="G66" s="68">
        <f>G67</f>
        <v>210</v>
      </c>
      <c r="H66" s="68">
        <f aca="true" t="shared" si="38" ref="H66:M70">H67</f>
        <v>210</v>
      </c>
      <c r="I66" s="68">
        <f t="shared" si="38"/>
        <v>210</v>
      </c>
      <c r="J66" s="68">
        <f t="shared" si="38"/>
        <v>210</v>
      </c>
      <c r="K66" s="68">
        <f t="shared" si="38"/>
        <v>210</v>
      </c>
      <c r="L66" s="68">
        <f t="shared" si="38"/>
        <v>210</v>
      </c>
      <c r="M66" s="68">
        <f t="shared" si="38"/>
        <v>0</v>
      </c>
      <c r="N66" s="4">
        <f t="shared" si="3"/>
        <v>0</v>
      </c>
    </row>
    <row r="67" spans="1:14" ht="15.75">
      <c r="A67" s="47" t="s">
        <v>295</v>
      </c>
      <c r="B67" s="42" t="s">
        <v>417</v>
      </c>
      <c r="C67" s="42" t="s">
        <v>296</v>
      </c>
      <c r="D67" s="42"/>
      <c r="E67" s="42"/>
      <c r="F67" s="42"/>
      <c r="G67" s="11">
        <f>G68</f>
        <v>210</v>
      </c>
      <c r="H67" s="11">
        <f t="shared" si="38"/>
        <v>210</v>
      </c>
      <c r="I67" s="11">
        <f t="shared" si="38"/>
        <v>210</v>
      </c>
      <c r="J67" s="11">
        <f t="shared" si="38"/>
        <v>210</v>
      </c>
      <c r="K67" s="11">
        <f t="shared" si="38"/>
        <v>210</v>
      </c>
      <c r="L67" s="11">
        <f t="shared" si="38"/>
        <v>210</v>
      </c>
      <c r="M67" s="11">
        <f t="shared" si="38"/>
        <v>0</v>
      </c>
      <c r="N67" s="7">
        <f t="shared" si="3"/>
        <v>0</v>
      </c>
    </row>
    <row r="68" spans="1:14" ht="15.75">
      <c r="A68" s="47" t="s">
        <v>304</v>
      </c>
      <c r="B68" s="42" t="s">
        <v>417</v>
      </c>
      <c r="C68" s="42" t="s">
        <v>296</v>
      </c>
      <c r="D68" s="42" t="s">
        <v>267</v>
      </c>
      <c r="E68" s="42"/>
      <c r="F68" s="42"/>
      <c r="G68" s="11">
        <f>G69</f>
        <v>210</v>
      </c>
      <c r="H68" s="11">
        <f t="shared" si="38"/>
        <v>210</v>
      </c>
      <c r="I68" s="11">
        <f t="shared" si="38"/>
        <v>210</v>
      </c>
      <c r="J68" s="11">
        <f t="shared" si="38"/>
        <v>210</v>
      </c>
      <c r="K68" s="11">
        <f t="shared" si="38"/>
        <v>210</v>
      </c>
      <c r="L68" s="11">
        <f t="shared" si="38"/>
        <v>210</v>
      </c>
      <c r="M68" s="11">
        <f t="shared" si="38"/>
        <v>0</v>
      </c>
      <c r="N68" s="7">
        <f t="shared" si="3"/>
        <v>0</v>
      </c>
    </row>
    <row r="69" spans="1:14" ht="42.75" customHeight="1">
      <c r="A69" s="31" t="s">
        <v>209</v>
      </c>
      <c r="B69" s="42" t="s">
        <v>418</v>
      </c>
      <c r="C69" s="42" t="s">
        <v>296</v>
      </c>
      <c r="D69" s="42" t="s">
        <v>267</v>
      </c>
      <c r="E69" s="42"/>
      <c r="F69" s="42"/>
      <c r="G69" s="11">
        <f>G70</f>
        <v>210</v>
      </c>
      <c r="H69" s="11">
        <f t="shared" si="38"/>
        <v>210</v>
      </c>
      <c r="I69" s="11">
        <f t="shared" si="38"/>
        <v>210</v>
      </c>
      <c r="J69" s="11">
        <f t="shared" si="38"/>
        <v>210</v>
      </c>
      <c r="K69" s="11">
        <f t="shared" si="38"/>
        <v>210</v>
      </c>
      <c r="L69" s="11">
        <f t="shared" si="38"/>
        <v>210</v>
      </c>
      <c r="M69" s="11">
        <f t="shared" si="38"/>
        <v>0</v>
      </c>
      <c r="N69" s="7">
        <f t="shared" si="3"/>
        <v>0</v>
      </c>
    </row>
    <row r="70" spans="1:14" ht="31.5">
      <c r="A70" s="31" t="s">
        <v>183</v>
      </c>
      <c r="B70" s="42" t="s">
        <v>418</v>
      </c>
      <c r="C70" s="42" t="s">
        <v>296</v>
      </c>
      <c r="D70" s="42" t="s">
        <v>267</v>
      </c>
      <c r="E70" s="42" t="s">
        <v>184</v>
      </c>
      <c r="F70" s="42"/>
      <c r="G70" s="11">
        <f>G71</f>
        <v>210</v>
      </c>
      <c r="H70" s="11">
        <f t="shared" si="38"/>
        <v>210</v>
      </c>
      <c r="I70" s="11">
        <f t="shared" si="38"/>
        <v>210</v>
      </c>
      <c r="J70" s="11">
        <f t="shared" si="38"/>
        <v>210</v>
      </c>
      <c r="K70" s="11">
        <f t="shared" si="38"/>
        <v>210</v>
      </c>
      <c r="L70" s="11">
        <f t="shared" si="38"/>
        <v>210</v>
      </c>
      <c r="M70" s="11">
        <f t="shared" si="38"/>
        <v>0</v>
      </c>
      <c r="N70" s="7">
        <f t="shared" si="3"/>
        <v>0</v>
      </c>
    </row>
    <row r="71" spans="1:14" ht="31.5">
      <c r="A71" s="31" t="s">
        <v>185</v>
      </c>
      <c r="B71" s="42" t="s">
        <v>418</v>
      </c>
      <c r="C71" s="42" t="s">
        <v>296</v>
      </c>
      <c r="D71" s="42" t="s">
        <v>267</v>
      </c>
      <c r="E71" s="42" t="s">
        <v>186</v>
      </c>
      <c r="F71" s="42"/>
      <c r="G71" s="11">
        <f>'Прил.№4 ведомств.'!G489</f>
        <v>210</v>
      </c>
      <c r="H71" s="11">
        <f>'Прил.№4 ведомств.'!I489</f>
        <v>210</v>
      </c>
      <c r="I71" s="11">
        <f>'Прил.№4 ведомств.'!J489</f>
        <v>210</v>
      </c>
      <c r="J71" s="11">
        <f>'Прил.№4 ведомств.'!K489</f>
        <v>210</v>
      </c>
      <c r="K71" s="11">
        <f>'Прил.№4 ведомств.'!L489</f>
        <v>210</v>
      </c>
      <c r="L71" s="11">
        <f>'Прил.№4 ведомств.'!M489</f>
        <v>210</v>
      </c>
      <c r="M71" s="11">
        <f>'Прил.№4 ведомств.'!N489</f>
        <v>0</v>
      </c>
      <c r="N71" s="7">
        <f t="shared" si="3"/>
        <v>0</v>
      </c>
    </row>
    <row r="72" spans="1:14" ht="47.25">
      <c r="A72" s="47" t="s">
        <v>313</v>
      </c>
      <c r="B72" s="42" t="s">
        <v>417</v>
      </c>
      <c r="C72" s="42" t="s">
        <v>296</v>
      </c>
      <c r="D72" s="42" t="s">
        <v>267</v>
      </c>
      <c r="E72" s="42"/>
      <c r="F72" s="42" t="s">
        <v>705</v>
      </c>
      <c r="G72" s="11">
        <f>G66</f>
        <v>210</v>
      </c>
      <c r="H72" s="11">
        <f aca="true" t="shared" si="39" ref="H72:L72">H66</f>
        <v>210</v>
      </c>
      <c r="I72" s="11">
        <f t="shared" si="39"/>
        <v>210</v>
      </c>
      <c r="J72" s="11">
        <f t="shared" si="39"/>
        <v>210</v>
      </c>
      <c r="K72" s="11">
        <f t="shared" si="39"/>
        <v>210</v>
      </c>
      <c r="L72" s="11">
        <f t="shared" si="39"/>
        <v>210</v>
      </c>
      <c r="M72" s="11">
        <f aca="true" t="shared" si="40" ref="M72">M66</f>
        <v>0</v>
      </c>
      <c r="N72" s="7">
        <f t="shared" si="3"/>
        <v>0</v>
      </c>
    </row>
    <row r="73" spans="1:14" ht="47.25">
      <c r="A73" s="43" t="s">
        <v>419</v>
      </c>
      <c r="B73" s="8" t="s">
        <v>420</v>
      </c>
      <c r="C73" s="8"/>
      <c r="D73" s="8"/>
      <c r="E73" s="8"/>
      <c r="F73" s="8"/>
      <c r="G73" s="68">
        <f>G74</f>
        <v>30</v>
      </c>
      <c r="H73" s="68">
        <f aca="true" t="shared" si="41" ref="H73:M74">H74</f>
        <v>30</v>
      </c>
      <c r="I73" s="68">
        <f t="shared" si="41"/>
        <v>30</v>
      </c>
      <c r="J73" s="68">
        <f t="shared" si="41"/>
        <v>30</v>
      </c>
      <c r="K73" s="68">
        <f t="shared" si="41"/>
        <v>30</v>
      </c>
      <c r="L73" s="68">
        <f t="shared" si="41"/>
        <v>20</v>
      </c>
      <c r="M73" s="68">
        <f t="shared" si="41"/>
        <v>0</v>
      </c>
      <c r="N73" s="4">
        <f t="shared" si="3"/>
        <v>0</v>
      </c>
    </row>
    <row r="74" spans="1:14" ht="15.75">
      <c r="A74" s="47" t="s">
        <v>295</v>
      </c>
      <c r="B74" s="42" t="s">
        <v>420</v>
      </c>
      <c r="C74" s="42" t="s">
        <v>296</v>
      </c>
      <c r="D74" s="42"/>
      <c r="E74" s="42"/>
      <c r="F74" s="42"/>
      <c r="G74" s="11">
        <f>G75</f>
        <v>30</v>
      </c>
      <c r="H74" s="11">
        <f t="shared" si="41"/>
        <v>30</v>
      </c>
      <c r="I74" s="11">
        <f t="shared" si="41"/>
        <v>30</v>
      </c>
      <c r="J74" s="11">
        <f t="shared" si="41"/>
        <v>30</v>
      </c>
      <c r="K74" s="11">
        <f t="shared" si="41"/>
        <v>30</v>
      </c>
      <c r="L74" s="11">
        <f t="shared" si="41"/>
        <v>20</v>
      </c>
      <c r="M74" s="11">
        <f t="shared" si="41"/>
        <v>0</v>
      </c>
      <c r="N74" s="7">
        <f t="shared" si="3"/>
        <v>0</v>
      </c>
    </row>
    <row r="75" spans="1:14" ht="15.75">
      <c r="A75" s="47" t="s">
        <v>304</v>
      </c>
      <c r="B75" s="42" t="s">
        <v>420</v>
      </c>
      <c r="C75" s="42" t="s">
        <v>296</v>
      </c>
      <c r="D75" s="42" t="s">
        <v>267</v>
      </c>
      <c r="E75" s="42"/>
      <c r="F75" s="42"/>
      <c r="G75" s="11">
        <f>G76+G94+G85+G89+G81</f>
        <v>30</v>
      </c>
      <c r="H75" s="11">
        <f aca="true" t="shared" si="42" ref="H75:L75">H76+H94+H85+H89+H81</f>
        <v>30</v>
      </c>
      <c r="I75" s="11">
        <f t="shared" si="42"/>
        <v>30</v>
      </c>
      <c r="J75" s="11">
        <f t="shared" si="42"/>
        <v>30</v>
      </c>
      <c r="K75" s="11">
        <f t="shared" si="42"/>
        <v>30</v>
      </c>
      <c r="L75" s="11">
        <f t="shared" si="42"/>
        <v>20</v>
      </c>
      <c r="M75" s="11">
        <f aca="true" t="shared" si="43" ref="M75">M76+M94+M85+M89+M81</f>
        <v>0</v>
      </c>
      <c r="N75" s="7">
        <f t="shared" si="3"/>
        <v>0</v>
      </c>
    </row>
    <row r="76" spans="1:14" ht="45" customHeight="1">
      <c r="A76" s="31" t="s">
        <v>209</v>
      </c>
      <c r="B76" s="42" t="s">
        <v>422</v>
      </c>
      <c r="C76" s="42" t="s">
        <v>296</v>
      </c>
      <c r="D76" s="42" t="s">
        <v>267</v>
      </c>
      <c r="E76" s="42"/>
      <c r="F76" s="42"/>
      <c r="G76" s="11">
        <f>G79+G77</f>
        <v>20</v>
      </c>
      <c r="H76" s="11">
        <f aca="true" t="shared" si="44" ref="H76:L76">H79+H77</f>
        <v>20</v>
      </c>
      <c r="I76" s="11">
        <f t="shared" si="44"/>
        <v>20</v>
      </c>
      <c r="J76" s="11">
        <f t="shared" si="44"/>
        <v>20</v>
      </c>
      <c r="K76" s="11">
        <f t="shared" si="44"/>
        <v>20</v>
      </c>
      <c r="L76" s="11">
        <f t="shared" si="44"/>
        <v>10</v>
      </c>
      <c r="M76" s="11">
        <f aca="true" t="shared" si="45" ref="M76">M79+M77</f>
        <v>0</v>
      </c>
      <c r="N76" s="7">
        <f aca="true" t="shared" si="46" ref="N76:N139">M76/L76*100</f>
        <v>0</v>
      </c>
    </row>
    <row r="77" spans="1:14" ht="31.5" hidden="1">
      <c r="A77" s="31" t="s">
        <v>183</v>
      </c>
      <c r="B77" s="42" t="s">
        <v>420</v>
      </c>
      <c r="C77" s="42" t="s">
        <v>296</v>
      </c>
      <c r="D77" s="42" t="s">
        <v>267</v>
      </c>
      <c r="E77" s="42" t="s">
        <v>184</v>
      </c>
      <c r="F77" s="42"/>
      <c r="G77" s="11">
        <f>G78</f>
        <v>0</v>
      </c>
      <c r="H77" s="11">
        <f aca="true" t="shared" si="47" ref="H77:M77">H78</f>
        <v>0</v>
      </c>
      <c r="I77" s="11">
        <f t="shared" si="47"/>
        <v>0</v>
      </c>
      <c r="J77" s="11">
        <f t="shared" si="47"/>
        <v>0</v>
      </c>
      <c r="K77" s="11">
        <f t="shared" si="47"/>
        <v>0</v>
      </c>
      <c r="L77" s="11">
        <f t="shared" si="47"/>
        <v>0</v>
      </c>
      <c r="M77" s="11">
        <f t="shared" si="47"/>
        <v>0</v>
      </c>
      <c r="N77" s="7" t="e">
        <f t="shared" si="46"/>
        <v>#DIV/0!</v>
      </c>
    </row>
    <row r="78" spans="1:14" ht="31.5" hidden="1">
      <c r="A78" s="31" t="s">
        <v>185</v>
      </c>
      <c r="B78" s="42" t="s">
        <v>420</v>
      </c>
      <c r="C78" s="42" t="s">
        <v>296</v>
      </c>
      <c r="D78" s="42" t="s">
        <v>267</v>
      </c>
      <c r="E78" s="42" t="s">
        <v>186</v>
      </c>
      <c r="F78" s="42"/>
      <c r="G78" s="11"/>
      <c r="H78" s="11"/>
      <c r="I78" s="11"/>
      <c r="J78" s="11"/>
      <c r="K78" s="11"/>
      <c r="L78" s="11"/>
      <c r="M78" s="11"/>
      <c r="N78" s="7" t="e">
        <f t="shared" si="46"/>
        <v>#DIV/0!</v>
      </c>
    </row>
    <row r="79" spans="1:14" ht="31.5">
      <c r="A79" s="26" t="s">
        <v>324</v>
      </c>
      <c r="B79" s="42" t="s">
        <v>422</v>
      </c>
      <c r="C79" s="42" t="s">
        <v>296</v>
      </c>
      <c r="D79" s="42" t="s">
        <v>267</v>
      </c>
      <c r="E79" s="42" t="s">
        <v>325</v>
      </c>
      <c r="F79" s="42"/>
      <c r="G79" s="11">
        <f>G80</f>
        <v>20</v>
      </c>
      <c r="H79" s="11">
        <f aca="true" t="shared" si="48" ref="H79:M79">H80</f>
        <v>20</v>
      </c>
      <c r="I79" s="11">
        <f t="shared" si="48"/>
        <v>20</v>
      </c>
      <c r="J79" s="11">
        <f t="shared" si="48"/>
        <v>20</v>
      </c>
      <c r="K79" s="11">
        <f t="shared" si="48"/>
        <v>20</v>
      </c>
      <c r="L79" s="11">
        <f t="shared" si="48"/>
        <v>10</v>
      </c>
      <c r="M79" s="11">
        <f t="shared" si="48"/>
        <v>0</v>
      </c>
      <c r="N79" s="7">
        <f t="shared" si="46"/>
        <v>0</v>
      </c>
    </row>
    <row r="80" spans="1:14" ht="72.75" customHeight="1">
      <c r="A80" s="26" t="s">
        <v>423</v>
      </c>
      <c r="B80" s="42" t="s">
        <v>422</v>
      </c>
      <c r="C80" s="42" t="s">
        <v>296</v>
      </c>
      <c r="D80" s="42" t="s">
        <v>267</v>
      </c>
      <c r="E80" s="42" t="s">
        <v>424</v>
      </c>
      <c r="F80" s="42"/>
      <c r="G80" s="11">
        <f>'Прил.№4 ведомств.'!G493</f>
        <v>20</v>
      </c>
      <c r="H80" s="11">
        <f>'Прил.№4 ведомств.'!I493</f>
        <v>20</v>
      </c>
      <c r="I80" s="11">
        <f>'Прил.№4 ведомств.'!J493</f>
        <v>20</v>
      </c>
      <c r="J80" s="11">
        <f>'Прил.№4 ведомств.'!K493</f>
        <v>20</v>
      </c>
      <c r="K80" s="11">
        <f>'Прил.№4 ведомств.'!L493</f>
        <v>20</v>
      </c>
      <c r="L80" s="11">
        <f>'Прил.№4 ведомств.'!M493</f>
        <v>10</v>
      </c>
      <c r="M80" s="11">
        <f>'Прил.№4 ведомств.'!N493</f>
        <v>0</v>
      </c>
      <c r="N80" s="7">
        <f t="shared" si="46"/>
        <v>0</v>
      </c>
    </row>
    <row r="81" spans="1:14" ht="47.25">
      <c r="A81" s="26" t="s">
        <v>427</v>
      </c>
      <c r="B81" s="21" t="s">
        <v>428</v>
      </c>
      <c r="C81" s="42" t="s">
        <v>296</v>
      </c>
      <c r="D81" s="42" t="s">
        <v>267</v>
      </c>
      <c r="E81" s="42"/>
      <c r="F81" s="42"/>
      <c r="G81" s="11">
        <f>G82</f>
        <v>10</v>
      </c>
      <c r="H81" s="11">
        <f aca="true" t="shared" si="49" ref="H81:M82">H82</f>
        <v>10</v>
      </c>
      <c r="I81" s="11">
        <f t="shared" si="49"/>
        <v>10</v>
      </c>
      <c r="J81" s="11">
        <f t="shared" si="49"/>
        <v>10</v>
      </c>
      <c r="K81" s="11">
        <f t="shared" si="49"/>
        <v>10</v>
      </c>
      <c r="L81" s="11">
        <f t="shared" si="49"/>
        <v>10</v>
      </c>
      <c r="M81" s="11">
        <f t="shared" si="49"/>
        <v>0</v>
      </c>
      <c r="N81" s="7">
        <f t="shared" si="46"/>
        <v>0</v>
      </c>
    </row>
    <row r="82" spans="1:14" ht="15.75">
      <c r="A82" s="26" t="s">
        <v>300</v>
      </c>
      <c r="B82" s="21" t="s">
        <v>428</v>
      </c>
      <c r="C82" s="42" t="s">
        <v>296</v>
      </c>
      <c r="D82" s="42" t="s">
        <v>267</v>
      </c>
      <c r="E82" s="42" t="s">
        <v>301</v>
      </c>
      <c r="F82" s="42"/>
      <c r="G82" s="11">
        <f>G83</f>
        <v>10</v>
      </c>
      <c r="H82" s="11">
        <f t="shared" si="49"/>
        <v>10</v>
      </c>
      <c r="I82" s="11">
        <f t="shared" si="49"/>
        <v>10</v>
      </c>
      <c r="J82" s="11">
        <f t="shared" si="49"/>
        <v>10</v>
      </c>
      <c r="K82" s="11">
        <f t="shared" si="49"/>
        <v>10</v>
      </c>
      <c r="L82" s="11">
        <f t="shared" si="49"/>
        <v>10</v>
      </c>
      <c r="M82" s="11">
        <f t="shared" si="49"/>
        <v>0</v>
      </c>
      <c r="N82" s="7">
        <f t="shared" si="46"/>
        <v>0</v>
      </c>
    </row>
    <row r="83" spans="1:14" ht="31.5">
      <c r="A83" s="26" t="s">
        <v>302</v>
      </c>
      <c r="B83" s="21" t="s">
        <v>428</v>
      </c>
      <c r="C83" s="42" t="s">
        <v>296</v>
      </c>
      <c r="D83" s="42" t="s">
        <v>267</v>
      </c>
      <c r="E83" s="42" t="s">
        <v>303</v>
      </c>
      <c r="F83" s="42"/>
      <c r="G83" s="11">
        <f>'Прил.№4 ведомств.'!G502</f>
        <v>10</v>
      </c>
      <c r="H83" s="11">
        <f>'Прил.№4 ведомств.'!I502</f>
        <v>10</v>
      </c>
      <c r="I83" s="11">
        <f>'Прил.№4 ведомств.'!J502</f>
        <v>10</v>
      </c>
      <c r="J83" s="11">
        <f>'Прил.№4 ведомств.'!K502</f>
        <v>10</v>
      </c>
      <c r="K83" s="11">
        <f>'Прил.№4 ведомств.'!L502</f>
        <v>10</v>
      </c>
      <c r="L83" s="11">
        <f>'Прил.№4 ведомств.'!M502</f>
        <v>10</v>
      </c>
      <c r="M83" s="11">
        <f>'Прил.№4 ведомств.'!N502</f>
        <v>0</v>
      </c>
      <c r="N83" s="7">
        <f t="shared" si="46"/>
        <v>0</v>
      </c>
    </row>
    <row r="84" spans="1:14" ht="47.25">
      <c r="A84" s="47" t="s">
        <v>313</v>
      </c>
      <c r="B84" s="21" t="s">
        <v>420</v>
      </c>
      <c r="C84" s="42" t="s">
        <v>296</v>
      </c>
      <c r="D84" s="42" t="s">
        <v>267</v>
      </c>
      <c r="E84" s="42"/>
      <c r="F84" s="10" t="s">
        <v>705</v>
      </c>
      <c r="G84" s="11">
        <f>G73</f>
        <v>30</v>
      </c>
      <c r="H84" s="11">
        <f aca="true" t="shared" si="50" ref="H84:L84">H73</f>
        <v>30</v>
      </c>
      <c r="I84" s="11">
        <f t="shared" si="50"/>
        <v>30</v>
      </c>
      <c r="J84" s="11">
        <f t="shared" si="50"/>
        <v>30</v>
      </c>
      <c r="K84" s="11">
        <f t="shared" si="50"/>
        <v>30</v>
      </c>
      <c r="L84" s="11">
        <f t="shared" si="50"/>
        <v>20</v>
      </c>
      <c r="M84" s="11">
        <f aca="true" t="shared" si="51" ref="M84">M73</f>
        <v>0</v>
      </c>
      <c r="N84" s="7">
        <f t="shared" si="46"/>
        <v>0</v>
      </c>
    </row>
    <row r="85" spans="1:14" ht="110.25" hidden="1">
      <c r="A85" s="26" t="s">
        <v>425</v>
      </c>
      <c r="B85" s="21" t="s">
        <v>426</v>
      </c>
      <c r="C85" s="42" t="s">
        <v>296</v>
      </c>
      <c r="D85" s="42" t="s">
        <v>267</v>
      </c>
      <c r="E85" s="42"/>
      <c r="F85" s="10"/>
      <c r="G85" s="11">
        <f>G86</f>
        <v>0</v>
      </c>
      <c r="H85" s="11">
        <f aca="true" t="shared" si="52" ref="H85:M86">H86</f>
        <v>0</v>
      </c>
      <c r="I85" s="11">
        <f t="shared" si="52"/>
        <v>0</v>
      </c>
      <c r="J85" s="11">
        <f t="shared" si="52"/>
        <v>0</v>
      </c>
      <c r="K85" s="11">
        <f t="shared" si="52"/>
        <v>0</v>
      </c>
      <c r="L85" s="11">
        <f t="shared" si="52"/>
        <v>0</v>
      </c>
      <c r="M85" s="11">
        <f t="shared" si="52"/>
        <v>0</v>
      </c>
      <c r="N85" s="4" t="e">
        <f t="shared" si="46"/>
        <v>#DIV/0!</v>
      </c>
    </row>
    <row r="86" spans="1:14" ht="15.75" hidden="1">
      <c r="A86" s="26" t="s">
        <v>187</v>
      </c>
      <c r="B86" s="21" t="s">
        <v>426</v>
      </c>
      <c r="C86" s="42" t="s">
        <v>296</v>
      </c>
      <c r="D86" s="42" t="s">
        <v>267</v>
      </c>
      <c r="E86" s="42" t="s">
        <v>197</v>
      </c>
      <c r="F86" s="10"/>
      <c r="G86" s="11">
        <f>G87</f>
        <v>0</v>
      </c>
      <c r="H86" s="11">
        <f t="shared" si="52"/>
        <v>0</v>
      </c>
      <c r="I86" s="11">
        <f t="shared" si="52"/>
        <v>0</v>
      </c>
      <c r="J86" s="11">
        <f t="shared" si="52"/>
        <v>0</v>
      </c>
      <c r="K86" s="11">
        <f t="shared" si="52"/>
        <v>0</v>
      </c>
      <c r="L86" s="11">
        <f t="shared" si="52"/>
        <v>0</v>
      </c>
      <c r="M86" s="11">
        <f t="shared" si="52"/>
        <v>0</v>
      </c>
      <c r="N86" s="4" t="e">
        <f t="shared" si="46"/>
        <v>#DIV/0!</v>
      </c>
    </row>
    <row r="87" spans="1:14" ht="47.25" hidden="1">
      <c r="A87" s="26" t="s">
        <v>236</v>
      </c>
      <c r="B87" s="21" t="s">
        <v>426</v>
      </c>
      <c r="C87" s="42" t="s">
        <v>296</v>
      </c>
      <c r="D87" s="42" t="s">
        <v>267</v>
      </c>
      <c r="E87" s="42" t="s">
        <v>212</v>
      </c>
      <c r="F87" s="10"/>
      <c r="G87" s="11"/>
      <c r="H87" s="11"/>
      <c r="I87" s="11"/>
      <c r="J87" s="11"/>
      <c r="K87" s="11"/>
      <c r="L87" s="11"/>
      <c r="M87" s="11"/>
      <c r="N87" s="4" t="e">
        <f t="shared" si="46"/>
        <v>#DIV/0!</v>
      </c>
    </row>
    <row r="88" spans="1:14" ht="47.25" hidden="1">
      <c r="A88" s="47" t="s">
        <v>313</v>
      </c>
      <c r="B88" s="21" t="s">
        <v>426</v>
      </c>
      <c r="C88" s="42" t="s">
        <v>296</v>
      </c>
      <c r="D88" s="42" t="s">
        <v>267</v>
      </c>
      <c r="E88" s="42"/>
      <c r="F88" s="10" t="s">
        <v>705</v>
      </c>
      <c r="G88" s="11">
        <f>G87</f>
        <v>0</v>
      </c>
      <c r="H88" s="11">
        <f aca="true" t="shared" si="53" ref="H88:L88">H87</f>
        <v>0</v>
      </c>
      <c r="I88" s="11">
        <f t="shared" si="53"/>
        <v>0</v>
      </c>
      <c r="J88" s="11">
        <f t="shared" si="53"/>
        <v>0</v>
      </c>
      <c r="K88" s="11">
        <f t="shared" si="53"/>
        <v>0</v>
      </c>
      <c r="L88" s="11">
        <f t="shared" si="53"/>
        <v>0</v>
      </c>
      <c r="M88" s="11">
        <f aca="true" t="shared" si="54" ref="M88">M87</f>
        <v>0</v>
      </c>
      <c r="N88" s="4" t="e">
        <f t="shared" si="46"/>
        <v>#DIV/0!</v>
      </c>
    </row>
    <row r="89" spans="1:14" ht="47.25" hidden="1">
      <c r="A89" s="26" t="s">
        <v>427</v>
      </c>
      <c r="B89" s="21" t="s">
        <v>428</v>
      </c>
      <c r="C89" s="42" t="s">
        <v>296</v>
      </c>
      <c r="D89" s="42" t="s">
        <v>267</v>
      </c>
      <c r="E89" s="42"/>
      <c r="F89" s="10"/>
      <c r="G89" s="11">
        <f>G90</f>
        <v>0</v>
      </c>
      <c r="H89" s="11">
        <f aca="true" t="shared" si="55" ref="H89:M90">H90</f>
        <v>0</v>
      </c>
      <c r="I89" s="11">
        <f t="shared" si="55"/>
        <v>0</v>
      </c>
      <c r="J89" s="11">
        <f t="shared" si="55"/>
        <v>0</v>
      </c>
      <c r="K89" s="11">
        <f t="shared" si="55"/>
        <v>0</v>
      </c>
      <c r="L89" s="11">
        <f t="shared" si="55"/>
        <v>0</v>
      </c>
      <c r="M89" s="11">
        <f t="shared" si="55"/>
        <v>0</v>
      </c>
      <c r="N89" s="4" t="e">
        <f t="shared" si="46"/>
        <v>#DIV/0!</v>
      </c>
    </row>
    <row r="90" spans="1:14" ht="15.75" hidden="1">
      <c r="A90" s="31" t="s">
        <v>300</v>
      </c>
      <c r="B90" s="21" t="s">
        <v>428</v>
      </c>
      <c r="C90" s="42" t="s">
        <v>296</v>
      </c>
      <c r="D90" s="42" t="s">
        <v>267</v>
      </c>
      <c r="E90" s="42" t="s">
        <v>301</v>
      </c>
      <c r="F90" s="10"/>
      <c r="G90" s="11">
        <f>G91</f>
        <v>0</v>
      </c>
      <c r="H90" s="11">
        <f t="shared" si="55"/>
        <v>0</v>
      </c>
      <c r="I90" s="11">
        <f t="shared" si="55"/>
        <v>0</v>
      </c>
      <c r="J90" s="11">
        <f t="shared" si="55"/>
        <v>0</v>
      </c>
      <c r="K90" s="11">
        <f t="shared" si="55"/>
        <v>0</v>
      </c>
      <c r="L90" s="11">
        <f t="shared" si="55"/>
        <v>0</v>
      </c>
      <c r="M90" s="11">
        <f t="shared" si="55"/>
        <v>0</v>
      </c>
      <c r="N90" s="4" t="e">
        <f t="shared" si="46"/>
        <v>#DIV/0!</v>
      </c>
    </row>
    <row r="91" spans="1:14" ht="31.5" hidden="1">
      <c r="A91" s="31" t="s">
        <v>302</v>
      </c>
      <c r="B91" s="21" t="s">
        <v>428</v>
      </c>
      <c r="C91" s="42" t="s">
        <v>296</v>
      </c>
      <c r="D91" s="42" t="s">
        <v>267</v>
      </c>
      <c r="E91" s="42" t="s">
        <v>303</v>
      </c>
      <c r="F91" s="10"/>
      <c r="G91" s="11"/>
      <c r="H91" s="11"/>
      <c r="I91" s="11"/>
      <c r="J91" s="11"/>
      <c r="K91" s="11"/>
      <c r="L91" s="11"/>
      <c r="M91" s="11"/>
      <c r="N91" s="4" t="e">
        <f t="shared" si="46"/>
        <v>#DIV/0!</v>
      </c>
    </row>
    <row r="92" spans="1:14" ht="47.25" hidden="1">
      <c r="A92" s="47" t="s">
        <v>313</v>
      </c>
      <c r="B92" s="21" t="s">
        <v>428</v>
      </c>
      <c r="C92" s="42" t="s">
        <v>296</v>
      </c>
      <c r="D92" s="42" t="s">
        <v>267</v>
      </c>
      <c r="E92" s="42"/>
      <c r="F92" s="10" t="s">
        <v>705</v>
      </c>
      <c r="G92" s="11">
        <f>G89</f>
        <v>0</v>
      </c>
      <c r="H92" s="11">
        <f aca="true" t="shared" si="56" ref="H92:L92">H89</f>
        <v>0</v>
      </c>
      <c r="I92" s="11">
        <f t="shared" si="56"/>
        <v>0</v>
      </c>
      <c r="J92" s="11">
        <f t="shared" si="56"/>
        <v>0</v>
      </c>
      <c r="K92" s="11">
        <f t="shared" si="56"/>
        <v>0</v>
      </c>
      <c r="L92" s="11">
        <f t="shared" si="56"/>
        <v>0</v>
      </c>
      <c r="M92" s="11">
        <f aca="true" t="shared" si="57" ref="M92">M89</f>
        <v>0</v>
      </c>
      <c r="N92" s="4" t="e">
        <f t="shared" si="46"/>
        <v>#DIV/0!</v>
      </c>
    </row>
    <row r="93" spans="1:14" ht="31.5" hidden="1">
      <c r="A93" s="31" t="s">
        <v>429</v>
      </c>
      <c r="B93" s="21" t="s">
        <v>430</v>
      </c>
      <c r="C93" s="42" t="s">
        <v>296</v>
      </c>
      <c r="D93" s="42" t="s">
        <v>267</v>
      </c>
      <c r="E93" s="42"/>
      <c r="F93" s="42"/>
      <c r="G93" s="11">
        <f>G94</f>
        <v>0</v>
      </c>
      <c r="H93" s="11">
        <f aca="true" t="shared" si="58" ref="H93:M94">H94</f>
        <v>0</v>
      </c>
      <c r="I93" s="11">
        <f t="shared" si="58"/>
        <v>0</v>
      </c>
      <c r="J93" s="11">
        <f t="shared" si="58"/>
        <v>0</v>
      </c>
      <c r="K93" s="11">
        <f t="shared" si="58"/>
        <v>0</v>
      </c>
      <c r="L93" s="11">
        <f t="shared" si="58"/>
        <v>0</v>
      </c>
      <c r="M93" s="11">
        <f t="shared" si="58"/>
        <v>0</v>
      </c>
      <c r="N93" s="4" t="e">
        <f t="shared" si="46"/>
        <v>#DIV/0!</v>
      </c>
    </row>
    <row r="94" spans="1:14" ht="31.5" hidden="1">
      <c r="A94" s="31" t="s">
        <v>183</v>
      </c>
      <c r="B94" s="21" t="s">
        <v>430</v>
      </c>
      <c r="C94" s="42" t="s">
        <v>296</v>
      </c>
      <c r="D94" s="42" t="s">
        <v>267</v>
      </c>
      <c r="E94" s="42" t="s">
        <v>184</v>
      </c>
      <c r="F94" s="42"/>
      <c r="G94" s="11">
        <f>G95</f>
        <v>0</v>
      </c>
      <c r="H94" s="11">
        <f t="shared" si="58"/>
        <v>0</v>
      </c>
      <c r="I94" s="11">
        <f t="shared" si="58"/>
        <v>0</v>
      </c>
      <c r="J94" s="11">
        <f t="shared" si="58"/>
        <v>0</v>
      </c>
      <c r="K94" s="11">
        <f t="shared" si="58"/>
        <v>0</v>
      </c>
      <c r="L94" s="11">
        <f t="shared" si="58"/>
        <v>0</v>
      </c>
      <c r="M94" s="11">
        <f t="shared" si="58"/>
        <v>0</v>
      </c>
      <c r="N94" s="4" t="e">
        <f t="shared" si="46"/>
        <v>#DIV/0!</v>
      </c>
    </row>
    <row r="95" spans="1:14" ht="31.5" hidden="1">
      <c r="A95" s="31" t="s">
        <v>185</v>
      </c>
      <c r="B95" s="21" t="s">
        <v>430</v>
      </c>
      <c r="C95" s="42" t="s">
        <v>296</v>
      </c>
      <c r="D95" s="42" t="s">
        <v>267</v>
      </c>
      <c r="E95" s="42" t="s">
        <v>186</v>
      </c>
      <c r="F95" s="42"/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4" t="e">
        <f t="shared" si="46"/>
        <v>#DIV/0!</v>
      </c>
    </row>
    <row r="96" spans="1:14" ht="15.75" hidden="1">
      <c r="A96" s="31" t="s">
        <v>187</v>
      </c>
      <c r="B96" s="21" t="s">
        <v>430</v>
      </c>
      <c r="C96" s="42" t="s">
        <v>296</v>
      </c>
      <c r="D96" s="42" t="s">
        <v>267</v>
      </c>
      <c r="E96" s="42" t="s">
        <v>197</v>
      </c>
      <c r="F96" s="42"/>
      <c r="G96" s="11"/>
      <c r="H96" s="11"/>
      <c r="I96" s="11"/>
      <c r="J96" s="11"/>
      <c r="K96" s="11"/>
      <c r="L96" s="11"/>
      <c r="M96" s="11"/>
      <c r="N96" s="4" t="e">
        <f t="shared" si="46"/>
        <v>#DIV/0!</v>
      </c>
    </row>
    <row r="97" spans="1:14" ht="47.25" hidden="1">
      <c r="A97" s="31" t="s">
        <v>236</v>
      </c>
      <c r="B97" s="21" t="s">
        <v>430</v>
      </c>
      <c r="C97" s="42" t="s">
        <v>296</v>
      </c>
      <c r="D97" s="42" t="s">
        <v>267</v>
      </c>
      <c r="E97" s="42" t="s">
        <v>212</v>
      </c>
      <c r="F97" s="42"/>
      <c r="G97" s="11"/>
      <c r="H97" s="11"/>
      <c r="I97" s="11"/>
      <c r="J97" s="11"/>
      <c r="K97" s="11"/>
      <c r="L97" s="11"/>
      <c r="M97" s="11"/>
      <c r="N97" s="4" t="e">
        <f t="shared" si="46"/>
        <v>#DIV/0!</v>
      </c>
    </row>
    <row r="98" spans="1:14" ht="47.25" hidden="1">
      <c r="A98" s="47" t="s">
        <v>313</v>
      </c>
      <c r="B98" s="21" t="s">
        <v>430</v>
      </c>
      <c r="C98" s="42" t="s">
        <v>296</v>
      </c>
      <c r="D98" s="42" t="s">
        <v>267</v>
      </c>
      <c r="E98" s="42"/>
      <c r="F98" s="10" t="s">
        <v>705</v>
      </c>
      <c r="G98" s="11">
        <f>G93</f>
        <v>0</v>
      </c>
      <c r="H98" s="11">
        <f aca="true" t="shared" si="59" ref="H98:L98">H93</f>
        <v>0</v>
      </c>
      <c r="I98" s="11">
        <f t="shared" si="59"/>
        <v>0</v>
      </c>
      <c r="J98" s="11">
        <f t="shared" si="59"/>
        <v>0</v>
      </c>
      <c r="K98" s="11">
        <f t="shared" si="59"/>
        <v>0</v>
      </c>
      <c r="L98" s="11">
        <f t="shared" si="59"/>
        <v>0</v>
      </c>
      <c r="M98" s="11">
        <f aca="true" t="shared" si="60" ref="M98">M93</f>
        <v>0</v>
      </c>
      <c r="N98" s="4" t="e">
        <f t="shared" si="46"/>
        <v>#DIV/0!</v>
      </c>
    </row>
    <row r="99" spans="1:14" ht="94.5">
      <c r="A99" s="43" t="s">
        <v>432</v>
      </c>
      <c r="B99" s="8" t="s">
        <v>433</v>
      </c>
      <c r="C99" s="8"/>
      <c r="D99" s="8"/>
      <c r="E99" s="8"/>
      <c r="F99" s="9"/>
      <c r="G99" s="68">
        <f>G100</f>
        <v>105</v>
      </c>
      <c r="H99" s="68">
        <f aca="true" t="shared" si="61" ref="H99:M103">H100</f>
        <v>105</v>
      </c>
      <c r="I99" s="68">
        <f t="shared" si="61"/>
        <v>0</v>
      </c>
      <c r="J99" s="68">
        <f t="shared" si="61"/>
        <v>0</v>
      </c>
      <c r="K99" s="68">
        <f t="shared" si="61"/>
        <v>0</v>
      </c>
      <c r="L99" s="68">
        <f t="shared" si="61"/>
        <v>200</v>
      </c>
      <c r="M99" s="68">
        <f t="shared" si="61"/>
        <v>28.7</v>
      </c>
      <c r="N99" s="4">
        <f t="shared" si="46"/>
        <v>14.35</v>
      </c>
    </row>
    <row r="100" spans="1:14" ht="15.75">
      <c r="A100" s="47" t="s">
        <v>295</v>
      </c>
      <c r="B100" s="42" t="s">
        <v>433</v>
      </c>
      <c r="C100" s="42" t="s">
        <v>296</v>
      </c>
      <c r="D100" s="42"/>
      <c r="E100" s="42"/>
      <c r="F100" s="10"/>
      <c r="G100" s="11">
        <f>G101</f>
        <v>105</v>
      </c>
      <c r="H100" s="11">
        <f t="shared" si="61"/>
        <v>105</v>
      </c>
      <c r="I100" s="11">
        <f t="shared" si="61"/>
        <v>0</v>
      </c>
      <c r="J100" s="11">
        <f t="shared" si="61"/>
        <v>0</v>
      </c>
      <c r="K100" s="11">
        <f t="shared" si="61"/>
        <v>0</v>
      </c>
      <c r="L100" s="11">
        <f t="shared" si="61"/>
        <v>200</v>
      </c>
      <c r="M100" s="11">
        <f t="shared" si="61"/>
        <v>28.7</v>
      </c>
      <c r="N100" s="7">
        <f t="shared" si="46"/>
        <v>14.35</v>
      </c>
    </row>
    <row r="101" spans="1:14" ht="24.75" customHeight="1">
      <c r="A101" s="47" t="s">
        <v>304</v>
      </c>
      <c r="B101" s="42" t="s">
        <v>433</v>
      </c>
      <c r="C101" s="42" t="s">
        <v>296</v>
      </c>
      <c r="D101" s="42" t="s">
        <v>267</v>
      </c>
      <c r="E101" s="42"/>
      <c r="F101" s="10"/>
      <c r="G101" s="11">
        <f>G102</f>
        <v>105</v>
      </c>
      <c r="H101" s="11">
        <f t="shared" si="61"/>
        <v>105</v>
      </c>
      <c r="I101" s="11">
        <f t="shared" si="61"/>
        <v>0</v>
      </c>
      <c r="J101" s="11">
        <f t="shared" si="61"/>
        <v>0</v>
      </c>
      <c r="K101" s="11">
        <f t="shared" si="61"/>
        <v>0</v>
      </c>
      <c r="L101" s="11">
        <f t="shared" si="61"/>
        <v>200</v>
      </c>
      <c r="M101" s="11">
        <f t="shared" si="61"/>
        <v>28.7</v>
      </c>
      <c r="N101" s="7">
        <f t="shared" si="46"/>
        <v>14.35</v>
      </c>
    </row>
    <row r="102" spans="1:14" ht="31.5">
      <c r="A102" s="31" t="s">
        <v>209</v>
      </c>
      <c r="B102" s="42" t="s">
        <v>434</v>
      </c>
      <c r="C102" s="42" t="s">
        <v>296</v>
      </c>
      <c r="D102" s="42" t="s">
        <v>267</v>
      </c>
      <c r="E102" s="42"/>
      <c r="F102" s="10"/>
      <c r="G102" s="11">
        <f>G103</f>
        <v>105</v>
      </c>
      <c r="H102" s="11">
        <f t="shared" si="61"/>
        <v>105</v>
      </c>
      <c r="I102" s="11">
        <f t="shared" si="61"/>
        <v>0</v>
      </c>
      <c r="J102" s="11">
        <f t="shared" si="61"/>
        <v>0</v>
      </c>
      <c r="K102" s="11">
        <f t="shared" si="61"/>
        <v>0</v>
      </c>
      <c r="L102" s="11">
        <f t="shared" si="61"/>
        <v>200</v>
      </c>
      <c r="M102" s="11">
        <f t="shared" si="61"/>
        <v>28.7</v>
      </c>
      <c r="N102" s="7">
        <f t="shared" si="46"/>
        <v>14.35</v>
      </c>
    </row>
    <row r="103" spans="1:14" ht="31.5">
      <c r="A103" s="31" t="s">
        <v>183</v>
      </c>
      <c r="B103" s="42" t="s">
        <v>434</v>
      </c>
      <c r="C103" s="42" t="s">
        <v>296</v>
      </c>
      <c r="D103" s="42" t="s">
        <v>267</v>
      </c>
      <c r="E103" s="42" t="s">
        <v>184</v>
      </c>
      <c r="F103" s="10"/>
      <c r="G103" s="11">
        <f>G104</f>
        <v>105</v>
      </c>
      <c r="H103" s="11">
        <f t="shared" si="61"/>
        <v>105</v>
      </c>
      <c r="I103" s="11">
        <f t="shared" si="61"/>
        <v>0</v>
      </c>
      <c r="J103" s="11">
        <f t="shared" si="61"/>
        <v>0</v>
      </c>
      <c r="K103" s="11">
        <f t="shared" si="61"/>
        <v>0</v>
      </c>
      <c r="L103" s="11">
        <f t="shared" si="61"/>
        <v>200</v>
      </c>
      <c r="M103" s="11">
        <f t="shared" si="61"/>
        <v>28.7</v>
      </c>
      <c r="N103" s="7">
        <f t="shared" si="46"/>
        <v>14.35</v>
      </c>
    </row>
    <row r="104" spans="1:14" ht="31.5">
      <c r="A104" s="31" t="s">
        <v>185</v>
      </c>
      <c r="B104" s="42" t="s">
        <v>434</v>
      </c>
      <c r="C104" s="42" t="s">
        <v>296</v>
      </c>
      <c r="D104" s="42" t="s">
        <v>267</v>
      </c>
      <c r="E104" s="42" t="s">
        <v>186</v>
      </c>
      <c r="F104" s="10"/>
      <c r="G104" s="11">
        <f>'Прил.№4 ведомств.'!G511</f>
        <v>105</v>
      </c>
      <c r="H104" s="11">
        <f>'Прил.№4 ведомств.'!I511</f>
        <v>105</v>
      </c>
      <c r="I104" s="11">
        <f>'Прил.№4 ведомств.'!J511</f>
        <v>0</v>
      </c>
      <c r="J104" s="11">
        <f>'Прил.№4 ведомств.'!K511</f>
        <v>0</v>
      </c>
      <c r="K104" s="11">
        <f>'Прил.№4 ведомств.'!L511</f>
        <v>0</v>
      </c>
      <c r="L104" s="11">
        <f>'Прил.№4 ведомств.'!M511</f>
        <v>200</v>
      </c>
      <c r="M104" s="11">
        <f>'Прил.№4 ведомств.'!N511</f>
        <v>28.7</v>
      </c>
      <c r="N104" s="7">
        <f t="shared" si="46"/>
        <v>14.35</v>
      </c>
    </row>
    <row r="105" spans="1:14" ht="47.25">
      <c r="A105" s="47" t="s">
        <v>313</v>
      </c>
      <c r="B105" s="42" t="s">
        <v>433</v>
      </c>
      <c r="C105" s="42" t="s">
        <v>296</v>
      </c>
      <c r="D105" s="42" t="s">
        <v>267</v>
      </c>
      <c r="E105" s="42"/>
      <c r="F105" s="10" t="s">
        <v>705</v>
      </c>
      <c r="G105" s="11">
        <f>G99</f>
        <v>105</v>
      </c>
      <c r="H105" s="11">
        <f aca="true" t="shared" si="62" ref="H105:L105">H99</f>
        <v>105</v>
      </c>
      <c r="I105" s="11">
        <f t="shared" si="62"/>
        <v>0</v>
      </c>
      <c r="J105" s="11">
        <f t="shared" si="62"/>
        <v>0</v>
      </c>
      <c r="K105" s="11">
        <f t="shared" si="62"/>
        <v>0</v>
      </c>
      <c r="L105" s="11">
        <f t="shared" si="62"/>
        <v>200</v>
      </c>
      <c r="M105" s="11">
        <f aca="true" t="shared" si="63" ref="M105">M99</f>
        <v>28.7</v>
      </c>
      <c r="N105" s="7">
        <f t="shared" si="46"/>
        <v>14.35</v>
      </c>
    </row>
    <row r="106" spans="1:14" ht="47.25">
      <c r="A106" s="64" t="s">
        <v>479</v>
      </c>
      <c r="B106" s="8" t="s">
        <v>459</v>
      </c>
      <c r="C106" s="8"/>
      <c r="D106" s="8"/>
      <c r="E106" s="8"/>
      <c r="F106" s="8"/>
      <c r="G106" s="68" t="e">
        <f aca="true" t="shared" si="64" ref="G106:L106">G107+G122+G170+G204+G228</f>
        <v>#REF!</v>
      </c>
      <c r="H106" s="68" t="e">
        <f t="shared" si="64"/>
        <v>#REF!</v>
      </c>
      <c r="I106" s="68" t="e">
        <f t="shared" si="64"/>
        <v>#REF!</v>
      </c>
      <c r="J106" s="68" t="e">
        <f t="shared" si="64"/>
        <v>#REF!</v>
      </c>
      <c r="K106" s="68" t="e">
        <f t="shared" si="64"/>
        <v>#REF!</v>
      </c>
      <c r="L106" s="68">
        <f t="shared" si="64"/>
        <v>88146.3</v>
      </c>
      <c r="M106" s="68">
        <f aca="true" t="shared" si="65" ref="M106">M107+M122+M170+M204+M228</f>
        <v>61532.5</v>
      </c>
      <c r="N106" s="4">
        <f t="shared" si="46"/>
        <v>69.80724091652174</v>
      </c>
    </row>
    <row r="107" spans="1:14" ht="31.5">
      <c r="A107" s="43" t="s">
        <v>460</v>
      </c>
      <c r="B107" s="8" t="s">
        <v>461</v>
      </c>
      <c r="C107" s="8"/>
      <c r="D107" s="8"/>
      <c r="E107" s="8"/>
      <c r="F107" s="8"/>
      <c r="G107" s="68">
        <f>G108</f>
        <v>70853.6</v>
      </c>
      <c r="H107" s="68">
        <f aca="true" t="shared" si="66" ref="H107:M107">H108</f>
        <v>71469.8</v>
      </c>
      <c r="I107" s="68">
        <f t="shared" si="66"/>
        <v>90165.7</v>
      </c>
      <c r="J107" s="68">
        <f t="shared" si="66"/>
        <v>93224</v>
      </c>
      <c r="K107" s="68">
        <f t="shared" si="66"/>
        <v>95100.6</v>
      </c>
      <c r="L107" s="68">
        <f t="shared" si="66"/>
        <v>67161</v>
      </c>
      <c r="M107" s="68">
        <f t="shared" si="66"/>
        <v>45814.9</v>
      </c>
      <c r="N107" s="4">
        <f t="shared" si="46"/>
        <v>68.2165244710472</v>
      </c>
    </row>
    <row r="108" spans="1:14" ht="15.75">
      <c r="A108" s="31" t="s">
        <v>315</v>
      </c>
      <c r="B108" s="42" t="s">
        <v>461</v>
      </c>
      <c r="C108" s="42" t="s">
        <v>316</v>
      </c>
      <c r="D108" s="42"/>
      <c r="E108" s="42"/>
      <c r="F108" s="42"/>
      <c r="G108" s="11">
        <f>G109+G113+G117</f>
        <v>70853.6</v>
      </c>
      <c r="H108" s="11">
        <f aca="true" t="shared" si="67" ref="H108:L108">H109+H113+H117</f>
        <v>71469.8</v>
      </c>
      <c r="I108" s="11">
        <f t="shared" si="67"/>
        <v>90165.7</v>
      </c>
      <c r="J108" s="11">
        <f t="shared" si="67"/>
        <v>93224</v>
      </c>
      <c r="K108" s="11">
        <f t="shared" si="67"/>
        <v>95100.6</v>
      </c>
      <c r="L108" s="11">
        <f t="shared" si="67"/>
        <v>67161</v>
      </c>
      <c r="M108" s="11">
        <f aca="true" t="shared" si="68" ref="M108">M109+M113+M117</f>
        <v>45814.9</v>
      </c>
      <c r="N108" s="7">
        <f t="shared" si="46"/>
        <v>68.2165244710472</v>
      </c>
    </row>
    <row r="109" spans="1:14" ht="15.75">
      <c r="A109" s="47" t="s">
        <v>457</v>
      </c>
      <c r="B109" s="42" t="s">
        <v>461</v>
      </c>
      <c r="C109" s="42" t="s">
        <v>316</v>
      </c>
      <c r="D109" s="42" t="s">
        <v>170</v>
      </c>
      <c r="E109" s="42"/>
      <c r="F109" s="42"/>
      <c r="G109" s="11">
        <f>G110</f>
        <v>15578.400000000001</v>
      </c>
      <c r="H109" s="11">
        <f aca="true" t="shared" si="69" ref="H109:M111">H110</f>
        <v>16300.2</v>
      </c>
      <c r="I109" s="11">
        <f t="shared" si="69"/>
        <v>35498.2</v>
      </c>
      <c r="J109" s="11">
        <f t="shared" si="69"/>
        <v>36442.5</v>
      </c>
      <c r="K109" s="11">
        <f t="shared" si="69"/>
        <v>37029.5</v>
      </c>
      <c r="L109" s="11">
        <f t="shared" si="69"/>
        <v>15316.6</v>
      </c>
      <c r="M109" s="11">
        <f t="shared" si="69"/>
        <v>10800</v>
      </c>
      <c r="N109" s="7">
        <f t="shared" si="46"/>
        <v>70.51173236880247</v>
      </c>
    </row>
    <row r="110" spans="1:14" ht="31.5">
      <c r="A110" s="31" t="s">
        <v>462</v>
      </c>
      <c r="B110" s="42" t="s">
        <v>463</v>
      </c>
      <c r="C110" s="42" t="s">
        <v>316</v>
      </c>
      <c r="D110" s="42" t="s">
        <v>170</v>
      </c>
      <c r="E110" s="42"/>
      <c r="F110" s="42"/>
      <c r="G110" s="11">
        <f>G111</f>
        <v>15578.400000000001</v>
      </c>
      <c r="H110" s="11">
        <f t="shared" si="69"/>
        <v>16300.2</v>
      </c>
      <c r="I110" s="11">
        <f t="shared" si="69"/>
        <v>35498.2</v>
      </c>
      <c r="J110" s="11">
        <f t="shared" si="69"/>
        <v>36442.5</v>
      </c>
      <c r="K110" s="11">
        <f t="shared" si="69"/>
        <v>37029.5</v>
      </c>
      <c r="L110" s="11">
        <f t="shared" si="69"/>
        <v>15316.6</v>
      </c>
      <c r="M110" s="11">
        <f t="shared" si="69"/>
        <v>10800</v>
      </c>
      <c r="N110" s="7">
        <f t="shared" si="46"/>
        <v>70.51173236880247</v>
      </c>
    </row>
    <row r="111" spans="1:14" ht="31.5">
      <c r="A111" s="31" t="s">
        <v>324</v>
      </c>
      <c r="B111" s="42" t="s">
        <v>463</v>
      </c>
      <c r="C111" s="42" t="s">
        <v>316</v>
      </c>
      <c r="D111" s="42" t="s">
        <v>170</v>
      </c>
      <c r="E111" s="42" t="s">
        <v>325</v>
      </c>
      <c r="F111" s="42"/>
      <c r="G111" s="11">
        <f>G112</f>
        <v>15578.400000000001</v>
      </c>
      <c r="H111" s="11">
        <f t="shared" si="69"/>
        <v>16300.2</v>
      </c>
      <c r="I111" s="11">
        <f t="shared" si="69"/>
        <v>35498.2</v>
      </c>
      <c r="J111" s="11">
        <f t="shared" si="69"/>
        <v>36442.5</v>
      </c>
      <c r="K111" s="11">
        <f t="shared" si="69"/>
        <v>37029.5</v>
      </c>
      <c r="L111" s="11">
        <f t="shared" si="69"/>
        <v>15316.6</v>
      </c>
      <c r="M111" s="11">
        <f t="shared" si="69"/>
        <v>10800</v>
      </c>
      <c r="N111" s="7">
        <f t="shared" si="46"/>
        <v>70.51173236880247</v>
      </c>
    </row>
    <row r="112" spans="1:14" ht="15.75">
      <c r="A112" s="31" t="s">
        <v>326</v>
      </c>
      <c r="B112" s="42" t="s">
        <v>463</v>
      </c>
      <c r="C112" s="42" t="s">
        <v>316</v>
      </c>
      <c r="D112" s="42" t="s">
        <v>170</v>
      </c>
      <c r="E112" s="42" t="s">
        <v>327</v>
      </c>
      <c r="F112" s="42"/>
      <c r="G112" s="7">
        <f>'Прил.№4 ведомств.'!G600</f>
        <v>15578.400000000001</v>
      </c>
      <c r="H112" s="7">
        <f>'Прил.№4 ведомств.'!I600</f>
        <v>16300.2</v>
      </c>
      <c r="I112" s="7">
        <f>'Прил.№4 ведомств.'!J600</f>
        <v>35498.2</v>
      </c>
      <c r="J112" s="7">
        <f>'Прил.№4 ведомств.'!K600</f>
        <v>36442.5</v>
      </c>
      <c r="K112" s="7">
        <f>'Прил.№4 ведомств.'!L600</f>
        <v>37029.5</v>
      </c>
      <c r="L112" s="7">
        <f>'Прил.№4 ведомств.'!M600</f>
        <v>15316.6</v>
      </c>
      <c r="M112" s="7">
        <f>'Прил.№4 ведомств.'!N600</f>
        <v>10800</v>
      </c>
      <c r="N112" s="7">
        <f t="shared" si="46"/>
        <v>70.51173236880247</v>
      </c>
    </row>
    <row r="113" spans="1:14" ht="15.75">
      <c r="A113" s="31" t="s">
        <v>478</v>
      </c>
      <c r="B113" s="42" t="s">
        <v>461</v>
      </c>
      <c r="C113" s="42" t="s">
        <v>316</v>
      </c>
      <c r="D113" s="42" t="s">
        <v>265</v>
      </c>
      <c r="E113" s="42"/>
      <c r="F113" s="42"/>
      <c r="G113" s="11">
        <f>G114</f>
        <v>34151.2</v>
      </c>
      <c r="H113" s="11">
        <f aca="true" t="shared" si="70" ref="H113:M115">H114</f>
        <v>33366.1</v>
      </c>
      <c r="I113" s="11">
        <f t="shared" si="70"/>
        <v>29080.8</v>
      </c>
      <c r="J113" s="11">
        <f t="shared" si="70"/>
        <v>30905.8</v>
      </c>
      <c r="K113" s="11">
        <f t="shared" si="70"/>
        <v>32021.2</v>
      </c>
      <c r="L113" s="11">
        <f t="shared" si="70"/>
        <v>30676.3</v>
      </c>
      <c r="M113" s="11">
        <f t="shared" si="70"/>
        <v>20114</v>
      </c>
      <c r="N113" s="7">
        <f t="shared" si="46"/>
        <v>65.56853336288927</v>
      </c>
    </row>
    <row r="114" spans="1:14" ht="30.75" customHeight="1">
      <c r="A114" s="31" t="s">
        <v>480</v>
      </c>
      <c r="B114" s="42" t="s">
        <v>481</v>
      </c>
      <c r="C114" s="42" t="s">
        <v>316</v>
      </c>
      <c r="D114" s="42" t="s">
        <v>265</v>
      </c>
      <c r="E114" s="42"/>
      <c r="F114" s="42"/>
      <c r="G114" s="11">
        <f>G115</f>
        <v>34151.2</v>
      </c>
      <c r="H114" s="11">
        <f t="shared" si="70"/>
        <v>33366.1</v>
      </c>
      <c r="I114" s="11">
        <f t="shared" si="70"/>
        <v>29080.8</v>
      </c>
      <c r="J114" s="11">
        <f t="shared" si="70"/>
        <v>30905.8</v>
      </c>
      <c r="K114" s="11">
        <f t="shared" si="70"/>
        <v>32021.2</v>
      </c>
      <c r="L114" s="11">
        <f t="shared" si="70"/>
        <v>30676.3</v>
      </c>
      <c r="M114" s="11">
        <f t="shared" si="70"/>
        <v>20114</v>
      </c>
      <c r="N114" s="7">
        <f t="shared" si="46"/>
        <v>65.56853336288927</v>
      </c>
    </row>
    <row r="115" spans="1:14" ht="37.5" customHeight="1">
      <c r="A115" s="31" t="s">
        <v>324</v>
      </c>
      <c r="B115" s="42" t="s">
        <v>481</v>
      </c>
      <c r="C115" s="42" t="s">
        <v>316</v>
      </c>
      <c r="D115" s="42" t="s">
        <v>265</v>
      </c>
      <c r="E115" s="42" t="s">
        <v>325</v>
      </c>
      <c r="F115" s="42"/>
      <c r="G115" s="11">
        <f>G116</f>
        <v>34151.2</v>
      </c>
      <c r="H115" s="11">
        <f t="shared" si="70"/>
        <v>33366.1</v>
      </c>
      <c r="I115" s="11">
        <f t="shared" si="70"/>
        <v>29080.8</v>
      </c>
      <c r="J115" s="11">
        <f t="shared" si="70"/>
        <v>30905.8</v>
      </c>
      <c r="K115" s="11">
        <f t="shared" si="70"/>
        <v>32021.2</v>
      </c>
      <c r="L115" s="11">
        <f t="shared" si="70"/>
        <v>30676.3</v>
      </c>
      <c r="M115" s="11">
        <f t="shared" si="70"/>
        <v>20114</v>
      </c>
      <c r="N115" s="7">
        <f t="shared" si="46"/>
        <v>65.56853336288927</v>
      </c>
    </row>
    <row r="116" spans="1:14" ht="15.75">
      <c r="A116" s="31" t="s">
        <v>326</v>
      </c>
      <c r="B116" s="42" t="s">
        <v>481</v>
      </c>
      <c r="C116" s="42" t="s">
        <v>316</v>
      </c>
      <c r="D116" s="42" t="s">
        <v>265</v>
      </c>
      <c r="E116" s="42" t="s">
        <v>327</v>
      </c>
      <c r="F116" s="42"/>
      <c r="G116" s="7">
        <f>'Прил.№4 ведомств.'!G645</f>
        <v>34151.2</v>
      </c>
      <c r="H116" s="7">
        <f>'Прил.№4 ведомств.'!I645</f>
        <v>33366.1</v>
      </c>
      <c r="I116" s="7">
        <f>'Прил.№4 ведомств.'!J645</f>
        <v>29080.8</v>
      </c>
      <c r="J116" s="7">
        <f>'Прил.№4 ведомств.'!K645</f>
        <v>30905.8</v>
      </c>
      <c r="K116" s="7">
        <f>'Прил.№4 ведомств.'!L645</f>
        <v>32021.2</v>
      </c>
      <c r="L116" s="7">
        <f>'Прил.№4 ведомств.'!M645</f>
        <v>30676.3</v>
      </c>
      <c r="M116" s="7">
        <f>'Прил.№4 ведомств.'!N645</f>
        <v>20114</v>
      </c>
      <c r="N116" s="7">
        <f t="shared" si="46"/>
        <v>65.56853336288927</v>
      </c>
    </row>
    <row r="117" spans="1:14" ht="15.75">
      <c r="A117" s="31" t="s">
        <v>317</v>
      </c>
      <c r="B117" s="42" t="s">
        <v>461</v>
      </c>
      <c r="C117" s="42" t="s">
        <v>316</v>
      </c>
      <c r="D117" s="42" t="s">
        <v>267</v>
      </c>
      <c r="E117" s="42"/>
      <c r="F117" s="42"/>
      <c r="G117" s="7">
        <f>G118</f>
        <v>21124</v>
      </c>
      <c r="H117" s="7">
        <f aca="true" t="shared" si="71" ref="H117:M119">H118</f>
        <v>21803.5</v>
      </c>
      <c r="I117" s="7">
        <f t="shared" si="71"/>
        <v>25586.7</v>
      </c>
      <c r="J117" s="7">
        <f t="shared" si="71"/>
        <v>25875.7</v>
      </c>
      <c r="K117" s="7">
        <f t="shared" si="71"/>
        <v>26049.9</v>
      </c>
      <c r="L117" s="7">
        <f t="shared" si="71"/>
        <v>21168.1</v>
      </c>
      <c r="M117" s="7">
        <f t="shared" si="71"/>
        <v>14900.9</v>
      </c>
      <c r="N117" s="7">
        <f t="shared" si="46"/>
        <v>70.3931859732333</v>
      </c>
    </row>
    <row r="118" spans="1:14" ht="47.25">
      <c r="A118" s="31" t="s">
        <v>322</v>
      </c>
      <c r="B118" s="42" t="s">
        <v>482</v>
      </c>
      <c r="C118" s="42" t="s">
        <v>316</v>
      </c>
      <c r="D118" s="42" t="s">
        <v>267</v>
      </c>
      <c r="E118" s="8"/>
      <c r="F118" s="8"/>
      <c r="G118" s="11">
        <f>G119</f>
        <v>21124</v>
      </c>
      <c r="H118" s="11">
        <f t="shared" si="71"/>
        <v>21803.5</v>
      </c>
      <c r="I118" s="11">
        <f t="shared" si="71"/>
        <v>25586.7</v>
      </c>
      <c r="J118" s="11">
        <f t="shared" si="71"/>
        <v>25875.7</v>
      </c>
      <c r="K118" s="11">
        <f t="shared" si="71"/>
        <v>26049.9</v>
      </c>
      <c r="L118" s="11">
        <f t="shared" si="71"/>
        <v>21168.1</v>
      </c>
      <c r="M118" s="11">
        <f t="shared" si="71"/>
        <v>14900.9</v>
      </c>
      <c r="N118" s="7">
        <f t="shared" si="46"/>
        <v>70.3931859732333</v>
      </c>
    </row>
    <row r="119" spans="1:14" ht="31.5">
      <c r="A119" s="31" t="s">
        <v>324</v>
      </c>
      <c r="B119" s="42" t="s">
        <v>482</v>
      </c>
      <c r="C119" s="42" t="s">
        <v>316</v>
      </c>
      <c r="D119" s="42" t="s">
        <v>267</v>
      </c>
      <c r="E119" s="42" t="s">
        <v>325</v>
      </c>
      <c r="F119" s="42"/>
      <c r="G119" s="11">
        <f>G120</f>
        <v>21124</v>
      </c>
      <c r="H119" s="11">
        <f t="shared" si="71"/>
        <v>21803.5</v>
      </c>
      <c r="I119" s="11">
        <f t="shared" si="71"/>
        <v>25586.7</v>
      </c>
      <c r="J119" s="11">
        <f t="shared" si="71"/>
        <v>25875.7</v>
      </c>
      <c r="K119" s="11">
        <f t="shared" si="71"/>
        <v>26049.9</v>
      </c>
      <c r="L119" s="11">
        <f t="shared" si="71"/>
        <v>21168.1</v>
      </c>
      <c r="M119" s="11">
        <f t="shared" si="71"/>
        <v>14900.9</v>
      </c>
      <c r="N119" s="7">
        <f t="shared" si="46"/>
        <v>70.3931859732333</v>
      </c>
    </row>
    <row r="120" spans="1:14" ht="15.75">
      <c r="A120" s="31" t="s">
        <v>326</v>
      </c>
      <c r="B120" s="42" t="s">
        <v>482</v>
      </c>
      <c r="C120" s="42" t="s">
        <v>316</v>
      </c>
      <c r="D120" s="42" t="s">
        <v>267</v>
      </c>
      <c r="E120" s="42" t="s">
        <v>327</v>
      </c>
      <c r="F120" s="42"/>
      <c r="G120" s="7">
        <f>'Прил.№4 ведомств.'!G714</f>
        <v>21124</v>
      </c>
      <c r="H120" s="7">
        <f>'Прил.№4 ведомств.'!I714</f>
        <v>21803.5</v>
      </c>
      <c r="I120" s="7">
        <f>'Прил.№4 ведомств.'!J714</f>
        <v>25586.7</v>
      </c>
      <c r="J120" s="7">
        <f>'Прил.№4 ведомств.'!K714</f>
        <v>25875.7</v>
      </c>
      <c r="K120" s="7">
        <f>'Прил.№4 ведомств.'!L714</f>
        <v>26049.9</v>
      </c>
      <c r="L120" s="7">
        <f>'Прил.№4 ведомств.'!M714</f>
        <v>21168.1</v>
      </c>
      <c r="M120" s="7">
        <f>'Прил.№4 ведомств.'!N714</f>
        <v>14900.9</v>
      </c>
      <c r="N120" s="7">
        <f t="shared" si="46"/>
        <v>70.3931859732333</v>
      </c>
    </row>
    <row r="121" spans="1:14" ht="31.5">
      <c r="A121" s="31" t="s">
        <v>456</v>
      </c>
      <c r="B121" s="42" t="s">
        <v>461</v>
      </c>
      <c r="C121" s="42" t="s">
        <v>316</v>
      </c>
      <c r="D121" s="42" t="s">
        <v>267</v>
      </c>
      <c r="E121" s="42"/>
      <c r="F121" s="42" t="s">
        <v>714</v>
      </c>
      <c r="G121" s="7">
        <f>G107</f>
        <v>70853.6</v>
      </c>
      <c r="H121" s="7">
        <f aca="true" t="shared" si="72" ref="H121:L121">H107</f>
        <v>71469.8</v>
      </c>
      <c r="I121" s="7">
        <f t="shared" si="72"/>
        <v>90165.7</v>
      </c>
      <c r="J121" s="7">
        <f t="shared" si="72"/>
        <v>93224</v>
      </c>
      <c r="K121" s="7">
        <f t="shared" si="72"/>
        <v>95100.6</v>
      </c>
      <c r="L121" s="7">
        <f t="shared" si="72"/>
        <v>67161</v>
      </c>
      <c r="M121" s="7">
        <f aca="true" t="shared" si="73" ref="M121">M107</f>
        <v>45814.9</v>
      </c>
      <c r="N121" s="7">
        <f t="shared" si="46"/>
        <v>68.2165244710472</v>
      </c>
    </row>
    <row r="122" spans="1:14" ht="31.5">
      <c r="A122" s="43" t="s">
        <v>464</v>
      </c>
      <c r="B122" s="8" t="s">
        <v>465</v>
      </c>
      <c r="C122" s="8"/>
      <c r="D122" s="8"/>
      <c r="E122" s="8"/>
      <c r="F122" s="8"/>
      <c r="G122" s="68">
        <f>G123</f>
        <v>7875</v>
      </c>
      <c r="H122" s="68">
        <f aca="true" t="shared" si="74" ref="H122:M122">H123</f>
        <v>7875</v>
      </c>
      <c r="I122" s="68">
        <f t="shared" si="74"/>
        <v>25698.3</v>
      </c>
      <c r="J122" s="68">
        <f t="shared" si="74"/>
        <v>20018.3</v>
      </c>
      <c r="K122" s="68">
        <f t="shared" si="74"/>
        <v>13968.3</v>
      </c>
      <c r="L122" s="68">
        <f t="shared" si="74"/>
        <v>9818.300000000001</v>
      </c>
      <c r="M122" s="68">
        <f t="shared" si="74"/>
        <v>6740</v>
      </c>
      <c r="N122" s="4">
        <f t="shared" si="46"/>
        <v>68.64732183779269</v>
      </c>
    </row>
    <row r="123" spans="1:14" ht="15.75">
      <c r="A123" s="31" t="s">
        <v>315</v>
      </c>
      <c r="B123" s="42" t="s">
        <v>465</v>
      </c>
      <c r="C123" s="42" t="s">
        <v>316</v>
      </c>
      <c r="D123" s="42"/>
      <c r="E123" s="42"/>
      <c r="F123" s="42"/>
      <c r="G123" s="11">
        <f>G124</f>
        <v>7875</v>
      </c>
      <c r="H123" s="11">
        <f aca="true" t="shared" si="75" ref="H123:M123">H124</f>
        <v>7875</v>
      </c>
      <c r="I123" s="11">
        <f t="shared" si="75"/>
        <v>25698.3</v>
      </c>
      <c r="J123" s="11">
        <f t="shared" si="75"/>
        <v>20018.3</v>
      </c>
      <c r="K123" s="11">
        <f t="shared" si="75"/>
        <v>13968.3</v>
      </c>
      <c r="L123" s="11">
        <f t="shared" si="75"/>
        <v>9818.300000000001</v>
      </c>
      <c r="M123" s="11">
        <f t="shared" si="75"/>
        <v>6740</v>
      </c>
      <c r="N123" s="7">
        <f t="shared" si="46"/>
        <v>68.64732183779269</v>
      </c>
    </row>
    <row r="124" spans="1:14" ht="15.75">
      <c r="A124" s="47" t="s">
        <v>457</v>
      </c>
      <c r="B124" s="42" t="s">
        <v>465</v>
      </c>
      <c r="C124" s="42" t="s">
        <v>316</v>
      </c>
      <c r="D124" s="42" t="s">
        <v>170</v>
      </c>
      <c r="E124" s="42"/>
      <c r="F124" s="42"/>
      <c r="G124" s="11">
        <f>G135+G133+G129+G138+G141+G144</f>
        <v>7875</v>
      </c>
      <c r="H124" s="11">
        <f aca="true" t="shared" si="76" ref="H124:L124">H135+H133+H129+H138+H141+H144</f>
        <v>7875</v>
      </c>
      <c r="I124" s="11">
        <f t="shared" si="76"/>
        <v>25698.3</v>
      </c>
      <c r="J124" s="11">
        <f t="shared" si="76"/>
        <v>20018.3</v>
      </c>
      <c r="K124" s="11">
        <f t="shared" si="76"/>
        <v>13968.3</v>
      </c>
      <c r="L124" s="11">
        <f t="shared" si="76"/>
        <v>9818.300000000001</v>
      </c>
      <c r="M124" s="11">
        <f aca="true" t="shared" si="77" ref="M124">M135+M133+M129+M138+M141+M144</f>
        <v>6740</v>
      </c>
      <c r="N124" s="7">
        <f t="shared" si="46"/>
        <v>68.64732183779269</v>
      </c>
    </row>
    <row r="125" spans="1:14" ht="57.75" customHeight="1" hidden="1">
      <c r="A125" s="31" t="s">
        <v>658</v>
      </c>
      <c r="B125" s="42" t="s">
        <v>659</v>
      </c>
      <c r="C125" s="42" t="s">
        <v>316</v>
      </c>
      <c r="D125" s="42" t="s">
        <v>170</v>
      </c>
      <c r="E125" s="42"/>
      <c r="F125" s="42"/>
      <c r="G125" s="11">
        <f>G126</f>
        <v>0</v>
      </c>
      <c r="H125" s="11">
        <f aca="true" t="shared" si="78" ref="H125:M126">H126</f>
        <v>0</v>
      </c>
      <c r="I125" s="11">
        <f t="shared" si="78"/>
        <v>0</v>
      </c>
      <c r="J125" s="11">
        <f t="shared" si="78"/>
        <v>0</v>
      </c>
      <c r="K125" s="11">
        <f t="shared" si="78"/>
        <v>0</v>
      </c>
      <c r="L125" s="11">
        <f t="shared" si="78"/>
        <v>0</v>
      </c>
      <c r="M125" s="11">
        <f t="shared" si="78"/>
        <v>0</v>
      </c>
      <c r="N125" s="7" t="e">
        <f t="shared" si="46"/>
        <v>#DIV/0!</v>
      </c>
    </row>
    <row r="126" spans="1:14" ht="31.5" hidden="1">
      <c r="A126" s="31" t="s">
        <v>324</v>
      </c>
      <c r="B126" s="42" t="s">
        <v>659</v>
      </c>
      <c r="C126" s="42" t="s">
        <v>316</v>
      </c>
      <c r="D126" s="42" t="s">
        <v>170</v>
      </c>
      <c r="E126" s="42" t="s">
        <v>325</v>
      </c>
      <c r="F126" s="42"/>
      <c r="G126" s="11">
        <f>G127</f>
        <v>0</v>
      </c>
      <c r="H126" s="11">
        <f t="shared" si="78"/>
        <v>0</v>
      </c>
      <c r="I126" s="11">
        <f t="shared" si="78"/>
        <v>0</v>
      </c>
      <c r="J126" s="11">
        <f t="shared" si="78"/>
        <v>0</v>
      </c>
      <c r="K126" s="11">
        <f t="shared" si="78"/>
        <v>0</v>
      </c>
      <c r="L126" s="11">
        <f t="shared" si="78"/>
        <v>0</v>
      </c>
      <c r="M126" s="11">
        <f t="shared" si="78"/>
        <v>0</v>
      </c>
      <c r="N126" s="7" t="e">
        <f t="shared" si="46"/>
        <v>#DIV/0!</v>
      </c>
    </row>
    <row r="127" spans="1:14" ht="15.75" hidden="1">
      <c r="A127" s="31" t="s">
        <v>326</v>
      </c>
      <c r="B127" s="42" t="s">
        <v>659</v>
      </c>
      <c r="C127" s="42" t="s">
        <v>316</v>
      </c>
      <c r="D127" s="42" t="s">
        <v>170</v>
      </c>
      <c r="E127" s="42" t="s">
        <v>327</v>
      </c>
      <c r="F127" s="42"/>
      <c r="G127" s="11"/>
      <c r="H127" s="11"/>
      <c r="I127" s="11"/>
      <c r="J127" s="11"/>
      <c r="K127" s="11"/>
      <c r="L127" s="11"/>
      <c r="M127" s="11"/>
      <c r="N127" s="7" t="e">
        <f t="shared" si="46"/>
        <v>#DIV/0!</v>
      </c>
    </row>
    <row r="128" spans="1:14" ht="31.5" hidden="1">
      <c r="A128" s="31" t="s">
        <v>456</v>
      </c>
      <c r="B128" s="42" t="s">
        <v>659</v>
      </c>
      <c r="C128" s="42" t="s">
        <v>316</v>
      </c>
      <c r="D128" s="42" t="s">
        <v>170</v>
      </c>
      <c r="E128" s="42"/>
      <c r="F128" s="42" t="s">
        <v>714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7" t="e">
        <f t="shared" si="46"/>
        <v>#DIV/0!</v>
      </c>
    </row>
    <row r="129" spans="1:14" ht="31.5">
      <c r="A129" s="31" t="s">
        <v>330</v>
      </c>
      <c r="B129" s="42" t="s">
        <v>466</v>
      </c>
      <c r="C129" s="42" t="s">
        <v>316</v>
      </c>
      <c r="D129" s="42" t="s">
        <v>170</v>
      </c>
      <c r="E129" s="42"/>
      <c r="F129" s="42"/>
      <c r="G129" s="11">
        <f>G130</f>
        <v>0</v>
      </c>
      <c r="H129" s="11">
        <f aca="true" t="shared" si="79" ref="H129:M130">H130</f>
        <v>0</v>
      </c>
      <c r="I129" s="11">
        <f t="shared" si="79"/>
        <v>15330</v>
      </c>
      <c r="J129" s="11">
        <f t="shared" si="79"/>
        <v>10100</v>
      </c>
      <c r="K129" s="11">
        <f t="shared" si="79"/>
        <v>3600</v>
      </c>
      <c r="L129" s="11">
        <f t="shared" si="79"/>
        <v>200</v>
      </c>
      <c r="M129" s="11">
        <f t="shared" si="79"/>
        <v>0</v>
      </c>
      <c r="N129" s="7">
        <f t="shared" si="46"/>
        <v>0</v>
      </c>
    </row>
    <row r="130" spans="1:14" ht="31.5">
      <c r="A130" s="31" t="s">
        <v>324</v>
      </c>
      <c r="B130" s="42" t="s">
        <v>466</v>
      </c>
      <c r="C130" s="42" t="s">
        <v>316</v>
      </c>
      <c r="D130" s="42" t="s">
        <v>170</v>
      </c>
      <c r="E130" s="42" t="s">
        <v>325</v>
      </c>
      <c r="F130" s="42"/>
      <c r="G130" s="11">
        <f>G131</f>
        <v>0</v>
      </c>
      <c r="H130" s="11">
        <f t="shared" si="79"/>
        <v>0</v>
      </c>
      <c r="I130" s="11">
        <f t="shared" si="79"/>
        <v>15330</v>
      </c>
      <c r="J130" s="11">
        <f t="shared" si="79"/>
        <v>10100</v>
      </c>
      <c r="K130" s="11">
        <f t="shared" si="79"/>
        <v>3600</v>
      </c>
      <c r="L130" s="11">
        <f t="shared" si="79"/>
        <v>200</v>
      </c>
      <c r="M130" s="11">
        <f t="shared" si="79"/>
        <v>0</v>
      </c>
      <c r="N130" s="7">
        <f t="shared" si="46"/>
        <v>0</v>
      </c>
    </row>
    <row r="131" spans="1:14" ht="15.75">
      <c r="A131" s="31" t="s">
        <v>326</v>
      </c>
      <c r="B131" s="42" t="s">
        <v>466</v>
      </c>
      <c r="C131" s="42" t="s">
        <v>316</v>
      </c>
      <c r="D131" s="42" t="s">
        <v>170</v>
      </c>
      <c r="E131" s="42" t="s">
        <v>327</v>
      </c>
      <c r="F131" s="42"/>
      <c r="G131" s="11">
        <f>'Прил.№4 ведомств.'!G604</f>
        <v>0</v>
      </c>
      <c r="H131" s="11">
        <f>'Прил.№4 ведомств.'!I604</f>
        <v>0</v>
      </c>
      <c r="I131" s="11">
        <f>'Прил.№4 ведомств.'!J604</f>
        <v>15330</v>
      </c>
      <c r="J131" s="11">
        <f>'Прил.№4 ведомств.'!K604</f>
        <v>10100</v>
      </c>
      <c r="K131" s="11">
        <f>'Прил.№4 ведомств.'!L604</f>
        <v>3600</v>
      </c>
      <c r="L131" s="11">
        <f>'Прил.№4 ведомств.'!M604</f>
        <v>200</v>
      </c>
      <c r="M131" s="11">
        <f>'Прил.№4 ведомств.'!N604</f>
        <v>0</v>
      </c>
      <c r="N131" s="7">
        <f t="shared" si="46"/>
        <v>0</v>
      </c>
    </row>
    <row r="132" spans="1:14" ht="31.5" hidden="1">
      <c r="A132" s="31" t="s">
        <v>332</v>
      </c>
      <c r="B132" s="42" t="s">
        <v>467</v>
      </c>
      <c r="C132" s="42" t="s">
        <v>316</v>
      </c>
      <c r="D132" s="42" t="s">
        <v>170</v>
      </c>
      <c r="E132" s="42"/>
      <c r="F132" s="42"/>
      <c r="G132" s="11">
        <f>G133</f>
        <v>1145</v>
      </c>
      <c r="H132" s="11">
        <f aca="true" t="shared" si="80" ref="H132:M133">H133</f>
        <v>1145</v>
      </c>
      <c r="I132" s="11">
        <f t="shared" si="80"/>
        <v>0</v>
      </c>
      <c r="J132" s="11">
        <f t="shared" si="80"/>
        <v>0</v>
      </c>
      <c r="K132" s="11">
        <f t="shared" si="80"/>
        <v>0</v>
      </c>
      <c r="L132" s="11">
        <f t="shared" si="80"/>
        <v>0</v>
      </c>
      <c r="M132" s="11">
        <f t="shared" si="80"/>
        <v>0</v>
      </c>
      <c r="N132" s="7" t="e">
        <f t="shared" si="46"/>
        <v>#DIV/0!</v>
      </c>
    </row>
    <row r="133" spans="1:14" ht="31.5" hidden="1">
      <c r="A133" s="31" t="s">
        <v>324</v>
      </c>
      <c r="B133" s="42" t="s">
        <v>467</v>
      </c>
      <c r="C133" s="42" t="s">
        <v>316</v>
      </c>
      <c r="D133" s="42" t="s">
        <v>170</v>
      </c>
      <c r="E133" s="42" t="s">
        <v>325</v>
      </c>
      <c r="F133" s="42"/>
      <c r="G133" s="11">
        <f>G134</f>
        <v>1145</v>
      </c>
      <c r="H133" s="11">
        <f t="shared" si="80"/>
        <v>1145</v>
      </c>
      <c r="I133" s="11">
        <f t="shared" si="80"/>
        <v>0</v>
      </c>
      <c r="J133" s="11">
        <f t="shared" si="80"/>
        <v>0</v>
      </c>
      <c r="K133" s="11">
        <f t="shared" si="80"/>
        <v>0</v>
      </c>
      <c r="L133" s="11">
        <f t="shared" si="80"/>
        <v>0</v>
      </c>
      <c r="M133" s="11">
        <f t="shared" si="80"/>
        <v>0</v>
      </c>
      <c r="N133" s="7" t="e">
        <f t="shared" si="46"/>
        <v>#DIV/0!</v>
      </c>
    </row>
    <row r="134" spans="1:14" ht="15.75" hidden="1">
      <c r="A134" s="31" t="s">
        <v>326</v>
      </c>
      <c r="B134" s="42" t="s">
        <v>467</v>
      </c>
      <c r="C134" s="42" t="s">
        <v>316</v>
      </c>
      <c r="D134" s="42" t="s">
        <v>170</v>
      </c>
      <c r="E134" s="42" t="s">
        <v>327</v>
      </c>
      <c r="F134" s="42"/>
      <c r="G134" s="11">
        <f>'Прил.№4 ведомств.'!G607</f>
        <v>1145</v>
      </c>
      <c r="H134" s="11">
        <f>'Прил.№4 ведомств.'!I607</f>
        <v>1145</v>
      </c>
      <c r="I134" s="11">
        <f>'Прил.№4 ведомств.'!J607</f>
        <v>0</v>
      </c>
      <c r="J134" s="11">
        <f>'Прил.№4 ведомств.'!K607</f>
        <v>0</v>
      </c>
      <c r="K134" s="11">
        <f>'Прил.№4 ведомств.'!L607</f>
        <v>0</v>
      </c>
      <c r="L134" s="11">
        <f>'Прил.№4 ведомств.'!M607</f>
        <v>0</v>
      </c>
      <c r="M134" s="11">
        <f>'Прил.№4 ведомств.'!N607</f>
        <v>0</v>
      </c>
      <c r="N134" s="7" t="e">
        <f t="shared" si="46"/>
        <v>#DIV/0!</v>
      </c>
    </row>
    <row r="135" spans="1:14" ht="31.5">
      <c r="A135" s="31" t="s">
        <v>468</v>
      </c>
      <c r="B135" s="42" t="s">
        <v>469</v>
      </c>
      <c r="C135" s="42" t="s">
        <v>316</v>
      </c>
      <c r="D135" s="42" t="s">
        <v>170</v>
      </c>
      <c r="E135" s="42"/>
      <c r="F135" s="42"/>
      <c r="G135" s="11">
        <f>G136</f>
        <v>6730</v>
      </c>
      <c r="H135" s="11">
        <f aca="true" t="shared" si="81" ref="H135:M136">H136</f>
        <v>6730</v>
      </c>
      <c r="I135" s="11">
        <f t="shared" si="81"/>
        <v>5168.8</v>
      </c>
      <c r="J135" s="11">
        <f t="shared" si="81"/>
        <v>5168.8</v>
      </c>
      <c r="K135" s="11">
        <f t="shared" si="81"/>
        <v>5168.8</v>
      </c>
      <c r="L135" s="11">
        <f t="shared" si="81"/>
        <v>5168.8</v>
      </c>
      <c r="M135" s="11">
        <f t="shared" si="81"/>
        <v>2850</v>
      </c>
      <c r="N135" s="7">
        <f t="shared" si="46"/>
        <v>55.13852344838261</v>
      </c>
    </row>
    <row r="136" spans="1:14" ht="65.25" customHeight="1">
      <c r="A136" s="31" t="s">
        <v>324</v>
      </c>
      <c r="B136" s="42" t="s">
        <v>469</v>
      </c>
      <c r="C136" s="42" t="s">
        <v>316</v>
      </c>
      <c r="D136" s="42" t="s">
        <v>170</v>
      </c>
      <c r="E136" s="42" t="s">
        <v>325</v>
      </c>
      <c r="F136" s="42"/>
      <c r="G136" s="11">
        <f>G137</f>
        <v>6730</v>
      </c>
      <c r="H136" s="11">
        <f t="shared" si="81"/>
        <v>6730</v>
      </c>
      <c r="I136" s="11">
        <f t="shared" si="81"/>
        <v>5168.8</v>
      </c>
      <c r="J136" s="11">
        <f t="shared" si="81"/>
        <v>5168.8</v>
      </c>
      <c r="K136" s="11">
        <f t="shared" si="81"/>
        <v>5168.8</v>
      </c>
      <c r="L136" s="11">
        <f t="shared" si="81"/>
        <v>5168.8</v>
      </c>
      <c r="M136" s="11">
        <f t="shared" si="81"/>
        <v>2850</v>
      </c>
      <c r="N136" s="7">
        <f t="shared" si="46"/>
        <v>55.13852344838261</v>
      </c>
    </row>
    <row r="137" spans="1:14" ht="15.75">
      <c r="A137" s="31" t="s">
        <v>326</v>
      </c>
      <c r="B137" s="42" t="s">
        <v>469</v>
      </c>
      <c r="C137" s="42" t="s">
        <v>316</v>
      </c>
      <c r="D137" s="42" t="s">
        <v>170</v>
      </c>
      <c r="E137" s="42" t="s">
        <v>327</v>
      </c>
      <c r="F137" s="42"/>
      <c r="G137" s="7">
        <f>'Прил.№4 ведомств.'!G610</f>
        <v>6730</v>
      </c>
      <c r="H137" s="7">
        <f>'Прил.№4 ведомств.'!I610</f>
        <v>6730</v>
      </c>
      <c r="I137" s="7">
        <f>'Прил.№4 ведомств.'!J610</f>
        <v>5168.8</v>
      </c>
      <c r="J137" s="7">
        <f>'Прил.№4 ведомств.'!K610</f>
        <v>5168.8</v>
      </c>
      <c r="K137" s="7">
        <f>'Прил.№4 ведомств.'!L610</f>
        <v>5168.8</v>
      </c>
      <c r="L137" s="7">
        <f>'Прил.№4 ведомств.'!M610</f>
        <v>5168.8</v>
      </c>
      <c r="M137" s="7">
        <f>'Прил.№4 ведомств.'!N610</f>
        <v>2850</v>
      </c>
      <c r="N137" s="7">
        <f t="shared" si="46"/>
        <v>55.13852344838261</v>
      </c>
    </row>
    <row r="138" spans="1:14" ht="31.5" hidden="1">
      <c r="A138" s="31" t="s">
        <v>336</v>
      </c>
      <c r="B138" s="42" t="s">
        <v>470</v>
      </c>
      <c r="C138" s="42" t="s">
        <v>316</v>
      </c>
      <c r="D138" s="42" t="s">
        <v>170</v>
      </c>
      <c r="E138" s="42"/>
      <c r="F138" s="42"/>
      <c r="G138" s="11">
        <f>G139</f>
        <v>0</v>
      </c>
      <c r="H138" s="11">
        <f aca="true" t="shared" si="82" ref="H138:M139">H139</f>
        <v>0</v>
      </c>
      <c r="I138" s="11">
        <f t="shared" si="82"/>
        <v>500</v>
      </c>
      <c r="J138" s="11">
        <f t="shared" si="82"/>
        <v>50</v>
      </c>
      <c r="K138" s="11">
        <f t="shared" si="82"/>
        <v>500</v>
      </c>
      <c r="L138" s="11">
        <f t="shared" si="82"/>
        <v>0</v>
      </c>
      <c r="M138" s="11">
        <f t="shared" si="82"/>
        <v>0</v>
      </c>
      <c r="N138" s="7" t="e">
        <f t="shared" si="46"/>
        <v>#DIV/0!</v>
      </c>
    </row>
    <row r="139" spans="1:14" ht="31.5" hidden="1">
      <c r="A139" s="31" t="s">
        <v>324</v>
      </c>
      <c r="B139" s="42" t="s">
        <v>470</v>
      </c>
      <c r="C139" s="42" t="s">
        <v>316</v>
      </c>
      <c r="D139" s="42" t="s">
        <v>170</v>
      </c>
      <c r="E139" s="42" t="s">
        <v>325</v>
      </c>
      <c r="F139" s="42"/>
      <c r="G139" s="11">
        <f>G140</f>
        <v>0</v>
      </c>
      <c r="H139" s="11">
        <f t="shared" si="82"/>
        <v>0</v>
      </c>
      <c r="I139" s="11">
        <f t="shared" si="82"/>
        <v>500</v>
      </c>
      <c r="J139" s="11">
        <f t="shared" si="82"/>
        <v>50</v>
      </c>
      <c r="K139" s="11">
        <f t="shared" si="82"/>
        <v>500</v>
      </c>
      <c r="L139" s="11">
        <f t="shared" si="82"/>
        <v>0</v>
      </c>
      <c r="M139" s="11">
        <f t="shared" si="82"/>
        <v>0</v>
      </c>
      <c r="N139" s="7" t="e">
        <f t="shared" si="46"/>
        <v>#DIV/0!</v>
      </c>
    </row>
    <row r="140" spans="1:14" ht="15.75" hidden="1">
      <c r="A140" s="31" t="s">
        <v>326</v>
      </c>
      <c r="B140" s="42" t="s">
        <v>470</v>
      </c>
      <c r="C140" s="42" t="s">
        <v>316</v>
      </c>
      <c r="D140" s="42" t="s">
        <v>170</v>
      </c>
      <c r="E140" s="42" t="s">
        <v>327</v>
      </c>
      <c r="F140" s="42"/>
      <c r="G140" s="11">
        <f>'Прил.№4 ведомств.'!G613</f>
        <v>0</v>
      </c>
      <c r="H140" s="11">
        <f>'Прил.№4 ведомств.'!I613</f>
        <v>0</v>
      </c>
      <c r="I140" s="11">
        <f>'Прил.№4 ведомств.'!J613</f>
        <v>500</v>
      </c>
      <c r="J140" s="11">
        <f>'Прил.№4 ведомств.'!K613</f>
        <v>50</v>
      </c>
      <c r="K140" s="11">
        <f>'Прил.№4 ведомств.'!L613</f>
        <v>500</v>
      </c>
      <c r="L140" s="11">
        <f>'Прил.№4 ведомств.'!M613</f>
        <v>0</v>
      </c>
      <c r="M140" s="11">
        <f>'Прил.№4 ведомств.'!N613</f>
        <v>0</v>
      </c>
      <c r="N140" s="7" t="e">
        <f aca="true" t="shared" si="83" ref="N140:N203">M140/L140*100</f>
        <v>#DIV/0!</v>
      </c>
    </row>
    <row r="141" spans="1:14" ht="31.5">
      <c r="A141" s="70" t="s">
        <v>865</v>
      </c>
      <c r="B141" s="21" t="s">
        <v>868</v>
      </c>
      <c r="C141" s="21" t="s">
        <v>316</v>
      </c>
      <c r="D141" s="21" t="s">
        <v>170</v>
      </c>
      <c r="E141" s="21"/>
      <c r="F141" s="21"/>
      <c r="G141" s="11">
        <f>G142</f>
        <v>0</v>
      </c>
      <c r="H141" s="11">
        <f aca="true" t="shared" si="84" ref="H141:M142">H142</f>
        <v>0</v>
      </c>
      <c r="I141" s="11">
        <f t="shared" si="84"/>
        <v>3468.9</v>
      </c>
      <c r="J141" s="11">
        <f t="shared" si="84"/>
        <v>3468.9</v>
      </c>
      <c r="K141" s="11">
        <f t="shared" si="84"/>
        <v>3468.9</v>
      </c>
      <c r="L141" s="11">
        <f t="shared" si="84"/>
        <v>3218.9</v>
      </c>
      <c r="M141" s="11">
        <f t="shared" si="84"/>
        <v>3100</v>
      </c>
      <c r="N141" s="7">
        <f t="shared" si="83"/>
        <v>96.30619155612166</v>
      </c>
    </row>
    <row r="142" spans="1:14" ht="31.5">
      <c r="A142" s="31" t="s">
        <v>324</v>
      </c>
      <c r="B142" s="21" t="s">
        <v>868</v>
      </c>
      <c r="C142" s="21" t="s">
        <v>316</v>
      </c>
      <c r="D142" s="21" t="s">
        <v>170</v>
      </c>
      <c r="E142" s="21" t="s">
        <v>325</v>
      </c>
      <c r="F142" s="21"/>
      <c r="G142" s="11">
        <f>G143</f>
        <v>0</v>
      </c>
      <c r="H142" s="11">
        <f t="shared" si="84"/>
        <v>0</v>
      </c>
      <c r="I142" s="11">
        <f t="shared" si="84"/>
        <v>3468.9</v>
      </c>
      <c r="J142" s="11">
        <f t="shared" si="84"/>
        <v>3468.9</v>
      </c>
      <c r="K142" s="11">
        <f t="shared" si="84"/>
        <v>3468.9</v>
      </c>
      <c r="L142" s="11">
        <f t="shared" si="84"/>
        <v>3218.9</v>
      </c>
      <c r="M142" s="11">
        <f t="shared" si="84"/>
        <v>3100</v>
      </c>
      <c r="N142" s="7">
        <f t="shared" si="83"/>
        <v>96.30619155612166</v>
      </c>
    </row>
    <row r="143" spans="1:14" ht="15.75">
      <c r="A143" s="256" t="s">
        <v>326</v>
      </c>
      <c r="B143" s="21" t="s">
        <v>868</v>
      </c>
      <c r="C143" s="21" t="s">
        <v>316</v>
      </c>
      <c r="D143" s="21" t="s">
        <v>170</v>
      </c>
      <c r="E143" s="21" t="s">
        <v>327</v>
      </c>
      <c r="F143" s="21"/>
      <c r="G143" s="11">
        <f>'Прил.№4 ведомств.'!G616</f>
        <v>0</v>
      </c>
      <c r="H143" s="11">
        <f>'Прил.№4 ведомств.'!I616</f>
        <v>0</v>
      </c>
      <c r="I143" s="11">
        <f>'Прил.№4 ведомств.'!J616</f>
        <v>3468.9</v>
      </c>
      <c r="J143" s="11">
        <f>'Прил.№4 ведомств.'!K616</f>
        <v>3468.9</v>
      </c>
      <c r="K143" s="11">
        <f>'Прил.№4 ведомств.'!L616</f>
        <v>3468.9</v>
      </c>
      <c r="L143" s="11">
        <f>'Прил.№4 ведомств.'!M616</f>
        <v>3218.9</v>
      </c>
      <c r="M143" s="11">
        <f>'Прил.№4 ведомств.'!N616</f>
        <v>3100</v>
      </c>
      <c r="N143" s="7">
        <f t="shared" si="83"/>
        <v>96.30619155612166</v>
      </c>
    </row>
    <row r="144" spans="1:14" ht="47.25">
      <c r="A144" s="70" t="s">
        <v>874</v>
      </c>
      <c r="B144" s="21" t="s">
        <v>869</v>
      </c>
      <c r="C144" s="21" t="s">
        <v>316</v>
      </c>
      <c r="D144" s="21" t="s">
        <v>170</v>
      </c>
      <c r="E144" s="21"/>
      <c r="F144" s="21"/>
      <c r="G144" s="11">
        <f>G145</f>
        <v>0</v>
      </c>
      <c r="H144" s="11">
        <f aca="true" t="shared" si="85" ref="H144:M145">H145</f>
        <v>0</v>
      </c>
      <c r="I144" s="11">
        <f t="shared" si="85"/>
        <v>1230.6</v>
      </c>
      <c r="J144" s="11">
        <f t="shared" si="85"/>
        <v>1230.6</v>
      </c>
      <c r="K144" s="11">
        <f t="shared" si="85"/>
        <v>1230.6</v>
      </c>
      <c r="L144" s="11">
        <f t="shared" si="85"/>
        <v>1230.6</v>
      </c>
      <c r="M144" s="11">
        <f t="shared" si="85"/>
        <v>790</v>
      </c>
      <c r="N144" s="7">
        <f t="shared" si="83"/>
        <v>64.19632699496182</v>
      </c>
    </row>
    <row r="145" spans="1:14" ht="31.5">
      <c r="A145" s="31" t="s">
        <v>324</v>
      </c>
      <c r="B145" s="21" t="s">
        <v>869</v>
      </c>
      <c r="C145" s="21" t="s">
        <v>316</v>
      </c>
      <c r="D145" s="21" t="s">
        <v>170</v>
      </c>
      <c r="E145" s="21" t="s">
        <v>325</v>
      </c>
      <c r="F145" s="21"/>
      <c r="G145" s="11">
        <f>G146</f>
        <v>0</v>
      </c>
      <c r="H145" s="11">
        <f t="shared" si="85"/>
        <v>0</v>
      </c>
      <c r="I145" s="11">
        <f t="shared" si="85"/>
        <v>1230.6</v>
      </c>
      <c r="J145" s="11">
        <f t="shared" si="85"/>
        <v>1230.6</v>
      </c>
      <c r="K145" s="11">
        <f t="shared" si="85"/>
        <v>1230.6</v>
      </c>
      <c r="L145" s="11">
        <f t="shared" si="85"/>
        <v>1230.6</v>
      </c>
      <c r="M145" s="11">
        <f t="shared" si="85"/>
        <v>790</v>
      </c>
      <c r="N145" s="7">
        <f t="shared" si="83"/>
        <v>64.19632699496182</v>
      </c>
    </row>
    <row r="146" spans="1:14" ht="15.75">
      <c r="A146" s="256" t="s">
        <v>326</v>
      </c>
      <c r="B146" s="21" t="s">
        <v>869</v>
      </c>
      <c r="C146" s="21" t="s">
        <v>316</v>
      </c>
      <c r="D146" s="21" t="s">
        <v>170</v>
      </c>
      <c r="E146" s="21" t="s">
        <v>327</v>
      </c>
      <c r="F146" s="21"/>
      <c r="G146" s="11">
        <f>'Прил.№4 ведомств.'!G619</f>
        <v>0</v>
      </c>
      <c r="H146" s="11">
        <f>'Прил.№4 ведомств.'!I619</f>
        <v>0</v>
      </c>
      <c r="I146" s="11">
        <f>'Прил.№4 ведомств.'!J619</f>
        <v>1230.6</v>
      </c>
      <c r="J146" s="11">
        <f>'Прил.№4 ведомств.'!K619</f>
        <v>1230.6</v>
      </c>
      <c r="K146" s="11">
        <f>'Прил.№4 ведомств.'!L619</f>
        <v>1230.6</v>
      </c>
      <c r="L146" s="11">
        <f>'Прил.№4 ведомств.'!M619</f>
        <v>1230.6</v>
      </c>
      <c r="M146" s="11">
        <f>'Прил.№4 ведомств.'!N619</f>
        <v>790</v>
      </c>
      <c r="N146" s="7">
        <f t="shared" si="83"/>
        <v>64.19632699496182</v>
      </c>
    </row>
    <row r="147" spans="1:14" ht="31.5">
      <c r="A147" s="31" t="s">
        <v>456</v>
      </c>
      <c r="B147" s="42" t="s">
        <v>465</v>
      </c>
      <c r="C147" s="42" t="s">
        <v>316</v>
      </c>
      <c r="D147" s="42" t="s">
        <v>267</v>
      </c>
      <c r="E147" s="42"/>
      <c r="F147" s="42" t="s">
        <v>714</v>
      </c>
      <c r="G147" s="11">
        <f>G122</f>
        <v>7875</v>
      </c>
      <c r="H147" s="11">
        <f aca="true" t="shared" si="86" ref="H147:L147">H122</f>
        <v>7875</v>
      </c>
      <c r="I147" s="11">
        <f t="shared" si="86"/>
        <v>25698.3</v>
      </c>
      <c r="J147" s="11">
        <f t="shared" si="86"/>
        <v>20018.3</v>
      </c>
      <c r="K147" s="11">
        <f t="shared" si="86"/>
        <v>13968.3</v>
      </c>
      <c r="L147" s="11">
        <f t="shared" si="86"/>
        <v>9818.300000000001</v>
      </c>
      <c r="M147" s="11">
        <f aca="true" t="shared" si="87" ref="M147">M122</f>
        <v>6740</v>
      </c>
      <c r="N147" s="7">
        <f t="shared" si="83"/>
        <v>68.64732183779269</v>
      </c>
    </row>
    <row r="148" spans="1:14" ht="31.5">
      <c r="A148" s="43" t="s">
        <v>483</v>
      </c>
      <c r="B148" s="8" t="s">
        <v>484</v>
      </c>
      <c r="C148" s="8"/>
      <c r="D148" s="8"/>
      <c r="E148" s="8"/>
      <c r="F148" s="8"/>
      <c r="G148" s="4">
        <f>G169</f>
        <v>6675.4</v>
      </c>
      <c r="H148" s="4">
        <f aca="true" t="shared" si="88" ref="H148:L148">H169</f>
        <v>6675.366666666666</v>
      </c>
      <c r="I148" s="4">
        <f t="shared" si="88"/>
        <v>16647.800000000003</v>
      </c>
      <c r="J148" s="4">
        <f t="shared" si="88"/>
        <v>11746.7</v>
      </c>
      <c r="K148" s="4">
        <f t="shared" si="88"/>
        <v>9246.7</v>
      </c>
      <c r="L148" s="4">
        <f t="shared" si="88"/>
        <v>6829.9</v>
      </c>
      <c r="M148" s="4">
        <f aca="true" t="shared" si="89" ref="M148">M169</f>
        <v>4946.5</v>
      </c>
      <c r="N148" s="4">
        <f t="shared" si="83"/>
        <v>72.42419361923308</v>
      </c>
    </row>
    <row r="149" spans="1:14" ht="70.5" customHeight="1" hidden="1">
      <c r="A149" s="31" t="s">
        <v>658</v>
      </c>
      <c r="B149" s="42" t="s">
        <v>664</v>
      </c>
      <c r="C149" s="42" t="s">
        <v>316</v>
      </c>
      <c r="D149" s="42" t="s">
        <v>265</v>
      </c>
      <c r="E149" s="42"/>
      <c r="F149" s="42"/>
      <c r="G149" s="11">
        <f>G150</f>
        <v>0</v>
      </c>
      <c r="H149" s="11">
        <f aca="true" t="shared" si="90" ref="H149:M149">H150</f>
        <v>0</v>
      </c>
      <c r="I149" s="11">
        <f t="shared" si="90"/>
        <v>0</v>
      </c>
      <c r="J149" s="11">
        <f t="shared" si="90"/>
        <v>0</v>
      </c>
      <c r="K149" s="11">
        <f t="shared" si="90"/>
        <v>0</v>
      </c>
      <c r="L149" s="11">
        <f t="shared" si="90"/>
        <v>0</v>
      </c>
      <c r="M149" s="11">
        <f t="shared" si="90"/>
        <v>0</v>
      </c>
      <c r="N149" s="4" t="e">
        <f t="shared" si="83"/>
        <v>#DIV/0!</v>
      </c>
    </row>
    <row r="150" spans="1:14" ht="31.5" hidden="1">
      <c r="A150" s="31" t="s">
        <v>324</v>
      </c>
      <c r="B150" s="42" t="s">
        <v>664</v>
      </c>
      <c r="C150" s="42" t="s">
        <v>316</v>
      </c>
      <c r="D150" s="42" t="s">
        <v>265</v>
      </c>
      <c r="E150" s="42" t="s">
        <v>325</v>
      </c>
      <c r="F150" s="42"/>
      <c r="G150" s="11">
        <f>G152</f>
        <v>0</v>
      </c>
      <c r="H150" s="11">
        <f aca="true" t="shared" si="91" ref="H150:L150">H152</f>
        <v>0</v>
      </c>
      <c r="I150" s="11">
        <f t="shared" si="91"/>
        <v>0</v>
      </c>
      <c r="J150" s="11">
        <f t="shared" si="91"/>
        <v>0</v>
      </c>
      <c r="K150" s="11">
        <f t="shared" si="91"/>
        <v>0</v>
      </c>
      <c r="L150" s="11">
        <f t="shared" si="91"/>
        <v>0</v>
      </c>
      <c r="M150" s="11">
        <f aca="true" t="shared" si="92" ref="M150">M152</f>
        <v>0</v>
      </c>
      <c r="N150" s="4" t="e">
        <f t="shared" si="83"/>
        <v>#DIV/0!</v>
      </c>
    </row>
    <row r="151" spans="1:14" ht="18.75" customHeight="1" hidden="1">
      <c r="A151" s="31" t="s">
        <v>326</v>
      </c>
      <c r="B151" s="42" t="s">
        <v>664</v>
      </c>
      <c r="C151" s="42" t="s">
        <v>316</v>
      </c>
      <c r="D151" s="42" t="s">
        <v>265</v>
      </c>
      <c r="E151" s="42" t="s">
        <v>327</v>
      </c>
      <c r="F151" s="42"/>
      <c r="G151" s="11"/>
      <c r="H151" s="11"/>
      <c r="I151" s="11"/>
      <c r="J151" s="11"/>
      <c r="K151" s="11"/>
      <c r="L151" s="11"/>
      <c r="M151" s="11"/>
      <c r="N151" s="4" t="e">
        <f t="shared" si="83"/>
        <v>#DIV/0!</v>
      </c>
    </row>
    <row r="152" spans="1:14" ht="31.5" hidden="1">
      <c r="A152" s="31" t="s">
        <v>456</v>
      </c>
      <c r="B152" s="42" t="s">
        <v>664</v>
      </c>
      <c r="C152" s="42" t="s">
        <v>316</v>
      </c>
      <c r="D152" s="42" t="s">
        <v>265</v>
      </c>
      <c r="E152" s="42"/>
      <c r="F152" s="42" t="s">
        <v>714</v>
      </c>
      <c r="G152" s="11"/>
      <c r="H152" s="11"/>
      <c r="I152" s="11"/>
      <c r="J152" s="11"/>
      <c r="K152" s="11"/>
      <c r="L152" s="11"/>
      <c r="M152" s="11"/>
      <c r="N152" s="4" t="e">
        <f t="shared" si="83"/>
        <v>#DIV/0!</v>
      </c>
    </row>
    <row r="153" spans="1:14" ht="47.25" hidden="1">
      <c r="A153" s="26" t="s">
        <v>485</v>
      </c>
      <c r="B153" s="42" t="s">
        <v>486</v>
      </c>
      <c r="C153" s="42" t="s">
        <v>316</v>
      </c>
      <c r="D153" s="42" t="s">
        <v>265</v>
      </c>
      <c r="E153" s="42"/>
      <c r="F153" s="42"/>
      <c r="G153" s="11">
        <f>G154</f>
        <v>0</v>
      </c>
      <c r="H153" s="11">
        <f aca="true" t="shared" si="93" ref="H153:M154">H154</f>
        <v>0</v>
      </c>
      <c r="I153" s="11">
        <f t="shared" si="93"/>
        <v>0</v>
      </c>
      <c r="J153" s="11">
        <f t="shared" si="93"/>
        <v>0</v>
      </c>
      <c r="K153" s="11">
        <f t="shared" si="93"/>
        <v>0</v>
      </c>
      <c r="L153" s="11">
        <f t="shared" si="93"/>
        <v>0</v>
      </c>
      <c r="M153" s="11">
        <f t="shared" si="93"/>
        <v>0</v>
      </c>
      <c r="N153" s="4" t="e">
        <f t="shared" si="83"/>
        <v>#DIV/0!</v>
      </c>
    </row>
    <row r="154" spans="1:14" ht="31.5" hidden="1">
      <c r="A154" s="31" t="s">
        <v>324</v>
      </c>
      <c r="B154" s="42" t="s">
        <v>486</v>
      </c>
      <c r="C154" s="42" t="s">
        <v>316</v>
      </c>
      <c r="D154" s="42" t="s">
        <v>265</v>
      </c>
      <c r="E154" s="42" t="s">
        <v>325</v>
      </c>
      <c r="F154" s="42"/>
      <c r="G154" s="11">
        <f>G155</f>
        <v>0</v>
      </c>
      <c r="H154" s="11">
        <f t="shared" si="93"/>
        <v>0</v>
      </c>
      <c r="I154" s="11">
        <f t="shared" si="93"/>
        <v>0</v>
      </c>
      <c r="J154" s="11">
        <f t="shared" si="93"/>
        <v>0</v>
      </c>
      <c r="K154" s="11">
        <f t="shared" si="93"/>
        <v>0</v>
      </c>
      <c r="L154" s="11">
        <f t="shared" si="93"/>
        <v>0</v>
      </c>
      <c r="M154" s="11">
        <f t="shared" si="93"/>
        <v>0</v>
      </c>
      <c r="N154" s="4" t="e">
        <f t="shared" si="83"/>
        <v>#DIV/0!</v>
      </c>
    </row>
    <row r="155" spans="1:14" ht="15.75" hidden="1">
      <c r="A155" s="31" t="s">
        <v>326</v>
      </c>
      <c r="B155" s="42" t="s">
        <v>486</v>
      </c>
      <c r="C155" s="42" t="s">
        <v>316</v>
      </c>
      <c r="D155" s="42" t="s">
        <v>265</v>
      </c>
      <c r="E155" s="42" t="s">
        <v>327</v>
      </c>
      <c r="F155" s="42"/>
      <c r="G155" s="11"/>
      <c r="H155" s="11"/>
      <c r="I155" s="11"/>
      <c r="J155" s="11"/>
      <c r="K155" s="11"/>
      <c r="L155" s="11"/>
      <c r="M155" s="11"/>
      <c r="N155" s="4" t="e">
        <f t="shared" si="83"/>
        <v>#DIV/0!</v>
      </c>
    </row>
    <row r="156" spans="1:14" ht="54.75" customHeight="1" hidden="1">
      <c r="A156" s="31" t="s">
        <v>456</v>
      </c>
      <c r="B156" s="42" t="s">
        <v>486</v>
      </c>
      <c r="C156" s="42" t="s">
        <v>316</v>
      </c>
      <c r="D156" s="42" t="s">
        <v>265</v>
      </c>
      <c r="E156" s="42"/>
      <c r="F156" s="42" t="s">
        <v>714</v>
      </c>
      <c r="G156" s="11">
        <f>G153</f>
        <v>0</v>
      </c>
      <c r="H156" s="11">
        <f aca="true" t="shared" si="94" ref="H156:L156">H153</f>
        <v>0</v>
      </c>
      <c r="I156" s="11">
        <f t="shared" si="94"/>
        <v>0</v>
      </c>
      <c r="J156" s="11">
        <f t="shared" si="94"/>
        <v>0</v>
      </c>
      <c r="K156" s="11">
        <f t="shared" si="94"/>
        <v>0</v>
      </c>
      <c r="L156" s="11">
        <f t="shared" si="94"/>
        <v>0</v>
      </c>
      <c r="M156" s="11">
        <f aca="true" t="shared" si="95" ref="M156">M153</f>
        <v>0</v>
      </c>
      <c r="N156" s="4" t="e">
        <f t="shared" si="83"/>
        <v>#DIV/0!</v>
      </c>
    </row>
    <row r="157" spans="1:14" ht="31.5" hidden="1">
      <c r="A157" s="26" t="s">
        <v>487</v>
      </c>
      <c r="B157" s="21" t="s">
        <v>488</v>
      </c>
      <c r="C157" s="42" t="s">
        <v>316</v>
      </c>
      <c r="D157" s="42" t="s">
        <v>265</v>
      </c>
      <c r="E157" s="42"/>
      <c r="F157" s="42"/>
      <c r="G157" s="11">
        <f>G158</f>
        <v>0</v>
      </c>
      <c r="H157" s="11">
        <f aca="true" t="shared" si="96" ref="H157:M158">H158</f>
        <v>0</v>
      </c>
      <c r="I157" s="11">
        <f t="shared" si="96"/>
        <v>0</v>
      </c>
      <c r="J157" s="11">
        <f t="shared" si="96"/>
        <v>0</v>
      </c>
      <c r="K157" s="11">
        <f t="shared" si="96"/>
        <v>0</v>
      </c>
      <c r="L157" s="11">
        <f t="shared" si="96"/>
        <v>0</v>
      </c>
      <c r="M157" s="11">
        <f t="shared" si="96"/>
        <v>0</v>
      </c>
      <c r="N157" s="4" t="e">
        <f t="shared" si="83"/>
        <v>#DIV/0!</v>
      </c>
    </row>
    <row r="158" spans="1:14" ht="65.25" customHeight="1" hidden="1">
      <c r="A158" s="26" t="s">
        <v>324</v>
      </c>
      <c r="B158" s="21" t="s">
        <v>488</v>
      </c>
      <c r="C158" s="42" t="s">
        <v>316</v>
      </c>
      <c r="D158" s="42" t="s">
        <v>265</v>
      </c>
      <c r="E158" s="42" t="s">
        <v>325</v>
      </c>
      <c r="F158" s="42"/>
      <c r="G158" s="11">
        <f>G159</f>
        <v>0</v>
      </c>
      <c r="H158" s="11">
        <f t="shared" si="96"/>
        <v>0</v>
      </c>
      <c r="I158" s="11">
        <f t="shared" si="96"/>
        <v>0</v>
      </c>
      <c r="J158" s="11">
        <f t="shared" si="96"/>
        <v>0</v>
      </c>
      <c r="K158" s="11">
        <f t="shared" si="96"/>
        <v>0</v>
      </c>
      <c r="L158" s="11">
        <f t="shared" si="96"/>
        <v>0</v>
      </c>
      <c r="M158" s="11">
        <f t="shared" si="96"/>
        <v>0</v>
      </c>
      <c r="N158" s="4" t="e">
        <f t="shared" si="83"/>
        <v>#DIV/0!</v>
      </c>
    </row>
    <row r="159" spans="1:14" ht="15.75" hidden="1">
      <c r="A159" s="26" t="s">
        <v>326</v>
      </c>
      <c r="B159" s="21" t="s">
        <v>488</v>
      </c>
      <c r="C159" s="42" t="s">
        <v>316</v>
      </c>
      <c r="D159" s="42" t="s">
        <v>265</v>
      </c>
      <c r="E159" s="42" t="s">
        <v>327</v>
      </c>
      <c r="F159" s="42"/>
      <c r="G159" s="11"/>
      <c r="H159" s="11"/>
      <c r="I159" s="11"/>
      <c r="J159" s="11"/>
      <c r="K159" s="11"/>
      <c r="L159" s="11"/>
      <c r="M159" s="11"/>
      <c r="N159" s="4" t="e">
        <f t="shared" si="83"/>
        <v>#DIV/0!</v>
      </c>
    </row>
    <row r="160" spans="1:14" ht="31.5" hidden="1">
      <c r="A160" s="31" t="s">
        <v>456</v>
      </c>
      <c r="B160" s="21" t="s">
        <v>488</v>
      </c>
      <c r="C160" s="42" t="s">
        <v>316</v>
      </c>
      <c r="D160" s="42" t="s">
        <v>265</v>
      </c>
      <c r="E160" s="42"/>
      <c r="F160" s="42" t="s">
        <v>714</v>
      </c>
      <c r="G160" s="11">
        <f>G157</f>
        <v>0</v>
      </c>
      <c r="H160" s="11">
        <f aca="true" t="shared" si="97" ref="H160:L160">H157</f>
        <v>0</v>
      </c>
      <c r="I160" s="11">
        <f t="shared" si="97"/>
        <v>0</v>
      </c>
      <c r="J160" s="11">
        <f t="shared" si="97"/>
        <v>0</v>
      </c>
      <c r="K160" s="11">
        <f t="shared" si="97"/>
        <v>0</v>
      </c>
      <c r="L160" s="11">
        <f t="shared" si="97"/>
        <v>0</v>
      </c>
      <c r="M160" s="11">
        <f aca="true" t="shared" si="98" ref="M160">M157</f>
        <v>0</v>
      </c>
      <c r="N160" s="4" t="e">
        <f t="shared" si="83"/>
        <v>#DIV/0!</v>
      </c>
    </row>
    <row r="161" spans="1:14" ht="47.25" hidden="1">
      <c r="A161" s="26" t="s">
        <v>491</v>
      </c>
      <c r="B161" s="21" t="s">
        <v>492</v>
      </c>
      <c r="C161" s="42" t="s">
        <v>316</v>
      </c>
      <c r="D161" s="42" t="s">
        <v>265</v>
      </c>
      <c r="E161" s="42"/>
      <c r="F161" s="42"/>
      <c r="G161" s="11">
        <f>G162</f>
        <v>0</v>
      </c>
      <c r="H161" s="11">
        <f aca="true" t="shared" si="99" ref="H161:M162">H162</f>
        <v>0</v>
      </c>
      <c r="I161" s="11">
        <f t="shared" si="99"/>
        <v>0</v>
      </c>
      <c r="J161" s="11">
        <f t="shared" si="99"/>
        <v>0</v>
      </c>
      <c r="K161" s="11">
        <f t="shared" si="99"/>
        <v>0</v>
      </c>
      <c r="L161" s="11">
        <f t="shared" si="99"/>
        <v>0</v>
      </c>
      <c r="M161" s="11">
        <f t="shared" si="99"/>
        <v>0</v>
      </c>
      <c r="N161" s="4" t="e">
        <f t="shared" si="83"/>
        <v>#DIV/0!</v>
      </c>
    </row>
    <row r="162" spans="1:14" ht="31.5" hidden="1">
      <c r="A162" s="31" t="s">
        <v>324</v>
      </c>
      <c r="B162" s="21" t="s">
        <v>492</v>
      </c>
      <c r="C162" s="42" t="s">
        <v>316</v>
      </c>
      <c r="D162" s="42" t="s">
        <v>265</v>
      </c>
      <c r="E162" s="42" t="s">
        <v>325</v>
      </c>
      <c r="F162" s="42"/>
      <c r="G162" s="11">
        <f>G163</f>
        <v>0</v>
      </c>
      <c r="H162" s="11">
        <f t="shared" si="99"/>
        <v>0</v>
      </c>
      <c r="I162" s="11">
        <f t="shared" si="99"/>
        <v>0</v>
      </c>
      <c r="J162" s="11">
        <f t="shared" si="99"/>
        <v>0</v>
      </c>
      <c r="K162" s="11">
        <f t="shared" si="99"/>
        <v>0</v>
      </c>
      <c r="L162" s="11">
        <f t="shared" si="99"/>
        <v>0</v>
      </c>
      <c r="M162" s="11">
        <f t="shared" si="99"/>
        <v>0</v>
      </c>
      <c r="N162" s="4" t="e">
        <f t="shared" si="83"/>
        <v>#DIV/0!</v>
      </c>
    </row>
    <row r="163" spans="1:14" ht="15.75" hidden="1">
      <c r="A163" s="31" t="s">
        <v>326</v>
      </c>
      <c r="B163" s="21" t="s">
        <v>492</v>
      </c>
      <c r="C163" s="42" t="s">
        <v>316</v>
      </c>
      <c r="D163" s="42" t="s">
        <v>265</v>
      </c>
      <c r="E163" s="42" t="s">
        <v>327</v>
      </c>
      <c r="F163" s="42"/>
      <c r="G163" s="11"/>
      <c r="H163" s="11"/>
      <c r="I163" s="11"/>
      <c r="J163" s="11"/>
      <c r="K163" s="11"/>
      <c r="L163" s="11"/>
      <c r="M163" s="11"/>
      <c r="N163" s="4" t="e">
        <f t="shared" si="83"/>
        <v>#DIV/0!</v>
      </c>
    </row>
    <row r="164" spans="1:14" ht="31.5" hidden="1">
      <c r="A164" s="31" t="s">
        <v>456</v>
      </c>
      <c r="B164" s="21" t="s">
        <v>492</v>
      </c>
      <c r="C164" s="42" t="s">
        <v>316</v>
      </c>
      <c r="D164" s="42" t="s">
        <v>265</v>
      </c>
      <c r="E164" s="42"/>
      <c r="F164" s="42" t="s">
        <v>714</v>
      </c>
      <c r="G164" s="11">
        <f>G163</f>
        <v>0</v>
      </c>
      <c r="H164" s="11">
        <f aca="true" t="shared" si="100" ref="H164:L164">H163</f>
        <v>0</v>
      </c>
      <c r="I164" s="11">
        <f t="shared" si="100"/>
        <v>0</v>
      </c>
      <c r="J164" s="11">
        <f t="shared" si="100"/>
        <v>0</v>
      </c>
      <c r="K164" s="11">
        <f t="shared" si="100"/>
        <v>0</v>
      </c>
      <c r="L164" s="11">
        <f t="shared" si="100"/>
        <v>0</v>
      </c>
      <c r="M164" s="11">
        <f aca="true" t="shared" si="101" ref="M164">M163</f>
        <v>0</v>
      </c>
      <c r="N164" s="4" t="e">
        <f t="shared" si="83"/>
        <v>#DIV/0!</v>
      </c>
    </row>
    <row r="165" spans="1:14" ht="31.5" hidden="1">
      <c r="A165" s="26" t="s">
        <v>667</v>
      </c>
      <c r="B165" s="21" t="s">
        <v>495</v>
      </c>
      <c r="C165" s="42" t="s">
        <v>316</v>
      </c>
      <c r="D165" s="42" t="s">
        <v>265</v>
      </c>
      <c r="E165" s="42"/>
      <c r="F165" s="42"/>
      <c r="G165" s="11">
        <f>G166</f>
        <v>0</v>
      </c>
      <c r="H165" s="11">
        <f aca="true" t="shared" si="102" ref="H165:M166">H166</f>
        <v>0</v>
      </c>
      <c r="I165" s="11">
        <f t="shared" si="102"/>
        <v>0</v>
      </c>
      <c r="J165" s="11">
        <f t="shared" si="102"/>
        <v>0</v>
      </c>
      <c r="K165" s="11">
        <f t="shared" si="102"/>
        <v>0</v>
      </c>
      <c r="L165" s="11">
        <f t="shared" si="102"/>
        <v>0</v>
      </c>
      <c r="M165" s="11">
        <f t="shared" si="102"/>
        <v>0</v>
      </c>
      <c r="N165" s="4" t="e">
        <f t="shared" si="83"/>
        <v>#DIV/0!</v>
      </c>
    </row>
    <row r="166" spans="1:14" ht="31.5" hidden="1">
      <c r="A166" s="26" t="s">
        <v>324</v>
      </c>
      <c r="B166" s="21" t="s">
        <v>495</v>
      </c>
      <c r="C166" s="42" t="s">
        <v>316</v>
      </c>
      <c r="D166" s="42" t="s">
        <v>265</v>
      </c>
      <c r="E166" s="42" t="s">
        <v>325</v>
      </c>
      <c r="F166" s="42"/>
      <c r="G166" s="11">
        <f>G167</f>
        <v>0</v>
      </c>
      <c r="H166" s="11">
        <f t="shared" si="102"/>
        <v>0</v>
      </c>
      <c r="I166" s="11">
        <f t="shared" si="102"/>
        <v>0</v>
      </c>
      <c r="J166" s="11">
        <f t="shared" si="102"/>
        <v>0</v>
      </c>
      <c r="K166" s="11">
        <f t="shared" si="102"/>
        <v>0</v>
      </c>
      <c r="L166" s="11">
        <f t="shared" si="102"/>
        <v>0</v>
      </c>
      <c r="M166" s="11">
        <f t="shared" si="102"/>
        <v>0</v>
      </c>
      <c r="N166" s="4" t="e">
        <f t="shared" si="83"/>
        <v>#DIV/0!</v>
      </c>
    </row>
    <row r="167" spans="1:14" ht="15.75" hidden="1">
      <c r="A167" s="26" t="s">
        <v>326</v>
      </c>
      <c r="B167" s="21" t="s">
        <v>495</v>
      </c>
      <c r="C167" s="42" t="s">
        <v>316</v>
      </c>
      <c r="D167" s="42" t="s">
        <v>265</v>
      </c>
      <c r="E167" s="42" t="s">
        <v>327</v>
      </c>
      <c r="F167" s="42"/>
      <c r="G167" s="11"/>
      <c r="H167" s="11"/>
      <c r="I167" s="11"/>
      <c r="J167" s="11"/>
      <c r="K167" s="11"/>
      <c r="L167" s="11"/>
      <c r="M167" s="11"/>
      <c r="N167" s="4" t="e">
        <f t="shared" si="83"/>
        <v>#DIV/0!</v>
      </c>
    </row>
    <row r="168" spans="1:14" ht="31.5" hidden="1">
      <c r="A168" s="31" t="s">
        <v>456</v>
      </c>
      <c r="B168" s="21" t="s">
        <v>495</v>
      </c>
      <c r="C168" s="42" t="s">
        <v>316</v>
      </c>
      <c r="D168" s="42" t="s">
        <v>265</v>
      </c>
      <c r="E168" s="42"/>
      <c r="F168" s="42" t="s">
        <v>714</v>
      </c>
      <c r="G168" s="11">
        <f>G166</f>
        <v>0</v>
      </c>
      <c r="H168" s="11">
        <f aca="true" t="shared" si="103" ref="H168:L168">H166</f>
        <v>0</v>
      </c>
      <c r="I168" s="11">
        <f t="shared" si="103"/>
        <v>0</v>
      </c>
      <c r="J168" s="11">
        <f t="shared" si="103"/>
        <v>0</v>
      </c>
      <c r="K168" s="11">
        <f t="shared" si="103"/>
        <v>0</v>
      </c>
      <c r="L168" s="11">
        <f t="shared" si="103"/>
        <v>0</v>
      </c>
      <c r="M168" s="11">
        <f aca="true" t="shared" si="104" ref="M168">M166</f>
        <v>0</v>
      </c>
      <c r="N168" s="4" t="e">
        <f t="shared" si="83"/>
        <v>#DIV/0!</v>
      </c>
    </row>
    <row r="169" spans="1:14" ht="15.75">
      <c r="A169" s="31" t="s">
        <v>315</v>
      </c>
      <c r="B169" s="42" t="s">
        <v>484</v>
      </c>
      <c r="C169" s="42" t="s">
        <v>316</v>
      </c>
      <c r="D169" s="42"/>
      <c r="E169" s="42"/>
      <c r="F169" s="42"/>
      <c r="G169" s="11">
        <f>G170</f>
        <v>6675.4</v>
      </c>
      <c r="H169" s="11">
        <f aca="true" t="shared" si="105" ref="H169:M169">H170</f>
        <v>6675.366666666666</v>
      </c>
      <c r="I169" s="11">
        <f t="shared" si="105"/>
        <v>16647.800000000003</v>
      </c>
      <c r="J169" s="11">
        <f t="shared" si="105"/>
        <v>11746.7</v>
      </c>
      <c r="K169" s="11">
        <f t="shared" si="105"/>
        <v>9246.7</v>
      </c>
      <c r="L169" s="11">
        <f t="shared" si="105"/>
        <v>6829.9</v>
      </c>
      <c r="M169" s="11">
        <f t="shared" si="105"/>
        <v>4946.5</v>
      </c>
      <c r="N169" s="7">
        <f t="shared" si="83"/>
        <v>72.42419361923308</v>
      </c>
    </row>
    <row r="170" spans="1:14" ht="15.75">
      <c r="A170" s="31" t="s">
        <v>478</v>
      </c>
      <c r="B170" s="42" t="s">
        <v>484</v>
      </c>
      <c r="C170" s="42" t="s">
        <v>316</v>
      </c>
      <c r="D170" s="42" t="s">
        <v>265</v>
      </c>
      <c r="E170" s="42"/>
      <c r="F170" s="42"/>
      <c r="G170" s="11">
        <f>G171+G174+G186+G180+G189+G183+G192</f>
        <v>6675.4</v>
      </c>
      <c r="H170" s="11">
        <f aca="true" t="shared" si="106" ref="H170:K170">H171+H174+H186+H180+H189+H183+H192</f>
        <v>6675.366666666666</v>
      </c>
      <c r="I170" s="11">
        <f t="shared" si="106"/>
        <v>16647.800000000003</v>
      </c>
      <c r="J170" s="11">
        <f t="shared" si="106"/>
        <v>11746.7</v>
      </c>
      <c r="K170" s="11">
        <f t="shared" si="106"/>
        <v>9246.7</v>
      </c>
      <c r="L170" s="11">
        <f>L171+L174+L186+L180+L189+L183+L192+L177</f>
        <v>6829.9</v>
      </c>
      <c r="M170" s="11">
        <f>M171+M174+M186+M180+M189+M183+M192+M177</f>
        <v>4946.5</v>
      </c>
      <c r="N170" s="7">
        <f t="shared" si="83"/>
        <v>72.42419361923308</v>
      </c>
    </row>
    <row r="171" spans="1:14" ht="47.25">
      <c r="A171" s="31" t="s">
        <v>666</v>
      </c>
      <c r="B171" s="21" t="s">
        <v>490</v>
      </c>
      <c r="C171" s="42" t="s">
        <v>316</v>
      </c>
      <c r="D171" s="42" t="s">
        <v>265</v>
      </c>
      <c r="E171" s="42"/>
      <c r="F171" s="42"/>
      <c r="G171" s="11">
        <f>G172</f>
        <v>2690</v>
      </c>
      <c r="H171" s="11">
        <f aca="true" t="shared" si="107" ref="H171:M172">H172</f>
        <v>2206.6666666666665</v>
      </c>
      <c r="I171" s="11">
        <f t="shared" si="107"/>
        <v>2967.9</v>
      </c>
      <c r="J171" s="11">
        <f t="shared" si="107"/>
        <v>2967.9</v>
      </c>
      <c r="K171" s="11">
        <f t="shared" si="107"/>
        <v>2967.9</v>
      </c>
      <c r="L171" s="11">
        <f t="shared" si="107"/>
        <v>2967.9</v>
      </c>
      <c r="M171" s="11">
        <f t="shared" si="107"/>
        <v>1548.5</v>
      </c>
      <c r="N171" s="7">
        <f t="shared" si="83"/>
        <v>52.17493850870986</v>
      </c>
    </row>
    <row r="172" spans="1:14" ht="31.5">
      <c r="A172" s="31" t="s">
        <v>324</v>
      </c>
      <c r="B172" s="21" t="s">
        <v>490</v>
      </c>
      <c r="C172" s="42" t="s">
        <v>316</v>
      </c>
      <c r="D172" s="42" t="s">
        <v>265</v>
      </c>
      <c r="E172" s="42" t="s">
        <v>325</v>
      </c>
      <c r="F172" s="42"/>
      <c r="G172" s="11">
        <f>G173</f>
        <v>2690</v>
      </c>
      <c r="H172" s="11">
        <f t="shared" si="107"/>
        <v>2206.6666666666665</v>
      </c>
      <c r="I172" s="11">
        <f t="shared" si="107"/>
        <v>2967.9</v>
      </c>
      <c r="J172" s="11">
        <f t="shared" si="107"/>
        <v>2967.9</v>
      </c>
      <c r="K172" s="11">
        <f t="shared" si="107"/>
        <v>2967.9</v>
      </c>
      <c r="L172" s="11">
        <f t="shared" si="107"/>
        <v>2967.9</v>
      </c>
      <c r="M172" s="11">
        <f t="shared" si="107"/>
        <v>1548.5</v>
      </c>
      <c r="N172" s="7">
        <f t="shared" si="83"/>
        <v>52.17493850870986</v>
      </c>
    </row>
    <row r="173" spans="1:14" ht="24" customHeight="1">
      <c r="A173" s="31" t="s">
        <v>326</v>
      </c>
      <c r="B173" s="21" t="s">
        <v>490</v>
      </c>
      <c r="C173" s="42" t="s">
        <v>316</v>
      </c>
      <c r="D173" s="42" t="s">
        <v>265</v>
      </c>
      <c r="E173" s="42" t="s">
        <v>327</v>
      </c>
      <c r="F173" s="42"/>
      <c r="G173" s="7">
        <f>'Прил.№4 ведомств.'!G655</f>
        <v>2690</v>
      </c>
      <c r="H173" s="7">
        <f>'Прил.№4 ведомств.'!I655</f>
        <v>2206.6666666666665</v>
      </c>
      <c r="I173" s="7">
        <f>'Прил.№4 ведомств.'!J655</f>
        <v>2967.9</v>
      </c>
      <c r="J173" s="7">
        <f>'Прил.№4 ведомств.'!K655</f>
        <v>2967.9</v>
      </c>
      <c r="K173" s="7">
        <f>'Прил.№4 ведомств.'!L655</f>
        <v>2967.9</v>
      </c>
      <c r="L173" s="7">
        <f>'Прил.№4 ведомств.'!M655</f>
        <v>2967.9</v>
      </c>
      <c r="M173" s="7">
        <f>'Прил.№4 ведомств.'!N655</f>
        <v>1548.5</v>
      </c>
      <c r="N173" s="7">
        <f t="shared" si="83"/>
        <v>52.17493850870986</v>
      </c>
    </row>
    <row r="174" spans="1:14" ht="47.25">
      <c r="A174" s="26" t="s">
        <v>491</v>
      </c>
      <c r="B174" s="21" t="s">
        <v>492</v>
      </c>
      <c r="C174" s="42" t="s">
        <v>316</v>
      </c>
      <c r="D174" s="42" t="s">
        <v>265</v>
      </c>
      <c r="E174" s="42"/>
      <c r="F174" s="42"/>
      <c r="G174" s="7">
        <f>G175</f>
        <v>320</v>
      </c>
      <c r="H174" s="7">
        <f aca="true" t="shared" si="108" ref="H174:M175">H175</f>
        <v>803.3</v>
      </c>
      <c r="I174" s="7">
        <f t="shared" si="108"/>
        <v>320</v>
      </c>
      <c r="J174" s="7">
        <f t="shared" si="108"/>
        <v>320</v>
      </c>
      <c r="K174" s="7">
        <f t="shared" si="108"/>
        <v>320</v>
      </c>
      <c r="L174" s="7">
        <f t="shared" si="108"/>
        <v>320</v>
      </c>
      <c r="M174" s="7">
        <f t="shared" si="108"/>
        <v>279.3</v>
      </c>
      <c r="N174" s="7">
        <f t="shared" si="83"/>
        <v>87.28125</v>
      </c>
    </row>
    <row r="175" spans="1:14" ht="31.5">
      <c r="A175" s="26" t="s">
        <v>324</v>
      </c>
      <c r="B175" s="21" t="s">
        <v>492</v>
      </c>
      <c r="C175" s="42" t="s">
        <v>316</v>
      </c>
      <c r="D175" s="42" t="s">
        <v>265</v>
      </c>
      <c r="E175" s="42" t="s">
        <v>325</v>
      </c>
      <c r="F175" s="42"/>
      <c r="G175" s="7">
        <f>G176</f>
        <v>320</v>
      </c>
      <c r="H175" s="7">
        <f t="shared" si="108"/>
        <v>803.3</v>
      </c>
      <c r="I175" s="7">
        <f t="shared" si="108"/>
        <v>320</v>
      </c>
      <c r="J175" s="7">
        <f t="shared" si="108"/>
        <v>320</v>
      </c>
      <c r="K175" s="7">
        <f t="shared" si="108"/>
        <v>320</v>
      </c>
      <c r="L175" s="7">
        <f t="shared" si="108"/>
        <v>320</v>
      </c>
      <c r="M175" s="7">
        <f t="shared" si="108"/>
        <v>279.3</v>
      </c>
      <c r="N175" s="7">
        <f t="shared" si="83"/>
        <v>87.28125</v>
      </c>
    </row>
    <row r="176" spans="1:14" ht="15.75">
      <c r="A176" s="26" t="s">
        <v>326</v>
      </c>
      <c r="B176" s="21" t="s">
        <v>492</v>
      </c>
      <c r="C176" s="42" t="s">
        <v>316</v>
      </c>
      <c r="D176" s="42" t="s">
        <v>265</v>
      </c>
      <c r="E176" s="42" t="s">
        <v>327</v>
      </c>
      <c r="F176" s="42"/>
      <c r="G176" s="7">
        <f>'Прил.№4 ведомств.'!G658</f>
        <v>320</v>
      </c>
      <c r="H176" s="7">
        <f>'Прил.№4 ведомств.'!I658</f>
        <v>803.3</v>
      </c>
      <c r="I176" s="7">
        <f>'Прил.№4 ведомств.'!J658</f>
        <v>320</v>
      </c>
      <c r="J176" s="7">
        <f>'Прил.№4 ведомств.'!K658</f>
        <v>320</v>
      </c>
      <c r="K176" s="7">
        <f>'Прил.№4 ведомств.'!L658</f>
        <v>320</v>
      </c>
      <c r="L176" s="7">
        <f>'Прил.№4 ведомств.'!M658</f>
        <v>320</v>
      </c>
      <c r="M176" s="7">
        <f>'Прил.№4 ведомств.'!N658</f>
        <v>279.3</v>
      </c>
      <c r="N176" s="7">
        <f t="shared" si="83"/>
        <v>87.28125</v>
      </c>
    </row>
    <row r="177" spans="1:14" ht="47.25">
      <c r="A177" s="26" t="s">
        <v>981</v>
      </c>
      <c r="B177" s="21" t="s">
        <v>494</v>
      </c>
      <c r="C177" s="42" t="s">
        <v>316</v>
      </c>
      <c r="D177" s="42" t="s">
        <v>265</v>
      </c>
      <c r="E177" s="42"/>
      <c r="F177" s="42"/>
      <c r="G177" s="7"/>
      <c r="H177" s="7"/>
      <c r="I177" s="7"/>
      <c r="J177" s="7"/>
      <c r="K177" s="7"/>
      <c r="L177" s="7">
        <f>L178</f>
        <v>321</v>
      </c>
      <c r="M177" s="7">
        <f>M178</f>
        <v>107</v>
      </c>
      <c r="N177" s="7">
        <f t="shared" si="83"/>
        <v>33.33333333333333</v>
      </c>
    </row>
    <row r="178" spans="1:14" ht="31.5">
      <c r="A178" s="26" t="s">
        <v>324</v>
      </c>
      <c r="B178" s="21" t="s">
        <v>494</v>
      </c>
      <c r="C178" s="42" t="s">
        <v>316</v>
      </c>
      <c r="D178" s="42" t="s">
        <v>265</v>
      </c>
      <c r="E178" s="42" t="s">
        <v>325</v>
      </c>
      <c r="F178" s="42"/>
      <c r="G178" s="7"/>
      <c r="H178" s="7"/>
      <c r="I178" s="7"/>
      <c r="J178" s="7"/>
      <c r="K178" s="7"/>
      <c r="L178" s="7">
        <f>L179</f>
        <v>321</v>
      </c>
      <c r="M178" s="7">
        <f>M179</f>
        <v>107</v>
      </c>
      <c r="N178" s="7">
        <f t="shared" si="83"/>
        <v>33.33333333333333</v>
      </c>
    </row>
    <row r="179" spans="1:14" ht="15.75">
      <c r="A179" s="26" t="s">
        <v>326</v>
      </c>
      <c r="B179" s="21" t="s">
        <v>494</v>
      </c>
      <c r="C179" s="42" t="s">
        <v>316</v>
      </c>
      <c r="D179" s="42" t="s">
        <v>265</v>
      </c>
      <c r="E179" s="42" t="s">
        <v>327</v>
      </c>
      <c r="F179" s="42"/>
      <c r="G179" s="7"/>
      <c r="H179" s="7"/>
      <c r="I179" s="7"/>
      <c r="J179" s="7"/>
      <c r="K179" s="7"/>
      <c r="L179" s="7">
        <f>'Прил.№4 ведомств.'!M661</f>
        <v>321</v>
      </c>
      <c r="M179" s="7">
        <f>'Прил.№4 ведомств.'!N661</f>
        <v>107</v>
      </c>
      <c r="N179" s="7">
        <f t="shared" si="83"/>
        <v>33.33333333333333</v>
      </c>
    </row>
    <row r="180" spans="1:14" ht="31.5">
      <c r="A180" s="26" t="s">
        <v>330</v>
      </c>
      <c r="B180" s="42" t="s">
        <v>495</v>
      </c>
      <c r="C180" s="42" t="s">
        <v>316</v>
      </c>
      <c r="D180" s="42" t="s">
        <v>265</v>
      </c>
      <c r="E180" s="42"/>
      <c r="F180" s="42"/>
      <c r="G180" s="7">
        <f>G181</f>
        <v>3309</v>
      </c>
      <c r="H180" s="7">
        <f aca="true" t="shared" si="109" ref="H180:M181">H181</f>
        <v>3309</v>
      </c>
      <c r="I180" s="7">
        <f t="shared" si="109"/>
        <v>8601.1</v>
      </c>
      <c r="J180" s="7">
        <f t="shared" si="109"/>
        <v>4500</v>
      </c>
      <c r="K180" s="7">
        <f t="shared" si="109"/>
        <v>2000</v>
      </c>
      <c r="L180" s="7">
        <f t="shared" si="109"/>
        <v>300</v>
      </c>
      <c r="M180" s="7">
        <f t="shared" si="109"/>
        <v>100</v>
      </c>
      <c r="N180" s="7">
        <f t="shared" si="83"/>
        <v>33.33333333333333</v>
      </c>
    </row>
    <row r="181" spans="1:14" ht="31.5">
      <c r="A181" s="26" t="s">
        <v>324</v>
      </c>
      <c r="B181" s="42" t="s">
        <v>495</v>
      </c>
      <c r="C181" s="42" t="s">
        <v>316</v>
      </c>
      <c r="D181" s="42" t="s">
        <v>265</v>
      </c>
      <c r="E181" s="42" t="s">
        <v>325</v>
      </c>
      <c r="F181" s="42"/>
      <c r="G181" s="7">
        <f>G182</f>
        <v>3309</v>
      </c>
      <c r="H181" s="7">
        <f t="shared" si="109"/>
        <v>3309</v>
      </c>
      <c r="I181" s="7">
        <f t="shared" si="109"/>
        <v>8601.1</v>
      </c>
      <c r="J181" s="7">
        <f t="shared" si="109"/>
        <v>4500</v>
      </c>
      <c r="K181" s="7">
        <f t="shared" si="109"/>
        <v>2000</v>
      </c>
      <c r="L181" s="7">
        <f t="shared" si="109"/>
        <v>300</v>
      </c>
      <c r="M181" s="7">
        <f t="shared" si="109"/>
        <v>100</v>
      </c>
      <c r="N181" s="7">
        <f t="shared" si="83"/>
        <v>33.33333333333333</v>
      </c>
    </row>
    <row r="182" spans="1:14" ht="15.75">
      <c r="A182" s="26" t="s">
        <v>326</v>
      </c>
      <c r="B182" s="42" t="s">
        <v>495</v>
      </c>
      <c r="C182" s="42" t="s">
        <v>316</v>
      </c>
      <c r="D182" s="42" t="s">
        <v>265</v>
      </c>
      <c r="E182" s="42" t="s">
        <v>327</v>
      </c>
      <c r="F182" s="42"/>
      <c r="G182" s="7">
        <f>'Прил.№4 ведомств.'!G664</f>
        <v>3309</v>
      </c>
      <c r="H182" s="7">
        <f>'Прил.№4 ведомств.'!I664</f>
        <v>3309</v>
      </c>
      <c r="I182" s="7">
        <f>'Прил.№4 ведомств.'!J664</f>
        <v>8601.1</v>
      </c>
      <c r="J182" s="7">
        <f>'Прил.№4 ведомств.'!K664</f>
        <v>4500</v>
      </c>
      <c r="K182" s="7">
        <f>'Прил.№4 ведомств.'!L664</f>
        <v>2000</v>
      </c>
      <c r="L182" s="7">
        <f>'Прил.№4 ведомств.'!M664</f>
        <v>300</v>
      </c>
      <c r="M182" s="7">
        <f>'Прил.№4 ведомств.'!N664</f>
        <v>100</v>
      </c>
      <c r="N182" s="7">
        <f t="shared" si="83"/>
        <v>33.33333333333333</v>
      </c>
    </row>
    <row r="183" spans="1:14" ht="31.5" hidden="1">
      <c r="A183" s="26" t="s">
        <v>332</v>
      </c>
      <c r="B183" s="42" t="s">
        <v>496</v>
      </c>
      <c r="C183" s="42" t="s">
        <v>316</v>
      </c>
      <c r="D183" s="42" t="s">
        <v>265</v>
      </c>
      <c r="E183" s="42"/>
      <c r="F183" s="42"/>
      <c r="G183" s="7">
        <f>G184</f>
        <v>0</v>
      </c>
      <c r="H183" s="7">
        <f aca="true" t="shared" si="110" ref="H183:M184">H184</f>
        <v>0</v>
      </c>
      <c r="I183" s="7">
        <f t="shared" si="110"/>
        <v>1000</v>
      </c>
      <c r="J183" s="7">
        <f t="shared" si="110"/>
        <v>700</v>
      </c>
      <c r="K183" s="7">
        <f t="shared" si="110"/>
        <v>700</v>
      </c>
      <c r="L183" s="7">
        <f t="shared" si="110"/>
        <v>0</v>
      </c>
      <c r="M183" s="7">
        <f t="shared" si="110"/>
        <v>0</v>
      </c>
      <c r="N183" s="7" t="e">
        <f t="shared" si="83"/>
        <v>#DIV/0!</v>
      </c>
    </row>
    <row r="184" spans="1:14" ht="31.5" hidden="1">
      <c r="A184" s="26" t="s">
        <v>324</v>
      </c>
      <c r="B184" s="42" t="s">
        <v>496</v>
      </c>
      <c r="C184" s="42" t="s">
        <v>316</v>
      </c>
      <c r="D184" s="42" t="s">
        <v>265</v>
      </c>
      <c r="E184" s="42" t="s">
        <v>325</v>
      </c>
      <c r="F184" s="42"/>
      <c r="G184" s="7">
        <f>G185</f>
        <v>0</v>
      </c>
      <c r="H184" s="7">
        <f t="shared" si="110"/>
        <v>0</v>
      </c>
      <c r="I184" s="7">
        <f t="shared" si="110"/>
        <v>1000</v>
      </c>
      <c r="J184" s="7">
        <f t="shared" si="110"/>
        <v>700</v>
      </c>
      <c r="K184" s="7">
        <f t="shared" si="110"/>
        <v>700</v>
      </c>
      <c r="L184" s="7">
        <f t="shared" si="110"/>
        <v>0</v>
      </c>
      <c r="M184" s="7">
        <f t="shared" si="110"/>
        <v>0</v>
      </c>
      <c r="N184" s="7" t="e">
        <f t="shared" si="83"/>
        <v>#DIV/0!</v>
      </c>
    </row>
    <row r="185" spans="1:14" ht="15.75" hidden="1">
      <c r="A185" s="26" t="s">
        <v>326</v>
      </c>
      <c r="B185" s="42" t="s">
        <v>496</v>
      </c>
      <c r="C185" s="42" t="s">
        <v>316</v>
      </c>
      <c r="D185" s="42" t="s">
        <v>265</v>
      </c>
      <c r="E185" s="42" t="s">
        <v>327</v>
      </c>
      <c r="F185" s="42"/>
      <c r="G185" s="7">
        <f>'Прил.№4 ведомств.'!G667</f>
        <v>0</v>
      </c>
      <c r="H185" s="7">
        <f>'Прил.№4 ведомств.'!I667</f>
        <v>0</v>
      </c>
      <c r="I185" s="7">
        <f>'Прил.№4 ведомств.'!J667</f>
        <v>1000</v>
      </c>
      <c r="J185" s="7">
        <f>'Прил.№4 ведомств.'!K667</f>
        <v>700</v>
      </c>
      <c r="K185" s="7">
        <f>'Прил.№4 ведомств.'!L667</f>
        <v>700</v>
      </c>
      <c r="L185" s="7">
        <f>'Прил.№4 ведомств.'!M667</f>
        <v>0</v>
      </c>
      <c r="M185" s="7">
        <f>'Прил.№4 ведомств.'!N667</f>
        <v>0</v>
      </c>
      <c r="N185" s="7" t="e">
        <f t="shared" si="83"/>
        <v>#DIV/0!</v>
      </c>
    </row>
    <row r="186" spans="1:14" ht="31.5">
      <c r="A186" s="31" t="s">
        <v>334</v>
      </c>
      <c r="B186" s="42" t="s">
        <v>497</v>
      </c>
      <c r="C186" s="42" t="s">
        <v>316</v>
      </c>
      <c r="D186" s="42" t="s">
        <v>265</v>
      </c>
      <c r="E186" s="42"/>
      <c r="F186" s="42"/>
      <c r="G186" s="11">
        <f>G187</f>
        <v>127</v>
      </c>
      <c r="H186" s="11">
        <f aca="true" t="shared" si="111" ref="H186:M187">H187</f>
        <v>127</v>
      </c>
      <c r="I186" s="11">
        <f t="shared" si="111"/>
        <v>214.8</v>
      </c>
      <c r="J186" s="11">
        <f t="shared" si="111"/>
        <v>214.8</v>
      </c>
      <c r="K186" s="11">
        <f t="shared" si="111"/>
        <v>214.8</v>
      </c>
      <c r="L186" s="11">
        <f t="shared" si="111"/>
        <v>127</v>
      </c>
      <c r="M186" s="11">
        <f t="shared" si="111"/>
        <v>117.7</v>
      </c>
      <c r="N186" s="7">
        <f t="shared" si="83"/>
        <v>92.67716535433071</v>
      </c>
    </row>
    <row r="187" spans="1:14" ht="31.5">
      <c r="A187" s="31" t="s">
        <v>324</v>
      </c>
      <c r="B187" s="42" t="s">
        <v>497</v>
      </c>
      <c r="C187" s="42" t="s">
        <v>316</v>
      </c>
      <c r="D187" s="42" t="s">
        <v>265</v>
      </c>
      <c r="E187" s="42" t="s">
        <v>325</v>
      </c>
      <c r="F187" s="42"/>
      <c r="G187" s="11">
        <f>G188</f>
        <v>127</v>
      </c>
      <c r="H187" s="11">
        <f t="shared" si="111"/>
        <v>127</v>
      </c>
      <c r="I187" s="11">
        <f t="shared" si="111"/>
        <v>214.8</v>
      </c>
      <c r="J187" s="11">
        <f t="shared" si="111"/>
        <v>214.8</v>
      </c>
      <c r="K187" s="11">
        <f t="shared" si="111"/>
        <v>214.8</v>
      </c>
      <c r="L187" s="11">
        <f t="shared" si="111"/>
        <v>127</v>
      </c>
      <c r="M187" s="11">
        <f t="shared" si="111"/>
        <v>117.7</v>
      </c>
      <c r="N187" s="7">
        <f t="shared" si="83"/>
        <v>92.67716535433071</v>
      </c>
    </row>
    <row r="188" spans="1:14" ht="26.25" customHeight="1">
      <c r="A188" s="31" t="s">
        <v>326</v>
      </c>
      <c r="B188" s="42" t="s">
        <v>497</v>
      </c>
      <c r="C188" s="42" t="s">
        <v>316</v>
      </c>
      <c r="D188" s="42" t="s">
        <v>265</v>
      </c>
      <c r="E188" s="42" t="s">
        <v>327</v>
      </c>
      <c r="F188" s="42"/>
      <c r="G188" s="11">
        <f>'Прил.№4 ведомств.'!G670</f>
        <v>127</v>
      </c>
      <c r="H188" s="11">
        <f>'Прил.№4 ведомств.'!I670</f>
        <v>127</v>
      </c>
      <c r="I188" s="11">
        <f>'Прил.№4 ведомств.'!J670</f>
        <v>214.8</v>
      </c>
      <c r="J188" s="11">
        <f>'Прил.№4 ведомств.'!K670</f>
        <v>214.8</v>
      </c>
      <c r="K188" s="11">
        <f>'Прил.№4 ведомств.'!L670</f>
        <v>214.8</v>
      </c>
      <c r="L188" s="11">
        <f>'Прил.№4 ведомств.'!M670</f>
        <v>127</v>
      </c>
      <c r="M188" s="11">
        <f>'Прил.№4 ведомств.'!N670</f>
        <v>117.7</v>
      </c>
      <c r="N188" s="7">
        <f t="shared" si="83"/>
        <v>92.67716535433071</v>
      </c>
    </row>
    <row r="189" spans="1:14" ht="31.5" hidden="1">
      <c r="A189" s="31" t="s">
        <v>336</v>
      </c>
      <c r="B189" s="42" t="s">
        <v>498</v>
      </c>
      <c r="C189" s="42" t="s">
        <v>316</v>
      </c>
      <c r="D189" s="42" t="s">
        <v>265</v>
      </c>
      <c r="E189" s="42"/>
      <c r="F189" s="42"/>
      <c r="G189" s="11">
        <f>G190</f>
        <v>229.4</v>
      </c>
      <c r="H189" s="11">
        <f aca="true" t="shared" si="112" ref="H189:M190">H190</f>
        <v>229.4</v>
      </c>
      <c r="I189" s="11">
        <f t="shared" si="112"/>
        <v>750</v>
      </c>
      <c r="J189" s="11">
        <f t="shared" si="112"/>
        <v>250</v>
      </c>
      <c r="K189" s="11">
        <f t="shared" si="112"/>
        <v>250</v>
      </c>
      <c r="L189" s="11">
        <f t="shared" si="112"/>
        <v>0</v>
      </c>
      <c r="M189" s="11">
        <f t="shared" si="112"/>
        <v>0</v>
      </c>
      <c r="N189" s="7" t="e">
        <f t="shared" si="83"/>
        <v>#DIV/0!</v>
      </c>
    </row>
    <row r="190" spans="1:14" ht="31.5" hidden="1">
      <c r="A190" s="31" t="s">
        <v>324</v>
      </c>
      <c r="B190" s="42" t="s">
        <v>498</v>
      </c>
      <c r="C190" s="42" t="s">
        <v>316</v>
      </c>
      <c r="D190" s="42" t="s">
        <v>265</v>
      </c>
      <c r="E190" s="42" t="s">
        <v>325</v>
      </c>
      <c r="F190" s="42"/>
      <c r="G190" s="11">
        <f>G191</f>
        <v>229.4</v>
      </c>
      <c r="H190" s="11">
        <f t="shared" si="112"/>
        <v>229.4</v>
      </c>
      <c r="I190" s="11">
        <f t="shared" si="112"/>
        <v>750</v>
      </c>
      <c r="J190" s="11">
        <f t="shared" si="112"/>
        <v>250</v>
      </c>
      <c r="K190" s="11">
        <f t="shared" si="112"/>
        <v>250</v>
      </c>
      <c r="L190" s="11">
        <f t="shared" si="112"/>
        <v>0</v>
      </c>
      <c r="M190" s="11">
        <f t="shared" si="112"/>
        <v>0</v>
      </c>
      <c r="N190" s="7" t="e">
        <f t="shared" si="83"/>
        <v>#DIV/0!</v>
      </c>
    </row>
    <row r="191" spans="1:14" ht="26.25" customHeight="1" hidden="1">
      <c r="A191" s="31" t="s">
        <v>326</v>
      </c>
      <c r="B191" s="42" t="s">
        <v>498</v>
      </c>
      <c r="C191" s="42" t="s">
        <v>316</v>
      </c>
      <c r="D191" s="42" t="s">
        <v>265</v>
      </c>
      <c r="E191" s="42" t="s">
        <v>327</v>
      </c>
      <c r="F191" s="42"/>
      <c r="G191" s="11">
        <f>'Прил.№4 ведомств.'!G673</f>
        <v>229.4</v>
      </c>
      <c r="H191" s="11">
        <f>'Прил.№4 ведомств.'!I673</f>
        <v>229.4</v>
      </c>
      <c r="I191" s="11">
        <f>'Прил.№4 ведомств.'!J673</f>
        <v>750</v>
      </c>
      <c r="J191" s="11">
        <f>'Прил.№4 ведомств.'!K673</f>
        <v>250</v>
      </c>
      <c r="K191" s="11">
        <f>'Прил.№4 ведомств.'!L673</f>
        <v>250</v>
      </c>
      <c r="L191" s="11">
        <f>'Прил.№4 ведомств.'!M673</f>
        <v>0</v>
      </c>
      <c r="M191" s="11">
        <f>'Прил.№4 ведомств.'!N673</f>
        <v>0</v>
      </c>
      <c r="N191" s="7" t="e">
        <f t="shared" si="83"/>
        <v>#DIV/0!</v>
      </c>
    </row>
    <row r="192" spans="1:14" ht="51.75" customHeight="1">
      <c r="A192" s="70" t="s">
        <v>865</v>
      </c>
      <c r="B192" s="42" t="s">
        <v>867</v>
      </c>
      <c r="C192" s="42" t="s">
        <v>316</v>
      </c>
      <c r="D192" s="42" t="s">
        <v>265</v>
      </c>
      <c r="E192" s="42"/>
      <c r="F192" s="42"/>
      <c r="G192" s="11">
        <f>G193</f>
        <v>0</v>
      </c>
      <c r="H192" s="11">
        <f aca="true" t="shared" si="113" ref="H192:M193">H193</f>
        <v>0</v>
      </c>
      <c r="I192" s="11">
        <f t="shared" si="113"/>
        <v>2794</v>
      </c>
      <c r="J192" s="11">
        <f t="shared" si="113"/>
        <v>2794</v>
      </c>
      <c r="K192" s="11">
        <f t="shared" si="113"/>
        <v>2794</v>
      </c>
      <c r="L192" s="11">
        <f t="shared" si="113"/>
        <v>2794</v>
      </c>
      <c r="M192" s="11">
        <f t="shared" si="113"/>
        <v>2794</v>
      </c>
      <c r="N192" s="7">
        <f t="shared" si="83"/>
        <v>100</v>
      </c>
    </row>
    <row r="193" spans="1:14" ht="65.25" customHeight="1">
      <c r="A193" s="31" t="s">
        <v>324</v>
      </c>
      <c r="B193" s="42" t="s">
        <v>867</v>
      </c>
      <c r="C193" s="42" t="s">
        <v>316</v>
      </c>
      <c r="D193" s="42" t="s">
        <v>265</v>
      </c>
      <c r="E193" s="42" t="s">
        <v>325</v>
      </c>
      <c r="F193" s="42"/>
      <c r="G193" s="11">
        <f>G194</f>
        <v>0</v>
      </c>
      <c r="H193" s="11">
        <f t="shared" si="113"/>
        <v>0</v>
      </c>
      <c r="I193" s="11">
        <f t="shared" si="113"/>
        <v>2794</v>
      </c>
      <c r="J193" s="11">
        <f t="shared" si="113"/>
        <v>2794</v>
      </c>
      <c r="K193" s="11">
        <f t="shared" si="113"/>
        <v>2794</v>
      </c>
      <c r="L193" s="11">
        <f t="shared" si="113"/>
        <v>2794</v>
      </c>
      <c r="M193" s="11">
        <f t="shared" si="113"/>
        <v>2794</v>
      </c>
      <c r="N193" s="7">
        <f t="shared" si="83"/>
        <v>100</v>
      </c>
    </row>
    <row r="194" spans="1:14" ht="26.25" customHeight="1">
      <c r="A194" s="256" t="s">
        <v>326</v>
      </c>
      <c r="B194" s="42" t="s">
        <v>867</v>
      </c>
      <c r="C194" s="42" t="s">
        <v>316</v>
      </c>
      <c r="D194" s="42" t="s">
        <v>265</v>
      </c>
      <c r="E194" s="42" t="s">
        <v>327</v>
      </c>
      <c r="F194" s="42"/>
      <c r="G194" s="11">
        <f>'Прил.№4 ведомств.'!G676</f>
        <v>0</v>
      </c>
      <c r="H194" s="11">
        <f>'Прил.№4 ведомств.'!I676</f>
        <v>0</v>
      </c>
      <c r="I194" s="11">
        <f>'Прил.№4 ведомств.'!J676</f>
        <v>2794</v>
      </c>
      <c r="J194" s="11">
        <f>'Прил.№4 ведомств.'!K676</f>
        <v>2794</v>
      </c>
      <c r="K194" s="11">
        <f>'Прил.№4 ведомств.'!L676</f>
        <v>2794</v>
      </c>
      <c r="L194" s="11">
        <f>'Прил.№4 ведомств.'!M676</f>
        <v>2794</v>
      </c>
      <c r="M194" s="11">
        <f>'Прил.№4 ведомств.'!N676</f>
        <v>2794</v>
      </c>
      <c r="N194" s="7">
        <f t="shared" si="83"/>
        <v>100</v>
      </c>
    </row>
    <row r="195" spans="1:14" ht="31.5">
      <c r="A195" s="31" t="s">
        <v>456</v>
      </c>
      <c r="B195" s="42" t="s">
        <v>484</v>
      </c>
      <c r="C195" s="42" t="s">
        <v>316</v>
      </c>
      <c r="D195" s="42" t="s">
        <v>265</v>
      </c>
      <c r="E195" s="42"/>
      <c r="F195" s="42" t="s">
        <v>714</v>
      </c>
      <c r="G195" s="11">
        <f>G148</f>
        <v>6675.4</v>
      </c>
      <c r="H195" s="11">
        <f aca="true" t="shared" si="114" ref="H195:L195">H148</f>
        <v>6675.366666666666</v>
      </c>
      <c r="I195" s="11">
        <f t="shared" si="114"/>
        <v>16647.800000000003</v>
      </c>
      <c r="J195" s="11">
        <f t="shared" si="114"/>
        <v>11746.7</v>
      </c>
      <c r="K195" s="11">
        <f t="shared" si="114"/>
        <v>9246.7</v>
      </c>
      <c r="L195" s="11">
        <f t="shared" si="114"/>
        <v>6829.9</v>
      </c>
      <c r="M195" s="11">
        <f aca="true" t="shared" si="115" ref="M195">M148</f>
        <v>4946.5</v>
      </c>
      <c r="N195" s="7">
        <f t="shared" si="83"/>
        <v>72.42419361923308</v>
      </c>
    </row>
    <row r="196" spans="1:14" ht="31.5" hidden="1">
      <c r="A196" s="31" t="s">
        <v>336</v>
      </c>
      <c r="B196" s="42" t="s">
        <v>668</v>
      </c>
      <c r="C196" s="42" t="s">
        <v>316</v>
      </c>
      <c r="D196" s="42" t="s">
        <v>265</v>
      </c>
      <c r="E196" s="42"/>
      <c r="F196" s="42"/>
      <c r="G196" s="11">
        <f>G197</f>
        <v>0</v>
      </c>
      <c r="H196" s="11">
        <f aca="true" t="shared" si="116" ref="H196:M197">H197</f>
        <v>0</v>
      </c>
      <c r="I196" s="11">
        <f t="shared" si="116"/>
        <v>0</v>
      </c>
      <c r="J196" s="11">
        <f t="shared" si="116"/>
        <v>0</v>
      </c>
      <c r="K196" s="11">
        <f t="shared" si="116"/>
        <v>0</v>
      </c>
      <c r="L196" s="11">
        <f t="shared" si="116"/>
        <v>0</v>
      </c>
      <c r="M196" s="11">
        <f t="shared" si="116"/>
        <v>0</v>
      </c>
      <c r="N196" s="4" t="e">
        <f t="shared" si="83"/>
        <v>#DIV/0!</v>
      </c>
    </row>
    <row r="197" spans="1:14" ht="31.5" hidden="1">
      <c r="A197" s="31" t="s">
        <v>324</v>
      </c>
      <c r="B197" s="42" t="s">
        <v>668</v>
      </c>
      <c r="C197" s="42" t="s">
        <v>316</v>
      </c>
      <c r="D197" s="42" t="s">
        <v>265</v>
      </c>
      <c r="E197" s="42" t="s">
        <v>325</v>
      </c>
      <c r="F197" s="42"/>
      <c r="G197" s="11">
        <f>G198</f>
        <v>0</v>
      </c>
      <c r="H197" s="11">
        <f t="shared" si="116"/>
        <v>0</v>
      </c>
      <c r="I197" s="11">
        <f t="shared" si="116"/>
        <v>0</v>
      </c>
      <c r="J197" s="11">
        <f t="shared" si="116"/>
        <v>0</v>
      </c>
      <c r="K197" s="11">
        <f t="shared" si="116"/>
        <v>0</v>
      </c>
      <c r="L197" s="11">
        <f t="shared" si="116"/>
        <v>0</v>
      </c>
      <c r="M197" s="11">
        <f t="shared" si="116"/>
        <v>0</v>
      </c>
      <c r="N197" s="4" t="e">
        <f t="shared" si="83"/>
        <v>#DIV/0!</v>
      </c>
    </row>
    <row r="198" spans="1:14" ht="15.75" hidden="1">
      <c r="A198" s="31" t="s">
        <v>326</v>
      </c>
      <c r="B198" s="42" t="s">
        <v>668</v>
      </c>
      <c r="C198" s="42" t="s">
        <v>316</v>
      </c>
      <c r="D198" s="42" t="s">
        <v>265</v>
      </c>
      <c r="E198" s="42" t="s">
        <v>327</v>
      </c>
      <c r="F198" s="42"/>
      <c r="G198" s="11"/>
      <c r="H198" s="11"/>
      <c r="I198" s="11"/>
      <c r="J198" s="11"/>
      <c r="K198" s="11"/>
      <c r="L198" s="11"/>
      <c r="M198" s="11"/>
      <c r="N198" s="4" t="e">
        <f t="shared" si="83"/>
        <v>#DIV/0!</v>
      </c>
    </row>
    <row r="199" spans="1:14" ht="31.5" hidden="1">
      <c r="A199" s="31" t="s">
        <v>456</v>
      </c>
      <c r="B199" s="42" t="s">
        <v>668</v>
      </c>
      <c r="C199" s="42" t="s">
        <v>316</v>
      </c>
      <c r="D199" s="42" t="s">
        <v>265</v>
      </c>
      <c r="E199" s="42"/>
      <c r="F199" s="42" t="s">
        <v>714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4" t="e">
        <f t="shared" si="83"/>
        <v>#DIV/0!</v>
      </c>
    </row>
    <row r="200" spans="1:14" ht="31.5" hidden="1">
      <c r="A200" s="31" t="s">
        <v>715</v>
      </c>
      <c r="B200" s="42" t="s">
        <v>669</v>
      </c>
      <c r="C200" s="42" t="s">
        <v>316</v>
      </c>
      <c r="D200" s="42" t="s">
        <v>265</v>
      </c>
      <c r="E200" s="42"/>
      <c r="F200" s="42"/>
      <c r="G200" s="11">
        <f>G201</f>
        <v>0</v>
      </c>
      <c r="H200" s="11">
        <f aca="true" t="shared" si="117" ref="H200:M201">H201</f>
        <v>0</v>
      </c>
      <c r="I200" s="11">
        <f t="shared" si="117"/>
        <v>0</v>
      </c>
      <c r="J200" s="11">
        <f t="shared" si="117"/>
        <v>0</v>
      </c>
      <c r="K200" s="11">
        <f t="shared" si="117"/>
        <v>0</v>
      </c>
      <c r="L200" s="11">
        <f t="shared" si="117"/>
        <v>0</v>
      </c>
      <c r="M200" s="11">
        <f t="shared" si="117"/>
        <v>0</v>
      </c>
      <c r="N200" s="4" t="e">
        <f t="shared" si="83"/>
        <v>#DIV/0!</v>
      </c>
    </row>
    <row r="201" spans="1:14" ht="31.5" hidden="1">
      <c r="A201" s="31" t="s">
        <v>324</v>
      </c>
      <c r="B201" s="42" t="s">
        <v>669</v>
      </c>
      <c r="C201" s="42" t="s">
        <v>316</v>
      </c>
      <c r="D201" s="42" t="s">
        <v>265</v>
      </c>
      <c r="E201" s="42" t="s">
        <v>325</v>
      </c>
      <c r="F201" s="42"/>
      <c r="G201" s="11">
        <f>G202</f>
        <v>0</v>
      </c>
      <c r="H201" s="11">
        <f t="shared" si="117"/>
        <v>0</v>
      </c>
      <c r="I201" s="11">
        <f t="shared" si="117"/>
        <v>0</v>
      </c>
      <c r="J201" s="11">
        <f t="shared" si="117"/>
        <v>0</v>
      </c>
      <c r="K201" s="11">
        <f t="shared" si="117"/>
        <v>0</v>
      </c>
      <c r="L201" s="11">
        <f t="shared" si="117"/>
        <v>0</v>
      </c>
      <c r="M201" s="11">
        <f t="shared" si="117"/>
        <v>0</v>
      </c>
      <c r="N201" s="4" t="e">
        <f t="shared" si="83"/>
        <v>#DIV/0!</v>
      </c>
    </row>
    <row r="202" spans="1:14" ht="15.75" hidden="1">
      <c r="A202" s="31" t="s">
        <v>326</v>
      </c>
      <c r="B202" s="42" t="s">
        <v>669</v>
      </c>
      <c r="C202" s="42" t="s">
        <v>316</v>
      </c>
      <c r="D202" s="42" t="s">
        <v>265</v>
      </c>
      <c r="E202" s="42" t="s">
        <v>327</v>
      </c>
      <c r="F202" s="42"/>
      <c r="G202" s="11"/>
      <c r="H202" s="11"/>
      <c r="I202" s="11"/>
      <c r="J202" s="11"/>
      <c r="K202" s="11"/>
      <c r="L202" s="11"/>
      <c r="M202" s="11"/>
      <c r="N202" s="4" t="e">
        <f t="shared" si="83"/>
        <v>#DIV/0!</v>
      </c>
    </row>
    <row r="203" spans="1:14" ht="31.5" hidden="1">
      <c r="A203" s="31" t="s">
        <v>456</v>
      </c>
      <c r="B203" s="42" t="s">
        <v>669</v>
      </c>
      <c r="C203" s="42" t="s">
        <v>316</v>
      </c>
      <c r="D203" s="42" t="s">
        <v>265</v>
      </c>
      <c r="E203" s="42"/>
      <c r="F203" s="42" t="s">
        <v>714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4" t="e">
        <f t="shared" si="83"/>
        <v>#DIV/0!</v>
      </c>
    </row>
    <row r="204" spans="1:14" ht="45.75" customHeight="1">
      <c r="A204" s="43" t="s">
        <v>499</v>
      </c>
      <c r="B204" s="8" t="s">
        <v>500</v>
      </c>
      <c r="C204" s="8"/>
      <c r="D204" s="8"/>
      <c r="E204" s="8"/>
      <c r="F204" s="8"/>
      <c r="G204" s="68" t="e">
        <f>G205</f>
        <v>#REF!</v>
      </c>
      <c r="H204" s="68" t="e">
        <f aca="true" t="shared" si="118" ref="H204:M207">H205</f>
        <v>#REF!</v>
      </c>
      <c r="I204" s="68" t="e">
        <f t="shared" si="118"/>
        <v>#REF!</v>
      </c>
      <c r="J204" s="68" t="e">
        <f t="shared" si="118"/>
        <v>#REF!</v>
      </c>
      <c r="K204" s="68" t="e">
        <f t="shared" si="118"/>
        <v>#REF!</v>
      </c>
      <c r="L204" s="68">
        <f t="shared" si="118"/>
        <v>753.1</v>
      </c>
      <c r="M204" s="68">
        <f t="shared" si="118"/>
        <v>753.1</v>
      </c>
      <c r="N204" s="4">
        <f aca="true" t="shared" si="119" ref="N204:N267">M204/L204*100</f>
        <v>100</v>
      </c>
    </row>
    <row r="205" spans="1:14" ht="21" customHeight="1">
      <c r="A205" s="31" t="s">
        <v>315</v>
      </c>
      <c r="B205" s="42" t="s">
        <v>500</v>
      </c>
      <c r="C205" s="42" t="s">
        <v>316</v>
      </c>
      <c r="D205" s="42"/>
      <c r="E205" s="42"/>
      <c r="F205" s="42"/>
      <c r="G205" s="11" t="e">
        <f>G206</f>
        <v>#REF!</v>
      </c>
      <c r="H205" s="11" t="e">
        <f t="shared" si="118"/>
        <v>#REF!</v>
      </c>
      <c r="I205" s="11" t="e">
        <f t="shared" si="118"/>
        <v>#REF!</v>
      </c>
      <c r="J205" s="11" t="e">
        <f t="shared" si="118"/>
        <v>#REF!</v>
      </c>
      <c r="K205" s="11" t="e">
        <f t="shared" si="118"/>
        <v>#REF!</v>
      </c>
      <c r="L205" s="11">
        <f t="shared" si="118"/>
        <v>753.1</v>
      </c>
      <c r="M205" s="11">
        <f t="shared" si="118"/>
        <v>753.1</v>
      </c>
      <c r="N205" s="7">
        <f t="shared" si="119"/>
        <v>100</v>
      </c>
    </row>
    <row r="206" spans="1:14" ht="22.5" customHeight="1">
      <c r="A206" s="31" t="s">
        <v>317</v>
      </c>
      <c r="B206" s="42" t="s">
        <v>500</v>
      </c>
      <c r="C206" s="42" t="s">
        <v>316</v>
      </c>
      <c r="D206" s="42" t="s">
        <v>267</v>
      </c>
      <c r="E206" s="42"/>
      <c r="F206" s="42"/>
      <c r="G206" s="11" t="e">
        <f>#REF!</f>
        <v>#REF!</v>
      </c>
      <c r="H206" s="11" t="e">
        <f>#REF!</f>
        <v>#REF!</v>
      </c>
      <c r="I206" s="11" t="e">
        <f>#REF!</f>
        <v>#REF!</v>
      </c>
      <c r="J206" s="11" t="e">
        <f>#REF!</f>
        <v>#REF!</v>
      </c>
      <c r="K206" s="11" t="e">
        <f>#REF!</f>
        <v>#REF!</v>
      </c>
      <c r="L206" s="11">
        <f>L209</f>
        <v>753.1</v>
      </c>
      <c r="M206" s="11">
        <f>M209</f>
        <v>753.1</v>
      </c>
      <c r="N206" s="7">
        <f t="shared" si="119"/>
        <v>100</v>
      </c>
    </row>
    <row r="207" spans="1:14" ht="31.5" hidden="1">
      <c r="A207" s="31" t="s">
        <v>324</v>
      </c>
      <c r="B207" s="21" t="s">
        <v>796</v>
      </c>
      <c r="C207" s="42" t="s">
        <v>316</v>
      </c>
      <c r="D207" s="42" t="s">
        <v>267</v>
      </c>
      <c r="E207" s="42" t="s">
        <v>325</v>
      </c>
      <c r="F207" s="42"/>
      <c r="G207" s="11">
        <f>G208</f>
        <v>355.9</v>
      </c>
      <c r="H207" s="11">
        <f t="shared" si="118"/>
        <v>355.9</v>
      </c>
      <c r="I207" s="11">
        <f t="shared" si="118"/>
        <v>0</v>
      </c>
      <c r="J207" s="11">
        <f t="shared" si="118"/>
        <v>0</v>
      </c>
      <c r="K207" s="11">
        <f t="shared" si="118"/>
        <v>0</v>
      </c>
      <c r="L207" s="11">
        <f t="shared" si="118"/>
        <v>0</v>
      </c>
      <c r="M207" s="11">
        <f t="shared" si="118"/>
        <v>0</v>
      </c>
      <c r="N207" s="7" t="e">
        <f t="shared" si="119"/>
        <v>#DIV/0!</v>
      </c>
    </row>
    <row r="208" spans="1:14" ht="15.75" hidden="1">
      <c r="A208" s="31" t="s">
        <v>326</v>
      </c>
      <c r="B208" s="21" t="s">
        <v>796</v>
      </c>
      <c r="C208" s="42" t="s">
        <v>316</v>
      </c>
      <c r="D208" s="42" t="s">
        <v>267</v>
      </c>
      <c r="E208" s="42" t="s">
        <v>327</v>
      </c>
      <c r="F208" s="42"/>
      <c r="G208" s="11">
        <f>'Прил.№4 ведомств.'!G718</f>
        <v>355.9</v>
      </c>
      <c r="H208" s="11">
        <f>'Прил.№4 ведомств.'!I718</f>
        <v>355.9</v>
      </c>
      <c r="I208" s="11">
        <f>'Прил.№4 ведомств.'!J718</f>
        <v>0</v>
      </c>
      <c r="J208" s="11">
        <f>'Прил.№4 ведомств.'!K718</f>
        <v>0</v>
      </c>
      <c r="K208" s="11">
        <f>'Прил.№4 ведомств.'!L718</f>
        <v>0</v>
      </c>
      <c r="L208" s="11">
        <f>'Прил.№4 ведомств.'!M718</f>
        <v>0</v>
      </c>
      <c r="M208" s="11">
        <f>'Прил.№4 ведомств.'!N718</f>
        <v>0</v>
      </c>
      <c r="N208" s="7" t="e">
        <f t="shared" si="119"/>
        <v>#DIV/0!</v>
      </c>
    </row>
    <row r="209" spans="1:14" ht="31.5">
      <c r="A209" s="47" t="s">
        <v>865</v>
      </c>
      <c r="B209" s="21" t="s">
        <v>866</v>
      </c>
      <c r="C209" s="21" t="s">
        <v>316</v>
      </c>
      <c r="D209" s="21" t="s">
        <v>267</v>
      </c>
      <c r="E209" s="21"/>
      <c r="F209" s="21"/>
      <c r="G209" s="11">
        <f>G210</f>
        <v>0</v>
      </c>
      <c r="H209" s="11">
        <f aca="true" t="shared" si="120" ref="H209:M210">H210</f>
        <v>0</v>
      </c>
      <c r="I209" s="11">
        <f t="shared" si="120"/>
        <v>753.1</v>
      </c>
      <c r="J209" s="11">
        <f t="shared" si="120"/>
        <v>753.1</v>
      </c>
      <c r="K209" s="11">
        <f t="shared" si="120"/>
        <v>753.1</v>
      </c>
      <c r="L209" s="11">
        <f t="shared" si="120"/>
        <v>753.1</v>
      </c>
      <c r="M209" s="11">
        <f t="shared" si="120"/>
        <v>753.1</v>
      </c>
      <c r="N209" s="7">
        <f t="shared" si="119"/>
        <v>100</v>
      </c>
    </row>
    <row r="210" spans="1:14" ht="31.5">
      <c r="A210" s="31" t="s">
        <v>324</v>
      </c>
      <c r="B210" s="21" t="s">
        <v>866</v>
      </c>
      <c r="C210" s="21" t="s">
        <v>316</v>
      </c>
      <c r="D210" s="21" t="s">
        <v>267</v>
      </c>
      <c r="E210" s="21" t="s">
        <v>325</v>
      </c>
      <c r="F210" s="21"/>
      <c r="G210" s="11">
        <f>G211</f>
        <v>0</v>
      </c>
      <c r="H210" s="11">
        <f t="shared" si="120"/>
        <v>0</v>
      </c>
      <c r="I210" s="11">
        <f t="shared" si="120"/>
        <v>753.1</v>
      </c>
      <c r="J210" s="11">
        <f t="shared" si="120"/>
        <v>753.1</v>
      </c>
      <c r="K210" s="11">
        <f t="shared" si="120"/>
        <v>753.1</v>
      </c>
      <c r="L210" s="11">
        <f t="shared" si="120"/>
        <v>753.1</v>
      </c>
      <c r="M210" s="11">
        <f t="shared" si="120"/>
        <v>753.1</v>
      </c>
      <c r="N210" s="7">
        <f t="shared" si="119"/>
        <v>100</v>
      </c>
    </row>
    <row r="211" spans="1:14" ht="15.75">
      <c r="A211" s="33" t="s">
        <v>326</v>
      </c>
      <c r="B211" s="21" t="s">
        <v>866</v>
      </c>
      <c r="C211" s="21" t="s">
        <v>316</v>
      </c>
      <c r="D211" s="21" t="s">
        <v>267</v>
      </c>
      <c r="E211" s="21" t="s">
        <v>327</v>
      </c>
      <c r="F211" s="21"/>
      <c r="G211" s="11">
        <f>'Прил.№4 ведомств.'!G721</f>
        <v>0</v>
      </c>
      <c r="H211" s="11">
        <f>'Прил.№4 ведомств.'!I721</f>
        <v>0</v>
      </c>
      <c r="I211" s="11">
        <f>'Прил.№4 ведомств.'!J721</f>
        <v>753.1</v>
      </c>
      <c r="J211" s="11">
        <f>'Прил.№4 ведомств.'!K721</f>
        <v>753.1</v>
      </c>
      <c r="K211" s="11">
        <f>'Прил.№4 ведомств.'!L721</f>
        <v>753.1</v>
      </c>
      <c r="L211" s="11">
        <f>'Прил.№4 ведомств.'!M721</f>
        <v>753.1</v>
      </c>
      <c r="M211" s="11">
        <f>'Прил.№4 ведомств.'!N721</f>
        <v>753.1</v>
      </c>
      <c r="N211" s="7">
        <f t="shared" si="119"/>
        <v>100</v>
      </c>
    </row>
    <row r="212" spans="1:14" ht="31.5">
      <c r="A212" s="31" t="s">
        <v>456</v>
      </c>
      <c r="B212" s="21" t="s">
        <v>500</v>
      </c>
      <c r="C212" s="42" t="s">
        <v>316</v>
      </c>
      <c r="D212" s="42" t="s">
        <v>267</v>
      </c>
      <c r="E212" s="42"/>
      <c r="F212" s="42" t="s">
        <v>714</v>
      </c>
      <c r="G212" s="11" t="e">
        <f aca="true" t="shared" si="121" ref="G212:L212">G205</f>
        <v>#REF!</v>
      </c>
      <c r="H212" s="11" t="e">
        <f t="shared" si="121"/>
        <v>#REF!</v>
      </c>
      <c r="I212" s="11" t="e">
        <f t="shared" si="121"/>
        <v>#REF!</v>
      </c>
      <c r="J212" s="11" t="e">
        <f t="shared" si="121"/>
        <v>#REF!</v>
      </c>
      <c r="K212" s="11" t="e">
        <f t="shared" si="121"/>
        <v>#REF!</v>
      </c>
      <c r="L212" s="11">
        <f t="shared" si="121"/>
        <v>753.1</v>
      </c>
      <c r="M212" s="11">
        <f aca="true" t="shared" si="122" ref="M212">M205</f>
        <v>753.1</v>
      </c>
      <c r="N212" s="7">
        <f t="shared" si="119"/>
        <v>100</v>
      </c>
    </row>
    <row r="213" spans="1:14" ht="31.5" hidden="1">
      <c r="A213" s="31" t="s">
        <v>716</v>
      </c>
      <c r="B213" s="42" t="s">
        <v>670</v>
      </c>
      <c r="C213" s="42" t="s">
        <v>316</v>
      </c>
      <c r="D213" s="42" t="s">
        <v>265</v>
      </c>
      <c r="E213" s="42"/>
      <c r="F213" s="42"/>
      <c r="G213" s="11">
        <f>G217</f>
        <v>0</v>
      </c>
      <c r="H213" s="11">
        <f aca="true" t="shared" si="123" ref="H213:L213">H217</f>
        <v>0</v>
      </c>
      <c r="I213" s="11">
        <f t="shared" si="123"/>
        <v>0</v>
      </c>
      <c r="J213" s="11">
        <f t="shared" si="123"/>
        <v>0</v>
      </c>
      <c r="K213" s="11">
        <f t="shared" si="123"/>
        <v>0</v>
      </c>
      <c r="L213" s="11">
        <f t="shared" si="123"/>
        <v>0</v>
      </c>
      <c r="M213" s="11">
        <f aca="true" t="shared" si="124" ref="M213">M217</f>
        <v>0</v>
      </c>
      <c r="N213" s="4" t="e">
        <f t="shared" si="119"/>
        <v>#DIV/0!</v>
      </c>
    </row>
    <row r="214" spans="1:14" ht="31.5" hidden="1">
      <c r="A214" s="31" t="s">
        <v>324</v>
      </c>
      <c r="B214" s="42" t="s">
        <v>670</v>
      </c>
      <c r="C214" s="42" t="s">
        <v>521</v>
      </c>
      <c r="D214" s="42" t="s">
        <v>717</v>
      </c>
      <c r="E214" s="42" t="s">
        <v>325</v>
      </c>
      <c r="F214" s="42"/>
      <c r="G214" s="11">
        <f>G215</f>
        <v>0</v>
      </c>
      <c r="H214" s="11">
        <f aca="true" t="shared" si="125" ref="H214:M216">H215</f>
        <v>0</v>
      </c>
      <c r="I214" s="11">
        <f t="shared" si="125"/>
        <v>0</v>
      </c>
      <c r="J214" s="11">
        <f t="shared" si="125"/>
        <v>0</v>
      </c>
      <c r="K214" s="11">
        <f t="shared" si="125"/>
        <v>0</v>
      </c>
      <c r="L214" s="11">
        <f t="shared" si="125"/>
        <v>0</v>
      </c>
      <c r="M214" s="11">
        <f t="shared" si="125"/>
        <v>0</v>
      </c>
      <c r="N214" s="4" t="e">
        <f t="shared" si="119"/>
        <v>#DIV/0!</v>
      </c>
    </row>
    <row r="215" spans="1:14" ht="15.75" hidden="1">
      <c r="A215" s="31" t="s">
        <v>326</v>
      </c>
      <c r="B215" s="42" t="s">
        <v>670</v>
      </c>
      <c r="C215" s="42" t="s">
        <v>521</v>
      </c>
      <c r="D215" s="42" t="s">
        <v>717</v>
      </c>
      <c r="E215" s="42" t="s">
        <v>327</v>
      </c>
      <c r="F215" s="42"/>
      <c r="G215" s="11">
        <f>G216</f>
        <v>0</v>
      </c>
      <c r="H215" s="11">
        <f t="shared" si="125"/>
        <v>0</v>
      </c>
      <c r="I215" s="11">
        <f t="shared" si="125"/>
        <v>0</v>
      </c>
      <c r="J215" s="11">
        <f t="shared" si="125"/>
        <v>0</v>
      </c>
      <c r="K215" s="11">
        <f t="shared" si="125"/>
        <v>0</v>
      </c>
      <c r="L215" s="11">
        <f t="shared" si="125"/>
        <v>0</v>
      </c>
      <c r="M215" s="11">
        <f t="shared" si="125"/>
        <v>0</v>
      </c>
      <c r="N215" s="4" t="e">
        <f t="shared" si="119"/>
        <v>#DIV/0!</v>
      </c>
    </row>
    <row r="216" spans="1:14" ht="15.75" hidden="1">
      <c r="A216" s="31" t="s">
        <v>661</v>
      </c>
      <c r="B216" s="42" t="s">
        <v>670</v>
      </c>
      <c r="C216" s="42" t="s">
        <v>521</v>
      </c>
      <c r="D216" s="42" t="s">
        <v>717</v>
      </c>
      <c r="E216" s="42" t="s">
        <v>662</v>
      </c>
      <c r="F216" s="42"/>
      <c r="G216" s="11">
        <f>G217</f>
        <v>0</v>
      </c>
      <c r="H216" s="11">
        <f t="shared" si="125"/>
        <v>0</v>
      </c>
      <c r="I216" s="11">
        <f t="shared" si="125"/>
        <v>0</v>
      </c>
      <c r="J216" s="11">
        <f t="shared" si="125"/>
        <v>0</v>
      </c>
      <c r="K216" s="11">
        <f t="shared" si="125"/>
        <v>0</v>
      </c>
      <c r="L216" s="11">
        <f t="shared" si="125"/>
        <v>0</v>
      </c>
      <c r="M216" s="11">
        <f t="shared" si="125"/>
        <v>0</v>
      </c>
      <c r="N216" s="4" t="e">
        <f t="shared" si="119"/>
        <v>#DIV/0!</v>
      </c>
    </row>
    <row r="217" spans="1:14" ht="31.5" hidden="1">
      <c r="A217" s="31" t="s">
        <v>456</v>
      </c>
      <c r="B217" s="42" t="s">
        <v>670</v>
      </c>
      <c r="C217" s="42" t="s">
        <v>316</v>
      </c>
      <c r="D217" s="42" t="s">
        <v>265</v>
      </c>
      <c r="E217" s="42"/>
      <c r="F217" s="42" t="s">
        <v>714</v>
      </c>
      <c r="G217" s="11"/>
      <c r="H217" s="11"/>
      <c r="I217" s="11"/>
      <c r="J217" s="11"/>
      <c r="K217" s="11"/>
      <c r="L217" s="11"/>
      <c r="M217" s="11"/>
      <c r="N217" s="4" t="e">
        <f t="shared" si="119"/>
        <v>#DIV/0!</v>
      </c>
    </row>
    <row r="218" spans="1:14" ht="31.5" hidden="1">
      <c r="A218" s="31" t="s">
        <v>718</v>
      </c>
      <c r="B218" s="21" t="s">
        <v>501</v>
      </c>
      <c r="C218" s="42" t="s">
        <v>316</v>
      </c>
      <c r="D218" s="42" t="s">
        <v>265</v>
      </c>
      <c r="E218" s="42"/>
      <c r="F218" s="42"/>
      <c r="G218" s="11">
        <f>G219</f>
        <v>0</v>
      </c>
      <c r="H218" s="11">
        <f aca="true" t="shared" si="126" ref="H218:M219">H219</f>
        <v>0</v>
      </c>
      <c r="I218" s="11">
        <f t="shared" si="126"/>
        <v>0</v>
      </c>
      <c r="J218" s="11">
        <f t="shared" si="126"/>
        <v>0</v>
      </c>
      <c r="K218" s="11">
        <f t="shared" si="126"/>
        <v>0</v>
      </c>
      <c r="L218" s="11">
        <f t="shared" si="126"/>
        <v>0</v>
      </c>
      <c r="M218" s="11">
        <f t="shared" si="126"/>
        <v>0</v>
      </c>
      <c r="N218" s="4" t="e">
        <f t="shared" si="119"/>
        <v>#DIV/0!</v>
      </c>
    </row>
    <row r="219" spans="1:14" ht="31.5" hidden="1">
      <c r="A219" s="31" t="s">
        <v>332</v>
      </c>
      <c r="B219" s="21" t="s">
        <v>501</v>
      </c>
      <c r="C219" s="42" t="s">
        <v>316</v>
      </c>
      <c r="D219" s="42" t="s">
        <v>265</v>
      </c>
      <c r="E219" s="42" t="s">
        <v>325</v>
      </c>
      <c r="F219" s="42"/>
      <c r="G219" s="11">
        <f>G220</f>
        <v>0</v>
      </c>
      <c r="H219" s="11">
        <f t="shared" si="126"/>
        <v>0</v>
      </c>
      <c r="I219" s="11">
        <f t="shared" si="126"/>
        <v>0</v>
      </c>
      <c r="J219" s="11">
        <f t="shared" si="126"/>
        <v>0</v>
      </c>
      <c r="K219" s="11">
        <f t="shared" si="126"/>
        <v>0</v>
      </c>
      <c r="L219" s="11">
        <f t="shared" si="126"/>
        <v>0</v>
      </c>
      <c r="M219" s="11">
        <f t="shared" si="126"/>
        <v>0</v>
      </c>
      <c r="N219" s="4" t="e">
        <f t="shared" si="119"/>
        <v>#DIV/0!</v>
      </c>
    </row>
    <row r="220" spans="1:14" ht="15.75" hidden="1">
      <c r="A220" s="31" t="s">
        <v>326</v>
      </c>
      <c r="B220" s="21" t="s">
        <v>501</v>
      </c>
      <c r="C220" s="42" t="s">
        <v>316</v>
      </c>
      <c r="D220" s="42" t="s">
        <v>265</v>
      </c>
      <c r="E220" s="42" t="s">
        <v>327</v>
      </c>
      <c r="F220" s="42"/>
      <c r="G220" s="11"/>
      <c r="H220" s="11"/>
      <c r="I220" s="11"/>
      <c r="J220" s="11"/>
      <c r="K220" s="11"/>
      <c r="L220" s="11"/>
      <c r="M220" s="11"/>
      <c r="N220" s="4" t="e">
        <f t="shared" si="119"/>
        <v>#DIV/0!</v>
      </c>
    </row>
    <row r="221" spans="1:14" ht="15.75" hidden="1">
      <c r="A221" s="31" t="s">
        <v>661</v>
      </c>
      <c r="B221" s="21" t="s">
        <v>501</v>
      </c>
      <c r="C221" s="42" t="s">
        <v>316</v>
      </c>
      <c r="D221" s="42" t="s">
        <v>265</v>
      </c>
      <c r="E221" s="42" t="s">
        <v>662</v>
      </c>
      <c r="F221" s="42"/>
      <c r="G221" s="11"/>
      <c r="H221" s="11"/>
      <c r="I221" s="11"/>
      <c r="J221" s="11"/>
      <c r="K221" s="11"/>
      <c r="L221" s="11"/>
      <c r="M221" s="11"/>
      <c r="N221" s="4" t="e">
        <f t="shared" si="119"/>
        <v>#DIV/0!</v>
      </c>
    </row>
    <row r="222" spans="1:14" ht="31.5" hidden="1">
      <c r="A222" s="31" t="s">
        <v>456</v>
      </c>
      <c r="B222" s="21" t="s">
        <v>501</v>
      </c>
      <c r="C222" s="42" t="s">
        <v>316</v>
      </c>
      <c r="D222" s="42" t="s">
        <v>265</v>
      </c>
      <c r="E222" s="42"/>
      <c r="F222" s="42" t="s">
        <v>714</v>
      </c>
      <c r="G222" s="7">
        <f>G218</f>
        <v>0</v>
      </c>
      <c r="H222" s="7">
        <f aca="true" t="shared" si="127" ref="H222:L222">H218</f>
        <v>0</v>
      </c>
      <c r="I222" s="7">
        <f t="shared" si="127"/>
        <v>0</v>
      </c>
      <c r="J222" s="7">
        <f t="shared" si="127"/>
        <v>0</v>
      </c>
      <c r="K222" s="7">
        <f t="shared" si="127"/>
        <v>0</v>
      </c>
      <c r="L222" s="7">
        <f t="shared" si="127"/>
        <v>0</v>
      </c>
      <c r="M222" s="7">
        <f aca="true" t="shared" si="128" ref="M222">M218</f>
        <v>0</v>
      </c>
      <c r="N222" s="4" t="e">
        <f t="shared" si="119"/>
        <v>#DIV/0!</v>
      </c>
    </row>
    <row r="223" spans="1:14" ht="31.5" hidden="1">
      <c r="A223" s="31" t="s">
        <v>667</v>
      </c>
      <c r="B223" s="42" t="s">
        <v>502</v>
      </c>
      <c r="C223" s="42" t="s">
        <v>316</v>
      </c>
      <c r="D223" s="42" t="s">
        <v>265</v>
      </c>
      <c r="E223" s="42"/>
      <c r="F223" s="42"/>
      <c r="G223" s="11">
        <f>G224</f>
        <v>0</v>
      </c>
      <c r="H223" s="11">
        <f aca="true" t="shared" si="129" ref="H223:M224">H224</f>
        <v>0</v>
      </c>
      <c r="I223" s="11">
        <f t="shared" si="129"/>
        <v>0</v>
      </c>
      <c r="J223" s="11">
        <f t="shared" si="129"/>
        <v>0</v>
      </c>
      <c r="K223" s="11">
        <f t="shared" si="129"/>
        <v>0</v>
      </c>
      <c r="L223" s="11">
        <f t="shared" si="129"/>
        <v>0</v>
      </c>
      <c r="M223" s="11">
        <f t="shared" si="129"/>
        <v>0</v>
      </c>
      <c r="N223" s="4" t="e">
        <f t="shared" si="119"/>
        <v>#DIV/0!</v>
      </c>
    </row>
    <row r="224" spans="1:14" ht="31.5" hidden="1">
      <c r="A224" s="31" t="s">
        <v>324</v>
      </c>
      <c r="B224" s="42" t="s">
        <v>502</v>
      </c>
      <c r="C224" s="42" t="s">
        <v>316</v>
      </c>
      <c r="D224" s="42" t="s">
        <v>265</v>
      </c>
      <c r="E224" s="42" t="s">
        <v>325</v>
      </c>
      <c r="F224" s="42"/>
      <c r="G224" s="11">
        <f>G225</f>
        <v>0</v>
      </c>
      <c r="H224" s="11">
        <f t="shared" si="129"/>
        <v>0</v>
      </c>
      <c r="I224" s="11">
        <f t="shared" si="129"/>
        <v>0</v>
      </c>
      <c r="J224" s="11">
        <f t="shared" si="129"/>
        <v>0</v>
      </c>
      <c r="K224" s="11">
        <f t="shared" si="129"/>
        <v>0</v>
      </c>
      <c r="L224" s="11">
        <f t="shared" si="129"/>
        <v>0</v>
      </c>
      <c r="M224" s="11">
        <f t="shared" si="129"/>
        <v>0</v>
      </c>
      <c r="N224" s="4" t="e">
        <f t="shared" si="119"/>
        <v>#DIV/0!</v>
      </c>
    </row>
    <row r="225" spans="1:14" ht="15.75" hidden="1">
      <c r="A225" s="31" t="s">
        <v>326</v>
      </c>
      <c r="B225" s="42" t="s">
        <v>502</v>
      </c>
      <c r="C225" s="42" t="s">
        <v>316</v>
      </c>
      <c r="D225" s="42" t="s">
        <v>265</v>
      </c>
      <c r="E225" s="42" t="s">
        <v>327</v>
      </c>
      <c r="F225" s="42" t="s">
        <v>714</v>
      </c>
      <c r="G225" s="11"/>
      <c r="H225" s="11"/>
      <c r="I225" s="11"/>
      <c r="J225" s="11"/>
      <c r="K225" s="11"/>
      <c r="L225" s="11"/>
      <c r="M225" s="11"/>
      <c r="N225" s="4" t="e">
        <f t="shared" si="119"/>
        <v>#DIV/0!</v>
      </c>
    </row>
    <row r="226" spans="1:14" ht="15.75" hidden="1">
      <c r="A226" s="31"/>
      <c r="B226" s="42"/>
      <c r="C226" s="42"/>
      <c r="D226" s="42"/>
      <c r="E226" s="42"/>
      <c r="F226" s="42"/>
      <c r="G226" s="11"/>
      <c r="H226" s="11"/>
      <c r="I226" s="11"/>
      <c r="J226" s="11"/>
      <c r="K226" s="11"/>
      <c r="L226" s="11"/>
      <c r="M226" s="11"/>
      <c r="N226" s="4" t="e">
        <f t="shared" si="119"/>
        <v>#DIV/0!</v>
      </c>
    </row>
    <row r="227" spans="1:14" ht="15.75" hidden="1">
      <c r="A227" s="31"/>
      <c r="B227" s="42"/>
      <c r="C227" s="42"/>
      <c r="D227" s="42"/>
      <c r="E227" s="42"/>
      <c r="F227" s="42"/>
      <c r="G227" s="11"/>
      <c r="H227" s="11"/>
      <c r="I227" s="11"/>
      <c r="J227" s="11"/>
      <c r="K227" s="11"/>
      <c r="L227" s="11"/>
      <c r="M227" s="11"/>
      <c r="N227" s="4" t="e">
        <f t="shared" si="119"/>
        <v>#DIV/0!</v>
      </c>
    </row>
    <row r="228" spans="1:14" ht="31.5">
      <c r="A228" s="43" t="s">
        <v>520</v>
      </c>
      <c r="B228" s="8" t="s">
        <v>522</v>
      </c>
      <c r="C228" s="8"/>
      <c r="D228" s="8"/>
      <c r="E228" s="8"/>
      <c r="F228" s="8"/>
      <c r="G228" s="68">
        <f>G229</f>
        <v>3484.8</v>
      </c>
      <c r="H228" s="68">
        <f aca="true" t="shared" si="130" ref="H228:M232">H229</f>
        <v>3484.8</v>
      </c>
      <c r="I228" s="68">
        <f t="shared" si="130"/>
        <v>4171</v>
      </c>
      <c r="J228" s="68">
        <f t="shared" si="130"/>
        <v>4171</v>
      </c>
      <c r="K228" s="68">
        <f t="shared" si="130"/>
        <v>4171</v>
      </c>
      <c r="L228" s="68">
        <f t="shared" si="130"/>
        <v>3584</v>
      </c>
      <c r="M228" s="68">
        <f t="shared" si="130"/>
        <v>3278</v>
      </c>
      <c r="N228" s="4">
        <f t="shared" si="119"/>
        <v>91.46205357142857</v>
      </c>
    </row>
    <row r="229" spans="1:14" ht="15.75">
      <c r="A229" s="31" t="s">
        <v>315</v>
      </c>
      <c r="B229" s="42" t="s">
        <v>522</v>
      </c>
      <c r="C229" s="42" t="s">
        <v>316</v>
      </c>
      <c r="D229" s="42"/>
      <c r="E229" s="42"/>
      <c r="F229" s="42"/>
      <c r="G229" s="11">
        <f>G230</f>
        <v>3484.8</v>
      </c>
      <c r="H229" s="11">
        <f t="shared" si="130"/>
        <v>3484.8</v>
      </c>
      <c r="I229" s="11">
        <f t="shared" si="130"/>
        <v>4171</v>
      </c>
      <c r="J229" s="11">
        <f t="shared" si="130"/>
        <v>4171</v>
      </c>
      <c r="K229" s="11">
        <f t="shared" si="130"/>
        <v>4171</v>
      </c>
      <c r="L229" s="11">
        <f t="shared" si="130"/>
        <v>3584</v>
      </c>
      <c r="M229" s="11">
        <f t="shared" si="130"/>
        <v>3278</v>
      </c>
      <c r="N229" s="7">
        <f t="shared" si="119"/>
        <v>91.46205357142857</v>
      </c>
    </row>
    <row r="230" spans="1:14" ht="15.75">
      <c r="A230" s="31" t="s">
        <v>519</v>
      </c>
      <c r="B230" s="42" t="s">
        <v>522</v>
      </c>
      <c r="C230" s="42" t="s">
        <v>316</v>
      </c>
      <c r="D230" s="42" t="s">
        <v>316</v>
      </c>
      <c r="E230" s="42"/>
      <c r="F230" s="42"/>
      <c r="G230" s="11">
        <f>G231</f>
        <v>3484.8</v>
      </c>
      <c r="H230" s="11">
        <f t="shared" si="130"/>
        <v>3484.8</v>
      </c>
      <c r="I230" s="11">
        <f t="shared" si="130"/>
        <v>4171</v>
      </c>
      <c r="J230" s="11">
        <f t="shared" si="130"/>
        <v>4171</v>
      </c>
      <c r="K230" s="11">
        <f t="shared" si="130"/>
        <v>4171</v>
      </c>
      <c r="L230" s="11">
        <f t="shared" si="130"/>
        <v>3584</v>
      </c>
      <c r="M230" s="11">
        <f t="shared" si="130"/>
        <v>3278</v>
      </c>
      <c r="N230" s="7">
        <f t="shared" si="119"/>
        <v>91.46205357142857</v>
      </c>
    </row>
    <row r="231" spans="1:14" ht="31.5">
      <c r="A231" s="26" t="s">
        <v>674</v>
      </c>
      <c r="B231" s="21" t="s">
        <v>524</v>
      </c>
      <c r="C231" s="42" t="s">
        <v>316</v>
      </c>
      <c r="D231" s="42" t="s">
        <v>316</v>
      </c>
      <c r="E231" s="42"/>
      <c r="F231" s="42"/>
      <c r="G231" s="11">
        <f>G232</f>
        <v>3484.8</v>
      </c>
      <c r="H231" s="11">
        <f t="shared" si="130"/>
        <v>3484.8</v>
      </c>
      <c r="I231" s="11">
        <f t="shared" si="130"/>
        <v>4171</v>
      </c>
      <c r="J231" s="11">
        <f t="shared" si="130"/>
        <v>4171</v>
      </c>
      <c r="K231" s="11">
        <f t="shared" si="130"/>
        <v>4171</v>
      </c>
      <c r="L231" s="11">
        <f t="shared" si="130"/>
        <v>3584</v>
      </c>
      <c r="M231" s="11">
        <f t="shared" si="130"/>
        <v>3278</v>
      </c>
      <c r="N231" s="7">
        <f t="shared" si="119"/>
        <v>91.46205357142857</v>
      </c>
    </row>
    <row r="232" spans="1:14" ht="31.5">
      <c r="A232" s="31" t="s">
        <v>324</v>
      </c>
      <c r="B232" s="21" t="s">
        <v>524</v>
      </c>
      <c r="C232" s="42" t="s">
        <v>316</v>
      </c>
      <c r="D232" s="42" t="s">
        <v>316</v>
      </c>
      <c r="E232" s="42" t="s">
        <v>325</v>
      </c>
      <c r="F232" s="42"/>
      <c r="G232" s="11">
        <f>G233</f>
        <v>3484.8</v>
      </c>
      <c r="H232" s="11">
        <f t="shared" si="130"/>
        <v>3484.8</v>
      </c>
      <c r="I232" s="11">
        <f t="shared" si="130"/>
        <v>4171</v>
      </c>
      <c r="J232" s="11">
        <f t="shared" si="130"/>
        <v>4171</v>
      </c>
      <c r="K232" s="11">
        <f t="shared" si="130"/>
        <v>4171</v>
      </c>
      <c r="L232" s="11">
        <f t="shared" si="130"/>
        <v>3584</v>
      </c>
      <c r="M232" s="11">
        <f t="shared" si="130"/>
        <v>3278</v>
      </c>
      <c r="N232" s="7">
        <f t="shared" si="119"/>
        <v>91.46205357142857</v>
      </c>
    </row>
    <row r="233" spans="1:14" ht="15.75">
      <c r="A233" s="31" t="s">
        <v>326</v>
      </c>
      <c r="B233" s="21" t="s">
        <v>524</v>
      </c>
      <c r="C233" s="42" t="s">
        <v>316</v>
      </c>
      <c r="D233" s="42" t="s">
        <v>316</v>
      </c>
      <c r="E233" s="42" t="s">
        <v>327</v>
      </c>
      <c r="F233" s="42"/>
      <c r="G233" s="11">
        <f>'Прил.№4 ведомств.'!G738</f>
        <v>3484.8</v>
      </c>
      <c r="H233" s="11">
        <f>'Прил.№4 ведомств.'!I738</f>
        <v>3484.8</v>
      </c>
      <c r="I233" s="11">
        <f>'Прил.№4 ведомств.'!J738</f>
        <v>4171</v>
      </c>
      <c r="J233" s="11">
        <f>'Прил.№4 ведомств.'!K738</f>
        <v>4171</v>
      </c>
      <c r="K233" s="11">
        <f>'Прил.№4 ведомств.'!L738</f>
        <v>4171</v>
      </c>
      <c r="L233" s="11">
        <f>'Прил.№4 ведомств.'!M738</f>
        <v>3584</v>
      </c>
      <c r="M233" s="11">
        <f>'Прил.№4 ведомств.'!N738</f>
        <v>3278</v>
      </c>
      <c r="N233" s="7">
        <f t="shared" si="119"/>
        <v>91.46205357142857</v>
      </c>
    </row>
    <row r="234" spans="1:14" ht="31.5">
      <c r="A234" s="31" t="s">
        <v>456</v>
      </c>
      <c r="B234" s="21" t="s">
        <v>522</v>
      </c>
      <c r="C234" s="42" t="s">
        <v>316</v>
      </c>
      <c r="D234" s="42" t="s">
        <v>316</v>
      </c>
      <c r="E234" s="42"/>
      <c r="F234" s="42" t="s">
        <v>714</v>
      </c>
      <c r="G234" s="11">
        <f>G228</f>
        <v>3484.8</v>
      </c>
      <c r="H234" s="11">
        <f aca="true" t="shared" si="131" ref="H234:L234">H228</f>
        <v>3484.8</v>
      </c>
      <c r="I234" s="11">
        <f t="shared" si="131"/>
        <v>4171</v>
      </c>
      <c r="J234" s="11">
        <f t="shared" si="131"/>
        <v>4171</v>
      </c>
      <c r="K234" s="11">
        <f t="shared" si="131"/>
        <v>4171</v>
      </c>
      <c r="L234" s="11">
        <f t="shared" si="131"/>
        <v>3584</v>
      </c>
      <c r="M234" s="11">
        <f aca="true" t="shared" si="132" ref="M234">M228</f>
        <v>3278</v>
      </c>
      <c r="N234" s="7">
        <f t="shared" si="119"/>
        <v>91.46205357142857</v>
      </c>
    </row>
    <row r="235" spans="1:14" ht="47.25">
      <c r="A235" s="64" t="s">
        <v>986</v>
      </c>
      <c r="B235" s="269" t="s">
        <v>208</v>
      </c>
      <c r="C235" s="8"/>
      <c r="D235" s="269"/>
      <c r="E235" s="269"/>
      <c r="F235" s="295"/>
      <c r="G235" s="68">
        <f>G236+G242</f>
        <v>250</v>
      </c>
      <c r="H235" s="68">
        <f aca="true" t="shared" si="133" ref="H235:L235">H236+H242</f>
        <v>250</v>
      </c>
      <c r="I235" s="68">
        <f t="shared" si="133"/>
        <v>540</v>
      </c>
      <c r="J235" s="68">
        <f t="shared" si="133"/>
        <v>540</v>
      </c>
      <c r="K235" s="68">
        <f t="shared" si="133"/>
        <v>540</v>
      </c>
      <c r="L235" s="68">
        <f t="shared" si="133"/>
        <v>250</v>
      </c>
      <c r="M235" s="68">
        <f aca="true" t="shared" si="134" ref="M235">M236+M242</f>
        <v>0</v>
      </c>
      <c r="N235" s="4">
        <f t="shared" si="119"/>
        <v>0</v>
      </c>
    </row>
    <row r="236" spans="1:14" ht="15.75" hidden="1">
      <c r="A236" s="47" t="s">
        <v>169</v>
      </c>
      <c r="B236" s="6" t="s">
        <v>208</v>
      </c>
      <c r="C236" s="42" t="s">
        <v>170</v>
      </c>
      <c r="D236" s="6"/>
      <c r="E236" s="6"/>
      <c r="F236" s="6"/>
      <c r="G236" s="11">
        <f>G237</f>
        <v>250</v>
      </c>
      <c r="H236" s="11">
        <f aca="true" t="shared" si="135" ref="H236:M239">H237</f>
        <v>250</v>
      </c>
      <c r="I236" s="11">
        <f t="shared" si="135"/>
        <v>0</v>
      </c>
      <c r="J236" s="11">
        <f t="shared" si="135"/>
        <v>0</v>
      </c>
      <c r="K236" s="11">
        <f t="shared" si="135"/>
        <v>0</v>
      </c>
      <c r="L236" s="11">
        <f t="shared" si="135"/>
        <v>0</v>
      </c>
      <c r="M236" s="11">
        <f t="shared" si="135"/>
        <v>0</v>
      </c>
      <c r="N236" s="4" t="e">
        <f t="shared" si="119"/>
        <v>#DIV/0!</v>
      </c>
    </row>
    <row r="237" spans="1:14" ht="15.75" hidden="1">
      <c r="A237" s="47" t="s">
        <v>191</v>
      </c>
      <c r="B237" s="6" t="s">
        <v>208</v>
      </c>
      <c r="C237" s="42" t="s">
        <v>170</v>
      </c>
      <c r="D237" s="6">
        <v>13</v>
      </c>
      <c r="E237" s="6"/>
      <c r="F237" s="6"/>
      <c r="G237" s="11">
        <f>G238</f>
        <v>250</v>
      </c>
      <c r="H237" s="11">
        <f t="shared" si="135"/>
        <v>250</v>
      </c>
      <c r="I237" s="11">
        <f t="shared" si="135"/>
        <v>0</v>
      </c>
      <c r="J237" s="11">
        <f t="shared" si="135"/>
        <v>0</v>
      </c>
      <c r="K237" s="11">
        <f t="shared" si="135"/>
        <v>0</v>
      </c>
      <c r="L237" s="11">
        <f t="shared" si="135"/>
        <v>0</v>
      </c>
      <c r="M237" s="11">
        <f t="shared" si="135"/>
        <v>0</v>
      </c>
      <c r="N237" s="4" t="e">
        <f t="shared" si="119"/>
        <v>#DIV/0!</v>
      </c>
    </row>
    <row r="238" spans="1:14" ht="31.5" hidden="1">
      <c r="A238" s="31" t="s">
        <v>209</v>
      </c>
      <c r="B238" s="6" t="s">
        <v>210</v>
      </c>
      <c r="C238" s="42" t="s">
        <v>170</v>
      </c>
      <c r="D238" s="42" t="s">
        <v>192</v>
      </c>
      <c r="E238" s="42"/>
      <c r="F238" s="42"/>
      <c r="G238" s="11">
        <f>G239</f>
        <v>250</v>
      </c>
      <c r="H238" s="11">
        <f t="shared" si="135"/>
        <v>250</v>
      </c>
      <c r="I238" s="11">
        <f t="shared" si="135"/>
        <v>0</v>
      </c>
      <c r="J238" s="11">
        <f t="shared" si="135"/>
        <v>0</v>
      </c>
      <c r="K238" s="11">
        <f t="shared" si="135"/>
        <v>0</v>
      </c>
      <c r="L238" s="11">
        <f t="shared" si="135"/>
        <v>0</v>
      </c>
      <c r="M238" s="11">
        <f t="shared" si="135"/>
        <v>0</v>
      </c>
      <c r="N238" s="4" t="e">
        <f t="shared" si="119"/>
        <v>#DIV/0!</v>
      </c>
    </row>
    <row r="239" spans="1:14" ht="31.5" hidden="1">
      <c r="A239" s="31" t="s">
        <v>183</v>
      </c>
      <c r="B239" s="6" t="s">
        <v>210</v>
      </c>
      <c r="C239" s="42" t="s">
        <v>170</v>
      </c>
      <c r="D239" s="42" t="s">
        <v>192</v>
      </c>
      <c r="E239" s="42" t="s">
        <v>197</v>
      </c>
      <c r="F239" s="42"/>
      <c r="G239" s="11">
        <f>G240</f>
        <v>250</v>
      </c>
      <c r="H239" s="11">
        <f t="shared" si="135"/>
        <v>250</v>
      </c>
      <c r="I239" s="11">
        <f t="shared" si="135"/>
        <v>0</v>
      </c>
      <c r="J239" s="11">
        <f t="shared" si="135"/>
        <v>0</v>
      </c>
      <c r="K239" s="11">
        <f t="shared" si="135"/>
        <v>0</v>
      </c>
      <c r="L239" s="11">
        <f t="shared" si="135"/>
        <v>0</v>
      </c>
      <c r="M239" s="11">
        <f t="shared" si="135"/>
        <v>0</v>
      </c>
      <c r="N239" s="4" t="e">
        <f t="shared" si="119"/>
        <v>#DIV/0!</v>
      </c>
    </row>
    <row r="240" spans="1:14" ht="47.25" hidden="1">
      <c r="A240" s="31" t="s">
        <v>236</v>
      </c>
      <c r="B240" s="6" t="s">
        <v>210</v>
      </c>
      <c r="C240" s="42" t="s">
        <v>170</v>
      </c>
      <c r="D240" s="42" t="s">
        <v>192</v>
      </c>
      <c r="E240" s="42" t="s">
        <v>212</v>
      </c>
      <c r="F240" s="42"/>
      <c r="G240" s="11">
        <f>'Прил.№4 ведомств.'!G67</f>
        <v>250</v>
      </c>
      <c r="H240" s="11">
        <f>'Прил.№4 ведомств.'!I67</f>
        <v>250</v>
      </c>
      <c r="I240" s="11">
        <f>'Прил.№4 ведомств.'!J67</f>
        <v>0</v>
      </c>
      <c r="J240" s="11">
        <f>'Прил.№4 ведомств.'!K67</f>
        <v>0</v>
      </c>
      <c r="K240" s="11">
        <f>'Прил.№4 ведомств.'!L67</f>
        <v>0</v>
      </c>
      <c r="L240" s="11">
        <f>'Прил.№4 ведомств.'!M67</f>
        <v>0</v>
      </c>
      <c r="M240" s="11">
        <f>'Прил.№4 ведомств.'!N67</f>
        <v>0</v>
      </c>
      <c r="N240" s="4" t="e">
        <f t="shared" si="119"/>
        <v>#DIV/0!</v>
      </c>
    </row>
    <row r="241" spans="1:14" ht="15.75" hidden="1">
      <c r="A241" s="31" t="s">
        <v>200</v>
      </c>
      <c r="B241" s="6" t="s">
        <v>208</v>
      </c>
      <c r="C241" s="42" t="s">
        <v>170</v>
      </c>
      <c r="D241" s="42" t="s">
        <v>192</v>
      </c>
      <c r="E241" s="42"/>
      <c r="F241" s="42" t="s">
        <v>719</v>
      </c>
      <c r="G241" s="11">
        <f>G235</f>
        <v>250</v>
      </c>
      <c r="H241" s="11">
        <f aca="true" t="shared" si="136" ref="H241:K241">H235</f>
        <v>250</v>
      </c>
      <c r="I241" s="11">
        <f t="shared" si="136"/>
        <v>540</v>
      </c>
      <c r="J241" s="11">
        <f t="shared" si="136"/>
        <v>540</v>
      </c>
      <c r="K241" s="11">
        <f t="shared" si="136"/>
        <v>540</v>
      </c>
      <c r="L241" s="11">
        <f>L236</f>
        <v>0</v>
      </c>
      <c r="M241" s="11">
        <f>M236</f>
        <v>0</v>
      </c>
      <c r="N241" s="4" t="e">
        <f t="shared" si="119"/>
        <v>#DIV/0!</v>
      </c>
    </row>
    <row r="242" spans="1:14" ht="15.75">
      <c r="A242" s="47" t="s">
        <v>284</v>
      </c>
      <c r="B242" s="6" t="s">
        <v>208</v>
      </c>
      <c r="C242" s="42" t="s">
        <v>202</v>
      </c>
      <c r="D242" s="42"/>
      <c r="E242" s="42"/>
      <c r="F242" s="42"/>
      <c r="G242" s="11">
        <f>G243</f>
        <v>0</v>
      </c>
      <c r="H242" s="11">
        <f aca="true" t="shared" si="137" ref="H242:M245">H243</f>
        <v>0</v>
      </c>
      <c r="I242" s="11">
        <f t="shared" si="137"/>
        <v>540</v>
      </c>
      <c r="J242" s="11">
        <f t="shared" si="137"/>
        <v>540</v>
      </c>
      <c r="K242" s="11">
        <f t="shared" si="137"/>
        <v>540</v>
      </c>
      <c r="L242" s="11">
        <f t="shared" si="137"/>
        <v>250</v>
      </c>
      <c r="M242" s="11">
        <f t="shared" si="137"/>
        <v>0</v>
      </c>
      <c r="N242" s="7">
        <f t="shared" si="119"/>
        <v>0</v>
      </c>
    </row>
    <row r="243" spans="1:14" ht="15.75">
      <c r="A243" s="47" t="s">
        <v>929</v>
      </c>
      <c r="B243" s="6" t="s">
        <v>208</v>
      </c>
      <c r="C243" s="42" t="s">
        <v>202</v>
      </c>
      <c r="D243" s="42" t="s">
        <v>290</v>
      </c>
      <c r="E243" s="42"/>
      <c r="F243" s="42"/>
      <c r="G243" s="11">
        <f>G244</f>
        <v>0</v>
      </c>
      <c r="H243" s="11">
        <f t="shared" si="137"/>
        <v>0</v>
      </c>
      <c r="I243" s="11">
        <f t="shared" si="137"/>
        <v>540</v>
      </c>
      <c r="J243" s="11">
        <f t="shared" si="137"/>
        <v>540</v>
      </c>
      <c r="K243" s="11">
        <f t="shared" si="137"/>
        <v>540</v>
      </c>
      <c r="L243" s="11">
        <f t="shared" si="137"/>
        <v>250</v>
      </c>
      <c r="M243" s="11">
        <f t="shared" si="137"/>
        <v>0</v>
      </c>
      <c r="N243" s="7">
        <f t="shared" si="119"/>
        <v>0</v>
      </c>
    </row>
    <row r="244" spans="1:14" ht="31.5">
      <c r="A244" s="31" t="s">
        <v>209</v>
      </c>
      <c r="B244" s="6" t="s">
        <v>210</v>
      </c>
      <c r="C244" s="42" t="s">
        <v>202</v>
      </c>
      <c r="D244" s="42" t="s">
        <v>290</v>
      </c>
      <c r="E244" s="42"/>
      <c r="F244" s="42"/>
      <c r="G244" s="11">
        <f>G245</f>
        <v>0</v>
      </c>
      <c r="H244" s="11">
        <f t="shared" si="137"/>
        <v>0</v>
      </c>
      <c r="I244" s="11">
        <f t="shared" si="137"/>
        <v>540</v>
      </c>
      <c r="J244" s="11">
        <f t="shared" si="137"/>
        <v>540</v>
      </c>
      <c r="K244" s="11">
        <f t="shared" si="137"/>
        <v>540</v>
      </c>
      <c r="L244" s="11">
        <f t="shared" si="137"/>
        <v>250</v>
      </c>
      <c r="M244" s="11">
        <f t="shared" si="137"/>
        <v>0</v>
      </c>
      <c r="N244" s="7">
        <f t="shared" si="119"/>
        <v>0</v>
      </c>
    </row>
    <row r="245" spans="1:14" ht="31.5">
      <c r="A245" s="31" t="s">
        <v>183</v>
      </c>
      <c r="B245" s="6" t="s">
        <v>210</v>
      </c>
      <c r="C245" s="42" t="s">
        <v>202</v>
      </c>
      <c r="D245" s="42" t="s">
        <v>290</v>
      </c>
      <c r="E245" s="42"/>
      <c r="F245" s="42"/>
      <c r="G245" s="11">
        <f>G246</f>
        <v>0</v>
      </c>
      <c r="H245" s="11">
        <f t="shared" si="137"/>
        <v>0</v>
      </c>
      <c r="I245" s="11">
        <f t="shared" si="137"/>
        <v>540</v>
      </c>
      <c r="J245" s="11">
        <f t="shared" si="137"/>
        <v>540</v>
      </c>
      <c r="K245" s="11">
        <f t="shared" si="137"/>
        <v>540</v>
      </c>
      <c r="L245" s="11">
        <f t="shared" si="137"/>
        <v>250</v>
      </c>
      <c r="M245" s="11">
        <f t="shared" si="137"/>
        <v>0</v>
      </c>
      <c r="N245" s="7">
        <f t="shared" si="119"/>
        <v>0</v>
      </c>
    </row>
    <row r="246" spans="1:14" ht="47.25">
      <c r="A246" s="31" t="s">
        <v>236</v>
      </c>
      <c r="B246" s="6" t="s">
        <v>210</v>
      </c>
      <c r="C246" s="42" t="s">
        <v>202</v>
      </c>
      <c r="D246" s="42" t="s">
        <v>290</v>
      </c>
      <c r="E246" s="42"/>
      <c r="F246" s="42"/>
      <c r="G246" s="11">
        <v>0</v>
      </c>
      <c r="H246" s="11">
        <v>0</v>
      </c>
      <c r="I246" s="11">
        <v>540</v>
      </c>
      <c r="J246" s="11">
        <v>540</v>
      </c>
      <c r="K246" s="11">
        <v>540</v>
      </c>
      <c r="L246" s="11">
        <f>'Прил.№4 ведомств.'!M207</f>
        <v>250</v>
      </c>
      <c r="M246" s="11">
        <f>'Прил.№4 ведомств.'!N207</f>
        <v>0</v>
      </c>
      <c r="N246" s="7">
        <f t="shared" si="119"/>
        <v>0</v>
      </c>
    </row>
    <row r="247" spans="1:14" ht="15.75">
      <c r="A247" s="31" t="s">
        <v>200</v>
      </c>
      <c r="B247" s="6" t="s">
        <v>208</v>
      </c>
      <c r="C247" s="42" t="s">
        <v>202</v>
      </c>
      <c r="D247" s="42" t="s">
        <v>290</v>
      </c>
      <c r="E247" s="42"/>
      <c r="F247" s="42" t="s">
        <v>719</v>
      </c>
      <c r="G247" s="11">
        <f>G242</f>
        <v>0</v>
      </c>
      <c r="H247" s="11">
        <f aca="true" t="shared" si="138" ref="H247:L247">H242</f>
        <v>0</v>
      </c>
      <c r="I247" s="11">
        <f t="shared" si="138"/>
        <v>540</v>
      </c>
      <c r="J247" s="11">
        <f t="shared" si="138"/>
        <v>540</v>
      </c>
      <c r="K247" s="11">
        <f t="shared" si="138"/>
        <v>540</v>
      </c>
      <c r="L247" s="11">
        <f t="shared" si="138"/>
        <v>250</v>
      </c>
      <c r="M247" s="11">
        <f aca="true" t="shared" si="139" ref="M247">M242</f>
        <v>0</v>
      </c>
      <c r="N247" s="7">
        <f t="shared" si="119"/>
        <v>0</v>
      </c>
    </row>
    <row r="248" spans="1:14" ht="73.5" customHeight="1">
      <c r="A248" s="43" t="s">
        <v>1013</v>
      </c>
      <c r="B248" s="269" t="s">
        <v>214</v>
      </c>
      <c r="C248" s="8"/>
      <c r="D248" s="8"/>
      <c r="E248" s="8"/>
      <c r="F248" s="8"/>
      <c r="G248" s="68">
        <f>G249</f>
        <v>654</v>
      </c>
      <c r="H248" s="68">
        <f aca="true" t="shared" si="140" ref="H248:M249">H249</f>
        <v>654</v>
      </c>
      <c r="I248" s="68">
        <f t="shared" si="140"/>
        <v>669</v>
      </c>
      <c r="J248" s="68">
        <f t="shared" si="140"/>
        <v>669</v>
      </c>
      <c r="K248" s="68">
        <f t="shared" si="140"/>
        <v>669</v>
      </c>
      <c r="L248" s="68">
        <f t="shared" si="140"/>
        <v>741</v>
      </c>
      <c r="M248" s="68">
        <f t="shared" si="140"/>
        <v>313.8</v>
      </c>
      <c r="N248" s="4">
        <f t="shared" si="119"/>
        <v>42.34817813765182</v>
      </c>
    </row>
    <row r="249" spans="1:14" ht="15.75">
      <c r="A249" s="47" t="s">
        <v>169</v>
      </c>
      <c r="B249" s="6" t="s">
        <v>214</v>
      </c>
      <c r="C249" s="42" t="s">
        <v>170</v>
      </c>
      <c r="D249" s="6"/>
      <c r="E249" s="6"/>
      <c r="F249" s="42"/>
      <c r="G249" s="11">
        <f>G250</f>
        <v>654</v>
      </c>
      <c r="H249" s="11">
        <f t="shared" si="140"/>
        <v>654</v>
      </c>
      <c r="I249" s="11">
        <f t="shared" si="140"/>
        <v>669</v>
      </c>
      <c r="J249" s="11">
        <f t="shared" si="140"/>
        <v>669</v>
      </c>
      <c r="K249" s="11">
        <f t="shared" si="140"/>
        <v>669</v>
      </c>
      <c r="L249" s="11">
        <f t="shared" si="140"/>
        <v>741</v>
      </c>
      <c r="M249" s="11">
        <f t="shared" si="140"/>
        <v>313.8</v>
      </c>
      <c r="N249" s="7">
        <f t="shared" si="119"/>
        <v>42.34817813765182</v>
      </c>
    </row>
    <row r="250" spans="1:14" ht="15.75">
      <c r="A250" s="47" t="s">
        <v>191</v>
      </c>
      <c r="B250" s="6" t="s">
        <v>214</v>
      </c>
      <c r="C250" s="42" t="s">
        <v>170</v>
      </c>
      <c r="D250" s="6">
        <v>13</v>
      </c>
      <c r="E250" s="6"/>
      <c r="F250" s="42"/>
      <c r="G250" s="11">
        <f>G251+G254+G260+G263</f>
        <v>654</v>
      </c>
      <c r="H250" s="11">
        <f aca="true" t="shared" si="141" ref="H250:L250">H251+H254+H260+H263</f>
        <v>654</v>
      </c>
      <c r="I250" s="11">
        <f t="shared" si="141"/>
        <v>669</v>
      </c>
      <c r="J250" s="11">
        <f t="shared" si="141"/>
        <v>669</v>
      </c>
      <c r="K250" s="11">
        <f t="shared" si="141"/>
        <v>669</v>
      </c>
      <c r="L250" s="11">
        <f t="shared" si="141"/>
        <v>741</v>
      </c>
      <c r="M250" s="11">
        <f aca="true" t="shared" si="142" ref="M250">M251+M254+M260+M263</f>
        <v>313.8</v>
      </c>
      <c r="N250" s="7">
        <f t="shared" si="119"/>
        <v>42.34817813765182</v>
      </c>
    </row>
    <row r="251" spans="1:14" ht="31.5">
      <c r="A251" s="31" t="s">
        <v>215</v>
      </c>
      <c r="B251" s="42" t="s">
        <v>216</v>
      </c>
      <c r="C251" s="42" t="s">
        <v>170</v>
      </c>
      <c r="D251" s="42" t="s">
        <v>192</v>
      </c>
      <c r="E251" s="42"/>
      <c r="F251" s="42"/>
      <c r="G251" s="11">
        <f>G252</f>
        <v>428.1</v>
      </c>
      <c r="H251" s="11">
        <f aca="true" t="shared" si="143" ref="H251:M252">H252</f>
        <v>428.1</v>
      </c>
      <c r="I251" s="11">
        <f t="shared" si="143"/>
        <v>428.1</v>
      </c>
      <c r="J251" s="11">
        <f t="shared" si="143"/>
        <v>428.1</v>
      </c>
      <c r="K251" s="11">
        <f t="shared" si="143"/>
        <v>428.1</v>
      </c>
      <c r="L251" s="11">
        <f t="shared" si="143"/>
        <v>491</v>
      </c>
      <c r="M251" s="11">
        <f t="shared" si="143"/>
        <v>201.9</v>
      </c>
      <c r="N251" s="7">
        <f t="shared" si="119"/>
        <v>41.12016293279023</v>
      </c>
    </row>
    <row r="252" spans="1:14" ht="31.5">
      <c r="A252" s="31" t="s">
        <v>183</v>
      </c>
      <c r="B252" s="42" t="s">
        <v>216</v>
      </c>
      <c r="C252" s="42" t="s">
        <v>170</v>
      </c>
      <c r="D252" s="42" t="s">
        <v>192</v>
      </c>
      <c r="E252" s="42" t="s">
        <v>184</v>
      </c>
      <c r="F252" s="42"/>
      <c r="G252" s="11">
        <f>G253</f>
        <v>428.1</v>
      </c>
      <c r="H252" s="11">
        <f t="shared" si="143"/>
        <v>428.1</v>
      </c>
      <c r="I252" s="11">
        <f t="shared" si="143"/>
        <v>428.1</v>
      </c>
      <c r="J252" s="11">
        <f t="shared" si="143"/>
        <v>428.1</v>
      </c>
      <c r="K252" s="11">
        <f t="shared" si="143"/>
        <v>428.1</v>
      </c>
      <c r="L252" s="11">
        <f t="shared" si="143"/>
        <v>491</v>
      </c>
      <c r="M252" s="11">
        <f t="shared" si="143"/>
        <v>201.9</v>
      </c>
      <c r="N252" s="7">
        <f t="shared" si="119"/>
        <v>41.12016293279023</v>
      </c>
    </row>
    <row r="253" spans="1:14" ht="31.5">
      <c r="A253" s="31" t="s">
        <v>185</v>
      </c>
      <c r="B253" s="42" t="s">
        <v>216</v>
      </c>
      <c r="C253" s="42" t="s">
        <v>170</v>
      </c>
      <c r="D253" s="42" t="s">
        <v>192</v>
      </c>
      <c r="E253" s="42" t="s">
        <v>186</v>
      </c>
      <c r="F253" s="42"/>
      <c r="G253" s="11">
        <f>'Прил.№4 ведомств.'!G71</f>
        <v>428.1</v>
      </c>
      <c r="H253" s="11">
        <f>'Прил.№4 ведомств.'!I71</f>
        <v>428.1</v>
      </c>
      <c r="I253" s="11">
        <f>'Прил.№4 ведомств.'!J71</f>
        <v>428.1</v>
      </c>
      <c r="J253" s="11">
        <f>'Прил.№4 ведомств.'!K71</f>
        <v>428.1</v>
      </c>
      <c r="K253" s="11">
        <f>'Прил.№4 ведомств.'!L71</f>
        <v>428.1</v>
      </c>
      <c r="L253" s="11">
        <f>'Прил.№4 ведомств.'!M71</f>
        <v>491</v>
      </c>
      <c r="M253" s="11">
        <f>'Прил.№4 ведомств.'!N71</f>
        <v>201.9</v>
      </c>
      <c r="N253" s="7">
        <f t="shared" si="119"/>
        <v>41.12016293279023</v>
      </c>
    </row>
    <row r="254" spans="1:14" ht="47.25">
      <c r="A254" s="205" t="s">
        <v>217</v>
      </c>
      <c r="B254" s="42" t="s">
        <v>218</v>
      </c>
      <c r="C254" s="42" t="s">
        <v>170</v>
      </c>
      <c r="D254" s="42" t="s">
        <v>192</v>
      </c>
      <c r="E254" s="42"/>
      <c r="F254" s="42"/>
      <c r="G254" s="11">
        <f>G255+G257</f>
        <v>224.89999999999998</v>
      </c>
      <c r="H254" s="11">
        <f aca="true" t="shared" si="144" ref="H254:L254">H255+H257</f>
        <v>224.89999999999998</v>
      </c>
      <c r="I254" s="11">
        <f t="shared" si="144"/>
        <v>239.89999999999998</v>
      </c>
      <c r="J254" s="11">
        <f t="shared" si="144"/>
        <v>239.89999999999998</v>
      </c>
      <c r="K254" s="11">
        <f t="shared" si="144"/>
        <v>239.89999999999998</v>
      </c>
      <c r="L254" s="11">
        <f t="shared" si="144"/>
        <v>249.5</v>
      </c>
      <c r="M254" s="11">
        <f aca="true" t="shared" si="145" ref="M254">M255+M257</f>
        <v>111.9</v>
      </c>
      <c r="N254" s="7">
        <f t="shared" si="119"/>
        <v>44.8496993987976</v>
      </c>
    </row>
    <row r="255" spans="1:14" ht="78.75">
      <c r="A255" s="31" t="s">
        <v>179</v>
      </c>
      <c r="B255" s="42" t="s">
        <v>218</v>
      </c>
      <c r="C255" s="42" t="s">
        <v>170</v>
      </c>
      <c r="D255" s="42" t="s">
        <v>192</v>
      </c>
      <c r="E255" s="42" t="s">
        <v>180</v>
      </c>
      <c r="F255" s="42"/>
      <c r="G255" s="11">
        <f>G256</f>
        <v>159.7</v>
      </c>
      <c r="H255" s="11">
        <f aca="true" t="shared" si="146" ref="H255:M255">H256</f>
        <v>159.7</v>
      </c>
      <c r="I255" s="11">
        <f t="shared" si="146"/>
        <v>159.7</v>
      </c>
      <c r="J255" s="11">
        <f t="shared" si="146"/>
        <v>159.7</v>
      </c>
      <c r="K255" s="11">
        <f t="shared" si="146"/>
        <v>159.7</v>
      </c>
      <c r="L255" s="11">
        <f t="shared" si="146"/>
        <v>159.7</v>
      </c>
      <c r="M255" s="11">
        <f t="shared" si="146"/>
        <v>86.4</v>
      </c>
      <c r="N255" s="7">
        <f t="shared" si="119"/>
        <v>54.10144020037572</v>
      </c>
    </row>
    <row r="256" spans="1:14" ht="31.5">
      <c r="A256" s="31" t="s">
        <v>181</v>
      </c>
      <c r="B256" s="42" t="s">
        <v>218</v>
      </c>
      <c r="C256" s="42" t="s">
        <v>170</v>
      </c>
      <c r="D256" s="42" t="s">
        <v>192</v>
      </c>
      <c r="E256" s="42" t="s">
        <v>182</v>
      </c>
      <c r="F256" s="42"/>
      <c r="G256" s="11">
        <f>'Прил.№4 ведомств.'!G74</f>
        <v>159.7</v>
      </c>
      <c r="H256" s="11">
        <f>'Прил.№4 ведомств.'!I74</f>
        <v>159.7</v>
      </c>
      <c r="I256" s="11">
        <f>'Прил.№4 ведомств.'!J74</f>
        <v>159.7</v>
      </c>
      <c r="J256" s="11">
        <f>'Прил.№4 ведомств.'!K74</f>
        <v>159.7</v>
      </c>
      <c r="K256" s="11">
        <f>'Прил.№4 ведомств.'!L74</f>
        <v>159.7</v>
      </c>
      <c r="L256" s="11">
        <f>'Прил.№4 ведомств.'!M74</f>
        <v>159.7</v>
      </c>
      <c r="M256" s="11">
        <f>'Прил.№4 ведомств.'!N74</f>
        <v>86.4</v>
      </c>
      <c r="N256" s="7">
        <f t="shared" si="119"/>
        <v>54.10144020037572</v>
      </c>
    </row>
    <row r="257" spans="1:14" ht="31.5">
      <c r="A257" s="31" t="s">
        <v>183</v>
      </c>
      <c r="B257" s="42" t="s">
        <v>218</v>
      </c>
      <c r="C257" s="42" t="s">
        <v>170</v>
      </c>
      <c r="D257" s="42" t="s">
        <v>192</v>
      </c>
      <c r="E257" s="42" t="s">
        <v>184</v>
      </c>
      <c r="F257" s="42"/>
      <c r="G257" s="11">
        <f>G258</f>
        <v>65.2</v>
      </c>
      <c r="H257" s="11">
        <f aca="true" t="shared" si="147" ref="H257:M257">H258</f>
        <v>65.2</v>
      </c>
      <c r="I257" s="11">
        <f t="shared" si="147"/>
        <v>80.19999999999999</v>
      </c>
      <c r="J257" s="11">
        <f t="shared" si="147"/>
        <v>80.19999999999999</v>
      </c>
      <c r="K257" s="11">
        <f t="shared" si="147"/>
        <v>80.19999999999999</v>
      </c>
      <c r="L257" s="11">
        <f t="shared" si="147"/>
        <v>89.80000000000001</v>
      </c>
      <c r="M257" s="11">
        <f t="shared" si="147"/>
        <v>25.5</v>
      </c>
      <c r="N257" s="7">
        <f t="shared" si="119"/>
        <v>28.39643652561247</v>
      </c>
    </row>
    <row r="258" spans="1:14" ht="31.5">
      <c r="A258" s="31" t="s">
        <v>185</v>
      </c>
      <c r="B258" s="42" t="s">
        <v>218</v>
      </c>
      <c r="C258" s="42" t="s">
        <v>170</v>
      </c>
      <c r="D258" s="42" t="s">
        <v>192</v>
      </c>
      <c r="E258" s="42" t="s">
        <v>186</v>
      </c>
      <c r="F258" s="42"/>
      <c r="G258" s="11">
        <f>'Прил.№4 ведомств.'!G76</f>
        <v>65.2</v>
      </c>
      <c r="H258" s="11">
        <f>'Прил.№4 ведомств.'!I76</f>
        <v>65.2</v>
      </c>
      <c r="I258" s="11">
        <f>'Прил.№4 ведомств.'!J76</f>
        <v>80.19999999999999</v>
      </c>
      <c r="J258" s="11">
        <f>'Прил.№4 ведомств.'!K76</f>
        <v>80.19999999999999</v>
      </c>
      <c r="K258" s="11">
        <f>'Прил.№4 ведомств.'!L76</f>
        <v>80.19999999999999</v>
      </c>
      <c r="L258" s="11">
        <f>'Прил.№4 ведомств.'!M76</f>
        <v>89.80000000000001</v>
      </c>
      <c r="M258" s="11">
        <f>'Прил.№4 ведомств.'!N76</f>
        <v>25.5</v>
      </c>
      <c r="N258" s="7">
        <f t="shared" si="119"/>
        <v>28.39643652561247</v>
      </c>
    </row>
    <row r="259" spans="1:14" ht="15.75">
      <c r="A259" s="31" t="s">
        <v>200</v>
      </c>
      <c r="B259" s="42" t="s">
        <v>214</v>
      </c>
      <c r="C259" s="42" t="s">
        <v>170</v>
      </c>
      <c r="D259" s="42" t="s">
        <v>192</v>
      </c>
      <c r="E259" s="42"/>
      <c r="F259" s="42" t="s">
        <v>719</v>
      </c>
      <c r="G259" s="11"/>
      <c r="H259" s="11"/>
      <c r="I259" s="11"/>
      <c r="J259" s="11"/>
      <c r="K259" s="11"/>
      <c r="L259" s="11">
        <f>L251+L254</f>
        <v>740.5</v>
      </c>
      <c r="M259" s="11">
        <f>M251+M254</f>
        <v>313.8</v>
      </c>
      <c r="N259" s="7">
        <f t="shared" si="119"/>
        <v>42.37677245104659</v>
      </c>
    </row>
    <row r="260" spans="1:14" ht="47.25">
      <c r="A260" s="33" t="s">
        <v>778</v>
      </c>
      <c r="B260" s="42" t="s">
        <v>779</v>
      </c>
      <c r="C260" s="42" t="s">
        <v>170</v>
      </c>
      <c r="D260" s="42" t="s">
        <v>192</v>
      </c>
      <c r="E260" s="42"/>
      <c r="F260" s="42"/>
      <c r="G260" s="11">
        <f>G261</f>
        <v>0.5</v>
      </c>
      <c r="H260" s="11">
        <f aca="true" t="shared" si="148" ref="H260:M261">H261</f>
        <v>0.5</v>
      </c>
      <c r="I260" s="11">
        <f t="shared" si="148"/>
        <v>0.5</v>
      </c>
      <c r="J260" s="11">
        <f t="shared" si="148"/>
        <v>0.5</v>
      </c>
      <c r="K260" s="11">
        <f t="shared" si="148"/>
        <v>0.5</v>
      </c>
      <c r="L260" s="11">
        <f t="shared" si="148"/>
        <v>0.5</v>
      </c>
      <c r="M260" s="11">
        <f t="shared" si="148"/>
        <v>0</v>
      </c>
      <c r="N260" s="7">
        <f t="shared" si="119"/>
        <v>0</v>
      </c>
    </row>
    <row r="261" spans="1:14" ht="31.5">
      <c r="A261" s="26" t="s">
        <v>183</v>
      </c>
      <c r="B261" s="42" t="s">
        <v>779</v>
      </c>
      <c r="C261" s="42" t="s">
        <v>170</v>
      </c>
      <c r="D261" s="42" t="s">
        <v>192</v>
      </c>
      <c r="E261" s="42" t="s">
        <v>184</v>
      </c>
      <c r="F261" s="42"/>
      <c r="G261" s="11">
        <f>G262</f>
        <v>0.5</v>
      </c>
      <c r="H261" s="11">
        <f t="shared" si="148"/>
        <v>0.5</v>
      </c>
      <c r="I261" s="11">
        <f t="shared" si="148"/>
        <v>0.5</v>
      </c>
      <c r="J261" s="11">
        <f t="shared" si="148"/>
        <v>0.5</v>
      </c>
      <c r="K261" s="11">
        <f t="shared" si="148"/>
        <v>0.5</v>
      </c>
      <c r="L261" s="11">
        <f t="shared" si="148"/>
        <v>0.5</v>
      </c>
      <c r="M261" s="11">
        <f t="shared" si="148"/>
        <v>0</v>
      </c>
      <c r="N261" s="7">
        <f t="shared" si="119"/>
        <v>0</v>
      </c>
    </row>
    <row r="262" spans="1:14" ht="31.5">
      <c r="A262" s="26" t="s">
        <v>185</v>
      </c>
      <c r="B262" s="42" t="s">
        <v>779</v>
      </c>
      <c r="C262" s="42" t="s">
        <v>170</v>
      </c>
      <c r="D262" s="42" t="s">
        <v>192</v>
      </c>
      <c r="E262" s="42" t="s">
        <v>186</v>
      </c>
      <c r="F262" s="42"/>
      <c r="G262" s="11">
        <f>'Прил.№4 ведомств.'!G1096</f>
        <v>0.5</v>
      </c>
      <c r="H262" s="11">
        <f>'Прил.№4 ведомств.'!I1096</f>
        <v>0.5</v>
      </c>
      <c r="I262" s="11">
        <f>'Прил.№4 ведомств.'!J1096</f>
        <v>0.5</v>
      </c>
      <c r="J262" s="11">
        <f>'Прил.№4 ведомств.'!K1096</f>
        <v>0.5</v>
      </c>
      <c r="K262" s="11">
        <f>'Прил.№4 ведомств.'!L1096</f>
        <v>0.5</v>
      </c>
      <c r="L262" s="11">
        <f>'Прил.№4 ведомств.'!M1096</f>
        <v>0.5</v>
      </c>
      <c r="M262" s="11">
        <f>'Прил.№4 ведомств.'!N1096</f>
        <v>0</v>
      </c>
      <c r="N262" s="7">
        <f t="shared" si="119"/>
        <v>0</v>
      </c>
    </row>
    <row r="263" spans="1:14" ht="47.25" hidden="1">
      <c r="A263" s="35" t="s">
        <v>243</v>
      </c>
      <c r="B263" s="42" t="s">
        <v>765</v>
      </c>
      <c r="C263" s="42" t="s">
        <v>170</v>
      </c>
      <c r="D263" s="42" t="s">
        <v>192</v>
      </c>
      <c r="E263" s="42"/>
      <c r="F263" s="42"/>
      <c r="G263" s="11">
        <f>G264</f>
        <v>0.5</v>
      </c>
      <c r="H263" s="11">
        <f aca="true" t="shared" si="149" ref="H263:M264">H264</f>
        <v>0.5</v>
      </c>
      <c r="I263" s="11">
        <f t="shared" si="149"/>
        <v>0.5</v>
      </c>
      <c r="J263" s="11">
        <f t="shared" si="149"/>
        <v>0.5</v>
      </c>
      <c r="K263" s="11">
        <f t="shared" si="149"/>
        <v>0.5</v>
      </c>
      <c r="L263" s="11">
        <f t="shared" si="149"/>
        <v>0</v>
      </c>
      <c r="M263" s="11">
        <f t="shared" si="149"/>
        <v>0</v>
      </c>
      <c r="N263" s="7" t="e">
        <f t="shared" si="119"/>
        <v>#DIV/0!</v>
      </c>
    </row>
    <row r="264" spans="1:14" ht="31.5" hidden="1">
      <c r="A264" s="26" t="s">
        <v>183</v>
      </c>
      <c r="B264" s="42" t="s">
        <v>765</v>
      </c>
      <c r="C264" s="42" t="s">
        <v>170</v>
      </c>
      <c r="D264" s="42" t="s">
        <v>192</v>
      </c>
      <c r="E264" s="42" t="s">
        <v>184</v>
      </c>
      <c r="F264" s="42"/>
      <c r="G264" s="11">
        <f>G265</f>
        <v>0.5</v>
      </c>
      <c r="H264" s="11">
        <f t="shared" si="149"/>
        <v>0.5</v>
      </c>
      <c r="I264" s="11">
        <f t="shared" si="149"/>
        <v>0.5</v>
      </c>
      <c r="J264" s="11">
        <f t="shared" si="149"/>
        <v>0.5</v>
      </c>
      <c r="K264" s="11">
        <f t="shared" si="149"/>
        <v>0.5</v>
      </c>
      <c r="L264" s="11">
        <f t="shared" si="149"/>
        <v>0</v>
      </c>
      <c r="M264" s="11">
        <f t="shared" si="149"/>
        <v>0</v>
      </c>
      <c r="N264" s="7" t="e">
        <f t="shared" si="119"/>
        <v>#DIV/0!</v>
      </c>
    </row>
    <row r="265" spans="1:14" ht="31.5" hidden="1">
      <c r="A265" s="26" t="s">
        <v>185</v>
      </c>
      <c r="B265" s="42" t="s">
        <v>765</v>
      </c>
      <c r="C265" s="42" t="s">
        <v>170</v>
      </c>
      <c r="D265" s="42" t="s">
        <v>192</v>
      </c>
      <c r="E265" s="42" t="s">
        <v>186</v>
      </c>
      <c r="F265" s="42"/>
      <c r="G265" s="11">
        <f>'Прил.№4 ведомств.'!G79</f>
        <v>0.5</v>
      </c>
      <c r="H265" s="11">
        <f>'Прил.№4 ведомств.'!I79</f>
        <v>0.5</v>
      </c>
      <c r="I265" s="11">
        <f>'Прил.№4 ведомств.'!J79</f>
        <v>0.5</v>
      </c>
      <c r="J265" s="11">
        <f>'Прил.№4 ведомств.'!K79</f>
        <v>0.5</v>
      </c>
      <c r="K265" s="11">
        <f>'Прил.№4 ведомств.'!L79</f>
        <v>0.5</v>
      </c>
      <c r="L265" s="11">
        <f>'Прил.№4 ведомств.'!M79</f>
        <v>0</v>
      </c>
      <c r="M265" s="11">
        <f>'Прил.№4 ведомств.'!N79</f>
        <v>0</v>
      </c>
      <c r="N265" s="7" t="e">
        <f t="shared" si="119"/>
        <v>#DIV/0!</v>
      </c>
    </row>
    <row r="266" spans="1:14" ht="31.5">
      <c r="A266" s="31" t="s">
        <v>627</v>
      </c>
      <c r="B266" s="42" t="s">
        <v>214</v>
      </c>
      <c r="C266" s="42" t="s">
        <v>170</v>
      </c>
      <c r="D266" s="42" t="s">
        <v>192</v>
      </c>
      <c r="E266" s="42"/>
      <c r="F266" s="42" t="s">
        <v>985</v>
      </c>
      <c r="G266" s="11">
        <f>G248</f>
        <v>654</v>
      </c>
      <c r="H266" s="11">
        <f aca="true" t="shared" si="150" ref="H266:K266">H248</f>
        <v>654</v>
      </c>
      <c r="I266" s="11">
        <f t="shared" si="150"/>
        <v>669</v>
      </c>
      <c r="J266" s="11">
        <f t="shared" si="150"/>
        <v>669</v>
      </c>
      <c r="K266" s="11">
        <f t="shared" si="150"/>
        <v>669</v>
      </c>
      <c r="L266" s="11">
        <f>L260</f>
        <v>0.5</v>
      </c>
      <c r="M266" s="11">
        <f>M260</f>
        <v>0</v>
      </c>
      <c r="N266" s="7">
        <f t="shared" si="119"/>
        <v>0</v>
      </c>
    </row>
    <row r="267" spans="1:14" ht="78.75">
      <c r="A267" s="43" t="s">
        <v>305</v>
      </c>
      <c r="B267" s="269" t="s">
        <v>306</v>
      </c>
      <c r="C267" s="42"/>
      <c r="D267" s="42"/>
      <c r="E267" s="42"/>
      <c r="F267" s="42"/>
      <c r="G267" s="68">
        <f>G268</f>
        <v>10</v>
      </c>
      <c r="H267" s="68">
        <f aca="true" t="shared" si="151" ref="H267:M271">H268</f>
        <v>0</v>
      </c>
      <c r="I267" s="68">
        <f t="shared" si="151"/>
        <v>10</v>
      </c>
      <c r="J267" s="68">
        <f t="shared" si="151"/>
        <v>10</v>
      </c>
      <c r="K267" s="68">
        <f t="shared" si="151"/>
        <v>10</v>
      </c>
      <c r="L267" s="68">
        <f t="shared" si="151"/>
        <v>10</v>
      </c>
      <c r="M267" s="68">
        <f t="shared" si="151"/>
        <v>0</v>
      </c>
      <c r="N267" s="4">
        <f t="shared" si="119"/>
        <v>0</v>
      </c>
    </row>
    <row r="268" spans="1:14" ht="15.75">
      <c r="A268" s="31" t="s">
        <v>295</v>
      </c>
      <c r="B268" s="6" t="s">
        <v>306</v>
      </c>
      <c r="C268" s="42" t="s">
        <v>296</v>
      </c>
      <c r="D268" s="42"/>
      <c r="E268" s="42"/>
      <c r="F268" s="42"/>
      <c r="G268" s="11">
        <f>G269</f>
        <v>10</v>
      </c>
      <c r="H268" s="11">
        <f t="shared" si="151"/>
        <v>0</v>
      </c>
      <c r="I268" s="11">
        <f t="shared" si="151"/>
        <v>10</v>
      </c>
      <c r="J268" s="11">
        <f t="shared" si="151"/>
        <v>10</v>
      </c>
      <c r="K268" s="11">
        <f t="shared" si="151"/>
        <v>10</v>
      </c>
      <c r="L268" s="11">
        <f t="shared" si="151"/>
        <v>10</v>
      </c>
      <c r="M268" s="11">
        <f t="shared" si="151"/>
        <v>0</v>
      </c>
      <c r="N268" s="7">
        <f aca="true" t="shared" si="152" ref="N268:N331">M268/L268*100</f>
        <v>0</v>
      </c>
    </row>
    <row r="269" spans="1:14" ht="22.5" customHeight="1">
      <c r="A269" s="31" t="s">
        <v>304</v>
      </c>
      <c r="B269" s="6" t="s">
        <v>306</v>
      </c>
      <c r="C269" s="42" t="s">
        <v>296</v>
      </c>
      <c r="D269" s="42" t="s">
        <v>267</v>
      </c>
      <c r="E269" s="42"/>
      <c r="F269" s="42"/>
      <c r="G269" s="11">
        <f>G270</f>
        <v>10</v>
      </c>
      <c r="H269" s="11">
        <f t="shared" si="151"/>
        <v>0</v>
      </c>
      <c r="I269" s="11">
        <f t="shared" si="151"/>
        <v>10</v>
      </c>
      <c r="J269" s="11">
        <f t="shared" si="151"/>
        <v>10</v>
      </c>
      <c r="K269" s="11">
        <f t="shared" si="151"/>
        <v>10</v>
      </c>
      <c r="L269" s="11">
        <f t="shared" si="151"/>
        <v>10</v>
      </c>
      <c r="M269" s="11">
        <f t="shared" si="151"/>
        <v>0</v>
      </c>
      <c r="N269" s="7">
        <f t="shared" si="152"/>
        <v>0</v>
      </c>
    </row>
    <row r="270" spans="1:14" ht="31.5">
      <c r="A270" s="31" t="s">
        <v>209</v>
      </c>
      <c r="B270" s="6" t="s">
        <v>307</v>
      </c>
      <c r="C270" s="42" t="s">
        <v>296</v>
      </c>
      <c r="D270" s="42" t="s">
        <v>267</v>
      </c>
      <c r="E270" s="42"/>
      <c r="F270" s="42"/>
      <c r="G270" s="11">
        <f>G271</f>
        <v>10</v>
      </c>
      <c r="H270" s="11">
        <f t="shared" si="151"/>
        <v>0</v>
      </c>
      <c r="I270" s="11">
        <f t="shared" si="151"/>
        <v>10</v>
      </c>
      <c r="J270" s="11">
        <f t="shared" si="151"/>
        <v>10</v>
      </c>
      <c r="K270" s="11">
        <f t="shared" si="151"/>
        <v>10</v>
      </c>
      <c r="L270" s="11">
        <f t="shared" si="151"/>
        <v>10</v>
      </c>
      <c r="M270" s="11">
        <f t="shared" si="151"/>
        <v>0</v>
      </c>
      <c r="N270" s="7">
        <f t="shared" si="152"/>
        <v>0</v>
      </c>
    </row>
    <row r="271" spans="1:14" ht="38.25" customHeight="1">
      <c r="A271" s="31" t="s">
        <v>300</v>
      </c>
      <c r="B271" s="6" t="s">
        <v>307</v>
      </c>
      <c r="C271" s="42" t="s">
        <v>296</v>
      </c>
      <c r="D271" s="42" t="s">
        <v>267</v>
      </c>
      <c r="E271" s="42" t="s">
        <v>301</v>
      </c>
      <c r="F271" s="42"/>
      <c r="G271" s="11">
        <f>G272</f>
        <v>10</v>
      </c>
      <c r="H271" s="11">
        <f t="shared" si="151"/>
        <v>0</v>
      </c>
      <c r="I271" s="11">
        <f t="shared" si="151"/>
        <v>10</v>
      </c>
      <c r="J271" s="11">
        <f t="shared" si="151"/>
        <v>10</v>
      </c>
      <c r="K271" s="11">
        <f t="shared" si="151"/>
        <v>10</v>
      </c>
      <c r="L271" s="11">
        <f t="shared" si="151"/>
        <v>10</v>
      </c>
      <c r="M271" s="11">
        <f t="shared" si="151"/>
        <v>0</v>
      </c>
      <c r="N271" s="7">
        <f t="shared" si="152"/>
        <v>0</v>
      </c>
    </row>
    <row r="272" spans="1:14" ht="31.5">
      <c r="A272" s="31" t="s">
        <v>302</v>
      </c>
      <c r="B272" s="6" t="s">
        <v>307</v>
      </c>
      <c r="C272" s="42" t="s">
        <v>296</v>
      </c>
      <c r="D272" s="42" t="s">
        <v>267</v>
      </c>
      <c r="E272" s="42" t="s">
        <v>303</v>
      </c>
      <c r="F272" s="42"/>
      <c r="G272" s="11">
        <f>'Прил.№4 ведомств.'!G229</f>
        <v>10</v>
      </c>
      <c r="H272" s="11">
        <f>'Прил.№4 ведомств.'!I229</f>
        <v>0</v>
      </c>
      <c r="I272" s="11">
        <f>'Прил.№4 ведомств.'!J229</f>
        <v>10</v>
      </c>
      <c r="J272" s="11">
        <f>'Прил.№4 ведомств.'!K229</f>
        <v>10</v>
      </c>
      <c r="K272" s="11">
        <f>'Прил.№4 ведомств.'!L229</f>
        <v>10</v>
      </c>
      <c r="L272" s="11">
        <f>'Прил.№4 ведомств.'!M229</f>
        <v>10</v>
      </c>
      <c r="M272" s="11">
        <f>'Прил.№4 ведомств.'!N229</f>
        <v>0</v>
      </c>
      <c r="N272" s="7">
        <f t="shared" si="152"/>
        <v>0</v>
      </c>
    </row>
    <row r="273" spans="1:14" ht="15.75">
      <c r="A273" s="47" t="s">
        <v>200</v>
      </c>
      <c r="B273" s="6" t="s">
        <v>306</v>
      </c>
      <c r="C273" s="42" t="s">
        <v>296</v>
      </c>
      <c r="D273" s="42" t="s">
        <v>267</v>
      </c>
      <c r="E273" s="42"/>
      <c r="F273" s="42" t="s">
        <v>719</v>
      </c>
      <c r="G273" s="11">
        <f>G267</f>
        <v>10</v>
      </c>
      <c r="H273" s="11">
        <f aca="true" t="shared" si="153" ref="H273:L273">H267</f>
        <v>0</v>
      </c>
      <c r="I273" s="11">
        <f t="shared" si="153"/>
        <v>10</v>
      </c>
      <c r="J273" s="11">
        <f t="shared" si="153"/>
        <v>10</v>
      </c>
      <c r="K273" s="11">
        <f t="shared" si="153"/>
        <v>10</v>
      </c>
      <c r="L273" s="11">
        <f t="shared" si="153"/>
        <v>10</v>
      </c>
      <c r="M273" s="11">
        <f aca="true" t="shared" si="154" ref="M273">M267</f>
        <v>0</v>
      </c>
      <c r="N273" s="7">
        <f t="shared" si="152"/>
        <v>0</v>
      </c>
    </row>
    <row r="274" spans="1:14" ht="94.5">
      <c r="A274" s="43" t="s">
        <v>653</v>
      </c>
      <c r="B274" s="269" t="s">
        <v>220</v>
      </c>
      <c r="C274" s="8"/>
      <c r="D274" s="8"/>
      <c r="E274" s="8"/>
      <c r="F274" s="8"/>
      <c r="G274" s="68">
        <f>G275+G282+G289</f>
        <v>80</v>
      </c>
      <c r="H274" s="68">
        <f aca="true" t="shared" si="155" ref="H274:L274">H275+H282+H289</f>
        <v>80</v>
      </c>
      <c r="I274" s="68">
        <f t="shared" si="155"/>
        <v>120</v>
      </c>
      <c r="J274" s="68">
        <f t="shared" si="155"/>
        <v>120</v>
      </c>
      <c r="K274" s="68">
        <f t="shared" si="155"/>
        <v>120</v>
      </c>
      <c r="L274" s="68">
        <f t="shared" si="155"/>
        <v>120</v>
      </c>
      <c r="M274" s="68">
        <f aca="true" t="shared" si="156" ref="M274">M275+M282+M289</f>
        <v>25</v>
      </c>
      <c r="N274" s="4">
        <f t="shared" si="152"/>
        <v>20.833333333333336</v>
      </c>
    </row>
    <row r="275" spans="1:14" ht="78.75">
      <c r="A275" s="43" t="s">
        <v>221</v>
      </c>
      <c r="B275" s="269" t="s">
        <v>222</v>
      </c>
      <c r="C275" s="8"/>
      <c r="D275" s="8"/>
      <c r="E275" s="8"/>
      <c r="F275" s="8"/>
      <c r="G275" s="68">
        <f>G276</f>
        <v>15</v>
      </c>
      <c r="H275" s="68">
        <f aca="true" t="shared" si="157" ref="H275:M279">H276</f>
        <v>15</v>
      </c>
      <c r="I275" s="68">
        <f t="shared" si="157"/>
        <v>25</v>
      </c>
      <c r="J275" s="68">
        <f t="shared" si="157"/>
        <v>25</v>
      </c>
      <c r="K275" s="68">
        <f t="shared" si="157"/>
        <v>25</v>
      </c>
      <c r="L275" s="68">
        <f t="shared" si="157"/>
        <v>25</v>
      </c>
      <c r="M275" s="68">
        <f t="shared" si="157"/>
        <v>25</v>
      </c>
      <c r="N275" s="4">
        <f t="shared" si="152"/>
        <v>100</v>
      </c>
    </row>
    <row r="276" spans="1:14" ht="15.75">
      <c r="A276" s="47" t="s">
        <v>169</v>
      </c>
      <c r="B276" s="6" t="s">
        <v>222</v>
      </c>
      <c r="C276" s="42" t="s">
        <v>170</v>
      </c>
      <c r="D276" s="42"/>
      <c r="E276" s="42"/>
      <c r="F276" s="42"/>
      <c r="G276" s="11">
        <f>G277</f>
        <v>15</v>
      </c>
      <c r="H276" s="11">
        <f t="shared" si="157"/>
        <v>15</v>
      </c>
      <c r="I276" s="11">
        <f t="shared" si="157"/>
        <v>25</v>
      </c>
      <c r="J276" s="11">
        <f t="shared" si="157"/>
        <v>25</v>
      </c>
      <c r="K276" s="11">
        <f t="shared" si="157"/>
        <v>25</v>
      </c>
      <c r="L276" s="11">
        <f t="shared" si="157"/>
        <v>25</v>
      </c>
      <c r="M276" s="11">
        <f t="shared" si="157"/>
        <v>25</v>
      </c>
      <c r="N276" s="7">
        <f t="shared" si="152"/>
        <v>100</v>
      </c>
    </row>
    <row r="277" spans="1:14" ht="33.75" customHeight="1">
      <c r="A277" s="47" t="s">
        <v>191</v>
      </c>
      <c r="B277" s="6" t="s">
        <v>222</v>
      </c>
      <c r="C277" s="42" t="s">
        <v>170</v>
      </c>
      <c r="D277" s="42" t="s">
        <v>192</v>
      </c>
      <c r="E277" s="42"/>
      <c r="F277" s="42"/>
      <c r="G277" s="11">
        <f>G278</f>
        <v>15</v>
      </c>
      <c r="H277" s="11">
        <f t="shared" si="157"/>
        <v>15</v>
      </c>
      <c r="I277" s="11">
        <f t="shared" si="157"/>
        <v>25</v>
      </c>
      <c r="J277" s="11">
        <f t="shared" si="157"/>
        <v>25</v>
      </c>
      <c r="K277" s="11">
        <f t="shared" si="157"/>
        <v>25</v>
      </c>
      <c r="L277" s="11">
        <f t="shared" si="157"/>
        <v>25</v>
      </c>
      <c r="M277" s="11">
        <f t="shared" si="157"/>
        <v>25</v>
      </c>
      <c r="N277" s="7">
        <f t="shared" si="152"/>
        <v>100</v>
      </c>
    </row>
    <row r="278" spans="1:14" ht="31.5">
      <c r="A278" s="205" t="s">
        <v>223</v>
      </c>
      <c r="B278" s="6" t="s">
        <v>224</v>
      </c>
      <c r="C278" s="42" t="s">
        <v>170</v>
      </c>
      <c r="D278" s="42" t="s">
        <v>192</v>
      </c>
      <c r="E278" s="42"/>
      <c r="F278" s="42"/>
      <c r="G278" s="11">
        <f>G279</f>
        <v>15</v>
      </c>
      <c r="H278" s="11">
        <f t="shared" si="157"/>
        <v>15</v>
      </c>
      <c r="I278" s="11">
        <f t="shared" si="157"/>
        <v>25</v>
      </c>
      <c r="J278" s="11">
        <f t="shared" si="157"/>
        <v>25</v>
      </c>
      <c r="K278" s="11">
        <f t="shared" si="157"/>
        <v>25</v>
      </c>
      <c r="L278" s="11">
        <f t="shared" si="157"/>
        <v>25</v>
      </c>
      <c r="M278" s="11">
        <f t="shared" si="157"/>
        <v>25</v>
      </c>
      <c r="N278" s="7">
        <f t="shared" si="152"/>
        <v>100</v>
      </c>
    </row>
    <row r="279" spans="1:14" ht="31.5">
      <c r="A279" s="31" t="s">
        <v>183</v>
      </c>
      <c r="B279" s="6" t="s">
        <v>224</v>
      </c>
      <c r="C279" s="42" t="s">
        <v>170</v>
      </c>
      <c r="D279" s="42" t="s">
        <v>192</v>
      </c>
      <c r="E279" s="42" t="s">
        <v>184</v>
      </c>
      <c r="F279" s="42"/>
      <c r="G279" s="11">
        <f>G280</f>
        <v>15</v>
      </c>
      <c r="H279" s="11">
        <f t="shared" si="157"/>
        <v>15</v>
      </c>
      <c r="I279" s="11">
        <f t="shared" si="157"/>
        <v>25</v>
      </c>
      <c r="J279" s="11">
        <f t="shared" si="157"/>
        <v>25</v>
      </c>
      <c r="K279" s="11">
        <f t="shared" si="157"/>
        <v>25</v>
      </c>
      <c r="L279" s="11">
        <f t="shared" si="157"/>
        <v>25</v>
      </c>
      <c r="M279" s="11">
        <f t="shared" si="157"/>
        <v>25</v>
      </c>
      <c r="N279" s="7">
        <f t="shared" si="152"/>
        <v>100</v>
      </c>
    </row>
    <row r="280" spans="1:14" ht="31.5">
      <c r="A280" s="31" t="s">
        <v>185</v>
      </c>
      <c r="B280" s="6" t="s">
        <v>224</v>
      </c>
      <c r="C280" s="42" t="s">
        <v>170</v>
      </c>
      <c r="D280" s="42" t="s">
        <v>192</v>
      </c>
      <c r="E280" s="42" t="s">
        <v>186</v>
      </c>
      <c r="F280" s="42"/>
      <c r="G280" s="11">
        <f>'Прил.№4 ведомств.'!G84</f>
        <v>15</v>
      </c>
      <c r="H280" s="11">
        <f>'Прил.№4 ведомств.'!I84</f>
        <v>15</v>
      </c>
      <c r="I280" s="11">
        <f>'Прил.№4 ведомств.'!J84</f>
        <v>25</v>
      </c>
      <c r="J280" s="11">
        <f>'Прил.№4 ведомств.'!K84</f>
        <v>25</v>
      </c>
      <c r="K280" s="11">
        <f>'Прил.№4 ведомств.'!L84</f>
        <v>25</v>
      </c>
      <c r="L280" s="11">
        <f>'Прил.№4 ведомств.'!M250</f>
        <v>25</v>
      </c>
      <c r="M280" s="11">
        <f>'Прил.№4 ведомств.'!N250</f>
        <v>25</v>
      </c>
      <c r="N280" s="7">
        <f t="shared" si="152"/>
        <v>100</v>
      </c>
    </row>
    <row r="281" spans="1:14" ht="47.25">
      <c r="A281" s="47" t="s">
        <v>313</v>
      </c>
      <c r="B281" s="6" t="s">
        <v>222</v>
      </c>
      <c r="C281" s="42" t="s">
        <v>170</v>
      </c>
      <c r="D281" s="42" t="s">
        <v>192</v>
      </c>
      <c r="E281" s="42"/>
      <c r="F281" s="42" t="s">
        <v>705</v>
      </c>
      <c r="G281" s="7">
        <f>G275</f>
        <v>15</v>
      </c>
      <c r="H281" s="7">
        <f aca="true" t="shared" si="158" ref="H281:K281">H275</f>
        <v>15</v>
      </c>
      <c r="I281" s="7">
        <f t="shared" si="158"/>
        <v>25</v>
      </c>
      <c r="J281" s="7">
        <f t="shared" si="158"/>
        <v>25</v>
      </c>
      <c r="K281" s="7">
        <f t="shared" si="158"/>
        <v>25</v>
      </c>
      <c r="L281" s="7">
        <f>'Прил.№4 ведомств.'!M250</f>
        <v>25</v>
      </c>
      <c r="M281" s="7">
        <f>'Прил.№4 ведомств.'!N250</f>
        <v>25</v>
      </c>
      <c r="N281" s="7">
        <f t="shared" si="152"/>
        <v>100</v>
      </c>
    </row>
    <row r="282" spans="1:14" ht="63">
      <c r="A282" s="43" t="s">
        <v>225</v>
      </c>
      <c r="B282" s="269" t="s">
        <v>226</v>
      </c>
      <c r="C282" s="8"/>
      <c r="D282" s="8"/>
      <c r="E282" s="8"/>
      <c r="F282" s="8"/>
      <c r="G282" s="68">
        <f>G283</f>
        <v>50</v>
      </c>
      <c r="H282" s="68">
        <f aca="true" t="shared" si="159" ref="H282:M286">H283</f>
        <v>50</v>
      </c>
      <c r="I282" s="68">
        <f t="shared" si="159"/>
        <v>70</v>
      </c>
      <c r="J282" s="68">
        <f t="shared" si="159"/>
        <v>70</v>
      </c>
      <c r="K282" s="68">
        <f t="shared" si="159"/>
        <v>70</v>
      </c>
      <c r="L282" s="68">
        <f t="shared" si="159"/>
        <v>70</v>
      </c>
      <c r="M282" s="68">
        <f t="shared" si="159"/>
        <v>0</v>
      </c>
      <c r="N282" s="4">
        <f t="shared" si="152"/>
        <v>0</v>
      </c>
    </row>
    <row r="283" spans="1:14" ht="15.75">
      <c r="A283" s="47" t="s">
        <v>169</v>
      </c>
      <c r="B283" s="6" t="s">
        <v>226</v>
      </c>
      <c r="C283" s="42" t="s">
        <v>170</v>
      </c>
      <c r="D283" s="42"/>
      <c r="E283" s="42"/>
      <c r="F283" s="42"/>
      <c r="G283" s="7">
        <f>G284</f>
        <v>50</v>
      </c>
      <c r="H283" s="7">
        <f t="shared" si="159"/>
        <v>50</v>
      </c>
      <c r="I283" s="7">
        <f t="shared" si="159"/>
        <v>70</v>
      </c>
      <c r="J283" s="7">
        <f t="shared" si="159"/>
        <v>70</v>
      </c>
      <c r="K283" s="7">
        <f t="shared" si="159"/>
        <v>70</v>
      </c>
      <c r="L283" s="7">
        <f t="shared" si="159"/>
        <v>70</v>
      </c>
      <c r="M283" s="7">
        <f t="shared" si="159"/>
        <v>0</v>
      </c>
      <c r="N283" s="7">
        <f t="shared" si="152"/>
        <v>0</v>
      </c>
    </row>
    <row r="284" spans="1:14" ht="15.75">
      <c r="A284" s="47" t="s">
        <v>191</v>
      </c>
      <c r="B284" s="6" t="s">
        <v>226</v>
      </c>
      <c r="C284" s="42" t="s">
        <v>170</v>
      </c>
      <c r="D284" s="42" t="s">
        <v>192</v>
      </c>
      <c r="E284" s="42"/>
      <c r="F284" s="42"/>
      <c r="G284" s="7">
        <f>G285</f>
        <v>50</v>
      </c>
      <c r="H284" s="7">
        <f t="shared" si="159"/>
        <v>50</v>
      </c>
      <c r="I284" s="7">
        <f t="shared" si="159"/>
        <v>70</v>
      </c>
      <c r="J284" s="7">
        <f t="shared" si="159"/>
        <v>70</v>
      </c>
      <c r="K284" s="7">
        <f t="shared" si="159"/>
        <v>70</v>
      </c>
      <c r="L284" s="7">
        <f t="shared" si="159"/>
        <v>70</v>
      </c>
      <c r="M284" s="7">
        <f t="shared" si="159"/>
        <v>0</v>
      </c>
      <c r="N284" s="7">
        <f t="shared" si="152"/>
        <v>0</v>
      </c>
    </row>
    <row r="285" spans="1:14" ht="15.75">
      <c r="A285" s="47" t="s">
        <v>227</v>
      </c>
      <c r="B285" s="6" t="s">
        <v>228</v>
      </c>
      <c r="C285" s="10" t="s">
        <v>170</v>
      </c>
      <c r="D285" s="10" t="s">
        <v>192</v>
      </c>
      <c r="E285" s="10"/>
      <c r="F285" s="27"/>
      <c r="G285" s="27">
        <f>G286</f>
        <v>50</v>
      </c>
      <c r="H285" s="27">
        <f t="shared" si="159"/>
        <v>50</v>
      </c>
      <c r="I285" s="27">
        <f t="shared" si="159"/>
        <v>70</v>
      </c>
      <c r="J285" s="27">
        <f t="shared" si="159"/>
        <v>70</v>
      </c>
      <c r="K285" s="27">
        <f t="shared" si="159"/>
        <v>70</v>
      </c>
      <c r="L285" s="27">
        <f t="shared" si="159"/>
        <v>70</v>
      </c>
      <c r="M285" s="27">
        <f t="shared" si="159"/>
        <v>0</v>
      </c>
      <c r="N285" s="7">
        <f t="shared" si="152"/>
        <v>0</v>
      </c>
    </row>
    <row r="286" spans="1:14" ht="31.5">
      <c r="A286" s="26" t="s">
        <v>183</v>
      </c>
      <c r="B286" s="6" t="s">
        <v>228</v>
      </c>
      <c r="C286" s="10" t="s">
        <v>170</v>
      </c>
      <c r="D286" s="10" t="s">
        <v>192</v>
      </c>
      <c r="E286" s="10" t="s">
        <v>184</v>
      </c>
      <c r="F286" s="27"/>
      <c r="G286" s="27">
        <f>G287</f>
        <v>50</v>
      </c>
      <c r="H286" s="27">
        <f t="shared" si="159"/>
        <v>50</v>
      </c>
      <c r="I286" s="27">
        <f t="shared" si="159"/>
        <v>70</v>
      </c>
      <c r="J286" s="27">
        <f t="shared" si="159"/>
        <v>70</v>
      </c>
      <c r="K286" s="27">
        <f t="shared" si="159"/>
        <v>70</v>
      </c>
      <c r="L286" s="27">
        <f t="shared" si="159"/>
        <v>70</v>
      </c>
      <c r="M286" s="27">
        <f t="shared" si="159"/>
        <v>0</v>
      </c>
      <c r="N286" s="7">
        <f t="shared" si="152"/>
        <v>0</v>
      </c>
    </row>
    <row r="287" spans="1:14" ht="31.5">
      <c r="A287" s="26" t="s">
        <v>185</v>
      </c>
      <c r="B287" s="6" t="s">
        <v>228</v>
      </c>
      <c r="C287" s="10" t="s">
        <v>170</v>
      </c>
      <c r="D287" s="10" t="s">
        <v>192</v>
      </c>
      <c r="E287" s="10" t="s">
        <v>186</v>
      </c>
      <c r="F287" s="27"/>
      <c r="G287" s="27">
        <f>'Прил.№4 ведомств.'!G88</f>
        <v>50</v>
      </c>
      <c r="H287" s="27">
        <f>'Прил.№4 ведомств.'!I88</f>
        <v>50</v>
      </c>
      <c r="I287" s="27">
        <f>'Прил.№4 ведомств.'!J88</f>
        <v>70</v>
      </c>
      <c r="J287" s="27">
        <f>'Прил.№4 ведомств.'!K88</f>
        <v>70</v>
      </c>
      <c r="K287" s="27">
        <f>'Прил.№4 ведомств.'!L88</f>
        <v>70</v>
      </c>
      <c r="L287" s="27">
        <f>'Прил.№4 ведомств.'!M88</f>
        <v>70</v>
      </c>
      <c r="M287" s="27">
        <f>'Прил.№4 ведомств.'!N88</f>
        <v>0</v>
      </c>
      <c r="N287" s="7">
        <f t="shared" si="152"/>
        <v>0</v>
      </c>
    </row>
    <row r="288" spans="1:14" ht="15.75">
      <c r="A288" s="31" t="s">
        <v>200</v>
      </c>
      <c r="B288" s="6" t="s">
        <v>226</v>
      </c>
      <c r="C288" s="42" t="s">
        <v>170</v>
      </c>
      <c r="D288" s="42" t="s">
        <v>192</v>
      </c>
      <c r="E288" s="42"/>
      <c r="F288" s="42" t="s">
        <v>719</v>
      </c>
      <c r="G288" s="7">
        <f>G282</f>
        <v>50</v>
      </c>
      <c r="H288" s="7">
        <f aca="true" t="shared" si="160" ref="H288:L288">H282</f>
        <v>50</v>
      </c>
      <c r="I288" s="7">
        <f t="shared" si="160"/>
        <v>70</v>
      </c>
      <c r="J288" s="7">
        <f t="shared" si="160"/>
        <v>70</v>
      </c>
      <c r="K288" s="7">
        <f t="shared" si="160"/>
        <v>70</v>
      </c>
      <c r="L288" s="7">
        <f t="shared" si="160"/>
        <v>70</v>
      </c>
      <c r="M288" s="7">
        <f aca="true" t="shared" si="161" ref="M288">M282</f>
        <v>0</v>
      </c>
      <c r="N288" s="7">
        <f t="shared" si="152"/>
        <v>0</v>
      </c>
    </row>
    <row r="289" spans="1:14" ht="47.25">
      <c r="A289" s="24" t="s">
        <v>229</v>
      </c>
      <c r="B289" s="269" t="s">
        <v>230</v>
      </c>
      <c r="C289" s="8"/>
      <c r="D289" s="8"/>
      <c r="E289" s="8"/>
      <c r="F289" s="8"/>
      <c r="G289" s="68">
        <f>G290</f>
        <v>15</v>
      </c>
      <c r="H289" s="68">
        <f aca="true" t="shared" si="162" ref="H289:M293">H290</f>
        <v>15</v>
      </c>
      <c r="I289" s="68">
        <f t="shared" si="162"/>
        <v>25</v>
      </c>
      <c r="J289" s="68">
        <f t="shared" si="162"/>
        <v>25</v>
      </c>
      <c r="K289" s="68">
        <f t="shared" si="162"/>
        <v>25</v>
      </c>
      <c r="L289" s="68">
        <f t="shared" si="162"/>
        <v>25</v>
      </c>
      <c r="M289" s="68">
        <f t="shared" si="162"/>
        <v>0</v>
      </c>
      <c r="N289" s="4">
        <f t="shared" si="152"/>
        <v>0</v>
      </c>
    </row>
    <row r="290" spans="1:14" ht="15.75">
      <c r="A290" s="47" t="s">
        <v>169</v>
      </c>
      <c r="B290" s="6" t="s">
        <v>230</v>
      </c>
      <c r="C290" s="42" t="s">
        <v>170</v>
      </c>
      <c r="D290" s="42"/>
      <c r="E290" s="42"/>
      <c r="F290" s="42"/>
      <c r="G290" s="11">
        <f>G291</f>
        <v>15</v>
      </c>
      <c r="H290" s="11">
        <f t="shared" si="162"/>
        <v>15</v>
      </c>
      <c r="I290" s="11">
        <f t="shared" si="162"/>
        <v>25</v>
      </c>
      <c r="J290" s="11">
        <f t="shared" si="162"/>
        <v>25</v>
      </c>
      <c r="K290" s="11">
        <f t="shared" si="162"/>
        <v>25</v>
      </c>
      <c r="L290" s="11">
        <f t="shared" si="162"/>
        <v>25</v>
      </c>
      <c r="M290" s="11">
        <f t="shared" si="162"/>
        <v>0</v>
      </c>
      <c r="N290" s="7">
        <f t="shared" si="152"/>
        <v>0</v>
      </c>
    </row>
    <row r="291" spans="1:14" ht="15.75">
      <c r="A291" s="47" t="s">
        <v>191</v>
      </c>
      <c r="B291" s="6" t="s">
        <v>230</v>
      </c>
      <c r="C291" s="42" t="s">
        <v>170</v>
      </c>
      <c r="D291" s="42" t="s">
        <v>192</v>
      </c>
      <c r="E291" s="42"/>
      <c r="F291" s="42"/>
      <c r="G291" s="11">
        <f>G292</f>
        <v>15</v>
      </c>
      <c r="H291" s="11">
        <f t="shared" si="162"/>
        <v>15</v>
      </c>
      <c r="I291" s="11">
        <f t="shared" si="162"/>
        <v>25</v>
      </c>
      <c r="J291" s="11">
        <f t="shared" si="162"/>
        <v>25</v>
      </c>
      <c r="K291" s="11">
        <f t="shared" si="162"/>
        <v>25</v>
      </c>
      <c r="L291" s="11">
        <f t="shared" si="162"/>
        <v>25</v>
      </c>
      <c r="M291" s="11">
        <f t="shared" si="162"/>
        <v>0</v>
      </c>
      <c r="N291" s="7">
        <f t="shared" si="152"/>
        <v>0</v>
      </c>
    </row>
    <row r="292" spans="1:14" ht="32.25" customHeight="1">
      <c r="A292" s="47" t="s">
        <v>231</v>
      </c>
      <c r="B292" s="6" t="s">
        <v>232</v>
      </c>
      <c r="C292" s="42" t="s">
        <v>170</v>
      </c>
      <c r="D292" s="42" t="s">
        <v>192</v>
      </c>
      <c r="E292" s="42"/>
      <c r="F292" s="42"/>
      <c r="G292" s="11">
        <f>G293</f>
        <v>15</v>
      </c>
      <c r="H292" s="11">
        <f t="shared" si="162"/>
        <v>15</v>
      </c>
      <c r="I292" s="11">
        <f t="shared" si="162"/>
        <v>25</v>
      </c>
      <c r="J292" s="11">
        <f t="shared" si="162"/>
        <v>25</v>
      </c>
      <c r="K292" s="11">
        <f t="shared" si="162"/>
        <v>25</v>
      </c>
      <c r="L292" s="11">
        <f t="shared" si="162"/>
        <v>25</v>
      </c>
      <c r="M292" s="11">
        <f t="shared" si="162"/>
        <v>0</v>
      </c>
      <c r="N292" s="7">
        <f t="shared" si="152"/>
        <v>0</v>
      </c>
    </row>
    <row r="293" spans="1:14" ht="31.5">
      <c r="A293" s="31" t="s">
        <v>183</v>
      </c>
      <c r="B293" s="6" t="s">
        <v>232</v>
      </c>
      <c r="C293" s="42" t="s">
        <v>170</v>
      </c>
      <c r="D293" s="42" t="s">
        <v>192</v>
      </c>
      <c r="E293" s="42" t="s">
        <v>184</v>
      </c>
      <c r="F293" s="42"/>
      <c r="G293" s="11">
        <f>G294</f>
        <v>15</v>
      </c>
      <c r="H293" s="11">
        <f t="shared" si="162"/>
        <v>15</v>
      </c>
      <c r="I293" s="11">
        <f t="shared" si="162"/>
        <v>25</v>
      </c>
      <c r="J293" s="11">
        <f t="shared" si="162"/>
        <v>25</v>
      </c>
      <c r="K293" s="11">
        <f t="shared" si="162"/>
        <v>25</v>
      </c>
      <c r="L293" s="11">
        <f t="shared" si="162"/>
        <v>25</v>
      </c>
      <c r="M293" s="11">
        <f t="shared" si="162"/>
        <v>0</v>
      </c>
      <c r="N293" s="7">
        <f t="shared" si="152"/>
        <v>0</v>
      </c>
    </row>
    <row r="294" spans="1:14" ht="31.5">
      <c r="A294" s="31" t="s">
        <v>185</v>
      </c>
      <c r="B294" s="6" t="s">
        <v>232</v>
      </c>
      <c r="C294" s="42" t="s">
        <v>170</v>
      </c>
      <c r="D294" s="42" t="s">
        <v>192</v>
      </c>
      <c r="E294" s="42" t="s">
        <v>186</v>
      </c>
      <c r="F294" s="42"/>
      <c r="G294" s="11">
        <f>'Прил.№4 ведомств.'!G92</f>
        <v>15</v>
      </c>
      <c r="H294" s="11">
        <f>'Прил.№4 ведомств.'!I92</f>
        <v>15</v>
      </c>
      <c r="I294" s="11">
        <f>'Прил.№4 ведомств.'!J92</f>
        <v>25</v>
      </c>
      <c r="J294" s="11">
        <f>'Прил.№4 ведомств.'!K92</f>
        <v>25</v>
      </c>
      <c r="K294" s="11">
        <f>'Прил.№4 ведомств.'!L92</f>
        <v>25</v>
      </c>
      <c r="L294" s="11">
        <f>'Прил.№4 ведомств.'!M92</f>
        <v>25</v>
      </c>
      <c r="M294" s="11">
        <f>'Прил.№4 ведомств.'!N92</f>
        <v>0</v>
      </c>
      <c r="N294" s="7">
        <f t="shared" si="152"/>
        <v>0</v>
      </c>
    </row>
    <row r="295" spans="1:14" ht="15.75">
      <c r="A295" s="31" t="s">
        <v>200</v>
      </c>
      <c r="B295" s="6" t="s">
        <v>230</v>
      </c>
      <c r="C295" s="42" t="s">
        <v>170</v>
      </c>
      <c r="D295" s="42" t="s">
        <v>192</v>
      </c>
      <c r="E295" s="42"/>
      <c r="F295" s="42" t="s">
        <v>719</v>
      </c>
      <c r="G295" s="11">
        <f>G289</f>
        <v>15</v>
      </c>
      <c r="H295" s="11">
        <f aca="true" t="shared" si="163" ref="H295:L295">H289</f>
        <v>15</v>
      </c>
      <c r="I295" s="11">
        <f t="shared" si="163"/>
        <v>25</v>
      </c>
      <c r="J295" s="11">
        <f t="shared" si="163"/>
        <v>25</v>
      </c>
      <c r="K295" s="11">
        <f t="shared" si="163"/>
        <v>25</v>
      </c>
      <c r="L295" s="11">
        <f t="shared" si="163"/>
        <v>25</v>
      </c>
      <c r="M295" s="11">
        <f aca="true" t="shared" si="164" ref="M295">M289</f>
        <v>0</v>
      </c>
      <c r="N295" s="7">
        <f t="shared" si="152"/>
        <v>0</v>
      </c>
    </row>
    <row r="296" spans="1:14" ht="69" customHeight="1">
      <c r="A296" s="43" t="s">
        <v>534</v>
      </c>
      <c r="B296" s="3" t="s">
        <v>535</v>
      </c>
      <c r="C296" s="79"/>
      <c r="D296" s="79"/>
      <c r="E296" s="79"/>
      <c r="F296" s="79"/>
      <c r="G296" s="4">
        <f aca="true" t="shared" si="165" ref="G296:L296">G298+G325+G349</f>
        <v>36478.9</v>
      </c>
      <c r="H296" s="4">
        <f t="shared" si="165"/>
        <v>41702</v>
      </c>
      <c r="I296" s="4">
        <f t="shared" si="165"/>
        <v>72379.4</v>
      </c>
      <c r="J296" s="4">
        <f t="shared" si="165"/>
        <v>74277.6</v>
      </c>
      <c r="K296" s="4">
        <f t="shared" si="165"/>
        <v>75462.8</v>
      </c>
      <c r="L296" s="4">
        <f t="shared" si="165"/>
        <v>56009.2</v>
      </c>
      <c r="M296" s="4">
        <f aca="true" t="shared" si="166" ref="M296">M298+M325+M349</f>
        <v>26399</v>
      </c>
      <c r="N296" s="4">
        <f t="shared" si="152"/>
        <v>47.133328096098495</v>
      </c>
    </row>
    <row r="297" spans="1:14" ht="63">
      <c r="A297" s="43" t="s">
        <v>720</v>
      </c>
      <c r="B297" s="3" t="s">
        <v>537</v>
      </c>
      <c r="C297" s="80"/>
      <c r="D297" s="80"/>
      <c r="E297" s="80"/>
      <c r="F297" s="80"/>
      <c r="G297" s="68">
        <f>G298</f>
        <v>10758</v>
      </c>
      <c r="H297" s="68">
        <f aca="true" t="shared" si="167" ref="H297:M298">H298</f>
        <v>10758</v>
      </c>
      <c r="I297" s="68">
        <f t="shared" si="167"/>
        <v>16464.5</v>
      </c>
      <c r="J297" s="68">
        <f t="shared" si="167"/>
        <v>16607.3</v>
      </c>
      <c r="K297" s="68">
        <f t="shared" si="167"/>
        <v>16742.6</v>
      </c>
      <c r="L297" s="68">
        <f t="shared" si="167"/>
        <v>11806.7</v>
      </c>
      <c r="M297" s="68">
        <f t="shared" si="167"/>
        <v>6329.2</v>
      </c>
      <c r="N297" s="4">
        <f t="shared" si="152"/>
        <v>53.60685034768393</v>
      </c>
    </row>
    <row r="298" spans="1:14" ht="15.75">
      <c r="A298" s="31" t="s">
        <v>315</v>
      </c>
      <c r="B298" s="42" t="s">
        <v>537</v>
      </c>
      <c r="C298" s="42" t="s">
        <v>316</v>
      </c>
      <c r="D298" s="79"/>
      <c r="E298" s="79"/>
      <c r="F298" s="79"/>
      <c r="G298" s="11">
        <f>G299</f>
        <v>10758</v>
      </c>
      <c r="H298" s="11">
        <f t="shared" si="167"/>
        <v>10758</v>
      </c>
      <c r="I298" s="11">
        <f t="shared" si="167"/>
        <v>16464.5</v>
      </c>
      <c r="J298" s="11">
        <f t="shared" si="167"/>
        <v>16607.3</v>
      </c>
      <c r="K298" s="11">
        <f t="shared" si="167"/>
        <v>16742.6</v>
      </c>
      <c r="L298" s="11">
        <f t="shared" si="167"/>
        <v>11806.7</v>
      </c>
      <c r="M298" s="11">
        <f t="shared" si="167"/>
        <v>6329.2</v>
      </c>
      <c r="N298" s="7">
        <f t="shared" si="152"/>
        <v>53.60685034768393</v>
      </c>
    </row>
    <row r="299" spans="1:14" ht="15.75">
      <c r="A299" s="31" t="s">
        <v>317</v>
      </c>
      <c r="B299" s="42" t="s">
        <v>537</v>
      </c>
      <c r="C299" s="42" t="s">
        <v>316</v>
      </c>
      <c r="D299" s="42" t="s">
        <v>267</v>
      </c>
      <c r="E299" s="79"/>
      <c r="F299" s="79"/>
      <c r="G299" s="11">
        <f>G300+G315+G318+G321</f>
        <v>10758</v>
      </c>
      <c r="H299" s="11">
        <f aca="true" t="shared" si="168" ref="H299:L299">H300+H315+H318+H321</f>
        <v>10758</v>
      </c>
      <c r="I299" s="11">
        <f t="shared" si="168"/>
        <v>16464.5</v>
      </c>
      <c r="J299" s="11">
        <f t="shared" si="168"/>
        <v>16607.3</v>
      </c>
      <c r="K299" s="11">
        <f t="shared" si="168"/>
        <v>16742.6</v>
      </c>
      <c r="L299" s="11">
        <f t="shared" si="168"/>
        <v>11806.7</v>
      </c>
      <c r="M299" s="11">
        <f aca="true" t="shared" si="169" ref="M299">M300+M315+M318+M321</f>
        <v>6329.2</v>
      </c>
      <c r="N299" s="7">
        <f t="shared" si="152"/>
        <v>53.60685034768393</v>
      </c>
    </row>
    <row r="300" spans="1:14" ht="47.25">
      <c r="A300" s="31" t="s">
        <v>322</v>
      </c>
      <c r="B300" s="42" t="s">
        <v>538</v>
      </c>
      <c r="C300" s="42" t="s">
        <v>316</v>
      </c>
      <c r="D300" s="42" t="s">
        <v>267</v>
      </c>
      <c r="E300" s="79"/>
      <c r="F300" s="79"/>
      <c r="G300" s="11">
        <f>G301</f>
        <v>10722</v>
      </c>
      <c r="H300" s="11">
        <f aca="true" t="shared" si="170" ref="H300:M301">H301</f>
        <v>10722</v>
      </c>
      <c r="I300" s="11">
        <f t="shared" si="170"/>
        <v>15788.3</v>
      </c>
      <c r="J300" s="11">
        <f t="shared" si="170"/>
        <v>15931.1</v>
      </c>
      <c r="K300" s="11">
        <f t="shared" si="170"/>
        <v>16066.4</v>
      </c>
      <c r="L300" s="11">
        <f t="shared" si="170"/>
        <v>11348.5</v>
      </c>
      <c r="M300" s="11">
        <f t="shared" si="170"/>
        <v>5948.6</v>
      </c>
      <c r="N300" s="7">
        <f t="shared" si="152"/>
        <v>52.41750011014672</v>
      </c>
    </row>
    <row r="301" spans="1:14" ht="31.5">
      <c r="A301" s="31" t="s">
        <v>324</v>
      </c>
      <c r="B301" s="42" t="s">
        <v>538</v>
      </c>
      <c r="C301" s="42" t="s">
        <v>316</v>
      </c>
      <c r="D301" s="42" t="s">
        <v>267</v>
      </c>
      <c r="E301" s="42" t="s">
        <v>325</v>
      </c>
      <c r="F301" s="79"/>
      <c r="G301" s="11">
        <f>G302</f>
        <v>10722</v>
      </c>
      <c r="H301" s="11">
        <f t="shared" si="170"/>
        <v>10722</v>
      </c>
      <c r="I301" s="11">
        <f t="shared" si="170"/>
        <v>15788.3</v>
      </c>
      <c r="J301" s="11">
        <f t="shared" si="170"/>
        <v>15931.1</v>
      </c>
      <c r="K301" s="11">
        <f t="shared" si="170"/>
        <v>16066.4</v>
      </c>
      <c r="L301" s="11">
        <f t="shared" si="170"/>
        <v>11348.5</v>
      </c>
      <c r="M301" s="11">
        <f t="shared" si="170"/>
        <v>5948.6</v>
      </c>
      <c r="N301" s="7">
        <f t="shared" si="152"/>
        <v>52.41750011014672</v>
      </c>
    </row>
    <row r="302" spans="1:14" ht="15.75">
      <c r="A302" s="31" t="s">
        <v>326</v>
      </c>
      <c r="B302" s="42" t="s">
        <v>538</v>
      </c>
      <c r="C302" s="42" t="s">
        <v>316</v>
      </c>
      <c r="D302" s="42" t="s">
        <v>267</v>
      </c>
      <c r="E302" s="42" t="s">
        <v>327</v>
      </c>
      <c r="F302" s="79"/>
      <c r="G302" s="11">
        <f>'Прил.№4 ведомств.'!G786</f>
        <v>10722</v>
      </c>
      <c r="H302" s="11">
        <f>'Прил.№4 ведомств.'!I786</f>
        <v>10722</v>
      </c>
      <c r="I302" s="11">
        <f>'Прил.№4 ведомств.'!J786</f>
        <v>15788.3</v>
      </c>
      <c r="J302" s="11">
        <f>'Прил.№4 ведомств.'!K786</f>
        <v>15931.1</v>
      </c>
      <c r="K302" s="11">
        <f>'Прил.№4 ведомств.'!L786</f>
        <v>16066.4</v>
      </c>
      <c r="L302" s="11">
        <f>'Прил.№4 ведомств.'!M786</f>
        <v>11348.5</v>
      </c>
      <c r="M302" s="11">
        <f>'Прил.№4 ведомств.'!N786</f>
        <v>5948.6</v>
      </c>
      <c r="N302" s="7">
        <f t="shared" si="152"/>
        <v>52.41750011014672</v>
      </c>
    </row>
    <row r="303" spans="1:14" ht="78.75" customHeight="1" hidden="1">
      <c r="A303" s="31" t="s">
        <v>658</v>
      </c>
      <c r="B303" s="42" t="s">
        <v>721</v>
      </c>
      <c r="C303" s="42" t="s">
        <v>316</v>
      </c>
      <c r="D303" s="42" t="s">
        <v>267</v>
      </c>
      <c r="E303" s="42"/>
      <c r="F303" s="79"/>
      <c r="G303" s="11">
        <f>G304</f>
        <v>0</v>
      </c>
      <c r="H303" s="11">
        <f aca="true" t="shared" si="171" ref="H303:M305">H304</f>
        <v>0</v>
      </c>
      <c r="I303" s="11">
        <f t="shared" si="171"/>
        <v>0</v>
      </c>
      <c r="J303" s="11">
        <f t="shared" si="171"/>
        <v>0</v>
      </c>
      <c r="K303" s="11">
        <f t="shared" si="171"/>
        <v>0</v>
      </c>
      <c r="L303" s="11">
        <f t="shared" si="171"/>
        <v>0</v>
      </c>
      <c r="M303" s="11">
        <f t="shared" si="171"/>
        <v>0</v>
      </c>
      <c r="N303" s="7" t="e">
        <f t="shared" si="152"/>
        <v>#DIV/0!</v>
      </c>
    </row>
    <row r="304" spans="1:14" ht="31.5" hidden="1">
      <c r="A304" s="31" t="s">
        <v>324</v>
      </c>
      <c r="B304" s="42" t="s">
        <v>721</v>
      </c>
      <c r="C304" s="42" t="s">
        <v>316</v>
      </c>
      <c r="D304" s="42" t="s">
        <v>267</v>
      </c>
      <c r="E304" s="42" t="s">
        <v>325</v>
      </c>
      <c r="F304" s="79"/>
      <c r="G304" s="11">
        <f>G305</f>
        <v>0</v>
      </c>
      <c r="H304" s="11">
        <f t="shared" si="171"/>
        <v>0</v>
      </c>
      <c r="I304" s="11">
        <f t="shared" si="171"/>
        <v>0</v>
      </c>
      <c r="J304" s="11">
        <f t="shared" si="171"/>
        <v>0</v>
      </c>
      <c r="K304" s="11">
        <f t="shared" si="171"/>
        <v>0</v>
      </c>
      <c r="L304" s="11">
        <f t="shared" si="171"/>
        <v>0</v>
      </c>
      <c r="M304" s="11">
        <f t="shared" si="171"/>
        <v>0</v>
      </c>
      <c r="N304" s="7" t="e">
        <f t="shared" si="152"/>
        <v>#DIV/0!</v>
      </c>
    </row>
    <row r="305" spans="1:14" ht="15.75" hidden="1">
      <c r="A305" s="31" t="s">
        <v>326</v>
      </c>
      <c r="B305" s="42" t="s">
        <v>721</v>
      </c>
      <c r="C305" s="42" t="s">
        <v>316</v>
      </c>
      <c r="D305" s="42" t="s">
        <v>267</v>
      </c>
      <c r="E305" s="42" t="s">
        <v>327</v>
      </c>
      <c r="F305" s="79"/>
      <c r="G305" s="11">
        <f>G306</f>
        <v>0</v>
      </c>
      <c r="H305" s="11">
        <f t="shared" si="171"/>
        <v>0</v>
      </c>
      <c r="I305" s="11">
        <f t="shared" si="171"/>
        <v>0</v>
      </c>
      <c r="J305" s="11">
        <f t="shared" si="171"/>
        <v>0</v>
      </c>
      <c r="K305" s="11">
        <f t="shared" si="171"/>
        <v>0</v>
      </c>
      <c r="L305" s="11">
        <f t="shared" si="171"/>
        <v>0</v>
      </c>
      <c r="M305" s="11">
        <f t="shared" si="171"/>
        <v>0</v>
      </c>
      <c r="N305" s="7" t="e">
        <f t="shared" si="152"/>
        <v>#DIV/0!</v>
      </c>
    </row>
    <row r="306" spans="1:14" ht="31.5" hidden="1">
      <c r="A306" s="48" t="s">
        <v>533</v>
      </c>
      <c r="B306" s="42" t="s">
        <v>721</v>
      </c>
      <c r="C306" s="42" t="s">
        <v>316</v>
      </c>
      <c r="D306" s="42" t="s">
        <v>267</v>
      </c>
      <c r="E306" s="42"/>
      <c r="F306" s="2">
        <v>907</v>
      </c>
      <c r="G306" s="11">
        <f>1500-1500</f>
        <v>0</v>
      </c>
      <c r="H306" s="11">
        <f aca="true" t="shared" si="172" ref="H306:M306">1500-1500</f>
        <v>0</v>
      </c>
      <c r="I306" s="11">
        <f t="shared" si="172"/>
        <v>0</v>
      </c>
      <c r="J306" s="11">
        <f t="shared" si="172"/>
        <v>0</v>
      </c>
      <c r="K306" s="11">
        <f t="shared" si="172"/>
        <v>0</v>
      </c>
      <c r="L306" s="11">
        <f t="shared" si="172"/>
        <v>0</v>
      </c>
      <c r="M306" s="11">
        <f t="shared" si="172"/>
        <v>0</v>
      </c>
      <c r="N306" s="7" t="e">
        <f t="shared" si="152"/>
        <v>#DIV/0!</v>
      </c>
    </row>
    <row r="307" spans="1:14" ht="31.5" hidden="1">
      <c r="A307" s="31" t="s">
        <v>330</v>
      </c>
      <c r="B307" s="42" t="s">
        <v>722</v>
      </c>
      <c r="C307" s="42" t="s">
        <v>316</v>
      </c>
      <c r="D307" s="42" t="s">
        <v>267</v>
      </c>
      <c r="E307" s="42"/>
      <c r="F307" s="79"/>
      <c r="G307" s="11">
        <f>G308</f>
        <v>0</v>
      </c>
      <c r="H307" s="11">
        <f aca="true" t="shared" si="173" ref="H307:M308">H308</f>
        <v>0</v>
      </c>
      <c r="I307" s="11">
        <f t="shared" si="173"/>
        <v>0</v>
      </c>
      <c r="J307" s="11">
        <f t="shared" si="173"/>
        <v>0</v>
      </c>
      <c r="K307" s="11">
        <f t="shared" si="173"/>
        <v>0</v>
      </c>
      <c r="L307" s="11">
        <f t="shared" si="173"/>
        <v>0</v>
      </c>
      <c r="M307" s="11">
        <f t="shared" si="173"/>
        <v>0</v>
      </c>
      <c r="N307" s="7" t="e">
        <f t="shared" si="152"/>
        <v>#DIV/0!</v>
      </c>
    </row>
    <row r="308" spans="1:14" ht="31.5" hidden="1">
      <c r="A308" s="31" t="s">
        <v>324</v>
      </c>
      <c r="B308" s="42" t="s">
        <v>722</v>
      </c>
      <c r="C308" s="42" t="s">
        <v>316</v>
      </c>
      <c r="D308" s="42" t="s">
        <v>267</v>
      </c>
      <c r="E308" s="42" t="s">
        <v>325</v>
      </c>
      <c r="F308" s="79"/>
      <c r="G308" s="11">
        <f>G309</f>
        <v>0</v>
      </c>
      <c r="H308" s="11">
        <f t="shared" si="173"/>
        <v>0</v>
      </c>
      <c r="I308" s="11">
        <f t="shared" si="173"/>
        <v>0</v>
      </c>
      <c r="J308" s="11">
        <f t="shared" si="173"/>
        <v>0</v>
      </c>
      <c r="K308" s="11">
        <f t="shared" si="173"/>
        <v>0</v>
      </c>
      <c r="L308" s="11">
        <f t="shared" si="173"/>
        <v>0</v>
      </c>
      <c r="M308" s="11">
        <f t="shared" si="173"/>
        <v>0</v>
      </c>
      <c r="N308" s="7" t="e">
        <f t="shared" si="152"/>
        <v>#DIV/0!</v>
      </c>
    </row>
    <row r="309" spans="1:14" ht="15.75" hidden="1">
      <c r="A309" s="31" t="s">
        <v>326</v>
      </c>
      <c r="B309" s="42" t="s">
        <v>722</v>
      </c>
      <c r="C309" s="42" t="s">
        <v>316</v>
      </c>
      <c r="D309" s="42" t="s">
        <v>267</v>
      </c>
      <c r="E309" s="42" t="s">
        <v>327</v>
      </c>
      <c r="F309" s="79"/>
      <c r="G309" s="11"/>
      <c r="H309" s="11"/>
      <c r="I309" s="11"/>
      <c r="J309" s="11"/>
      <c r="K309" s="11"/>
      <c r="L309" s="11"/>
      <c r="M309" s="11"/>
      <c r="N309" s="7" t="e">
        <f t="shared" si="152"/>
        <v>#DIV/0!</v>
      </c>
    </row>
    <row r="310" spans="1:14" ht="31.5" hidden="1">
      <c r="A310" s="48" t="s">
        <v>533</v>
      </c>
      <c r="B310" s="42" t="s">
        <v>722</v>
      </c>
      <c r="C310" s="42" t="s">
        <v>316</v>
      </c>
      <c r="D310" s="42" t="s">
        <v>267</v>
      </c>
      <c r="E310" s="42"/>
      <c r="F310" s="2">
        <v>907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7" t="e">
        <f t="shared" si="152"/>
        <v>#DIV/0!</v>
      </c>
    </row>
    <row r="311" spans="1:14" ht="31.5" hidden="1">
      <c r="A311" s="31" t="s">
        <v>332</v>
      </c>
      <c r="B311" s="42" t="s">
        <v>723</v>
      </c>
      <c r="C311" s="42" t="s">
        <v>316</v>
      </c>
      <c r="D311" s="42" t="s">
        <v>267</v>
      </c>
      <c r="E311" s="42"/>
      <c r="F311" s="79"/>
      <c r="G311" s="11">
        <f>G312</f>
        <v>0</v>
      </c>
      <c r="H311" s="11">
        <f aca="true" t="shared" si="174" ref="H311:M312">H312</f>
        <v>0</v>
      </c>
      <c r="I311" s="11">
        <f t="shared" si="174"/>
        <v>0</v>
      </c>
      <c r="J311" s="11">
        <f t="shared" si="174"/>
        <v>0</v>
      </c>
      <c r="K311" s="11">
        <f t="shared" si="174"/>
        <v>0</v>
      </c>
      <c r="L311" s="11">
        <f t="shared" si="174"/>
        <v>0</v>
      </c>
      <c r="M311" s="11">
        <f t="shared" si="174"/>
        <v>0</v>
      </c>
      <c r="N311" s="7" t="e">
        <f t="shared" si="152"/>
        <v>#DIV/0!</v>
      </c>
    </row>
    <row r="312" spans="1:14" ht="31.5" hidden="1">
      <c r="A312" s="31" t="s">
        <v>324</v>
      </c>
      <c r="B312" s="42" t="s">
        <v>723</v>
      </c>
      <c r="C312" s="42" t="s">
        <v>316</v>
      </c>
      <c r="D312" s="42" t="s">
        <v>267</v>
      </c>
      <c r="E312" s="42" t="s">
        <v>325</v>
      </c>
      <c r="F312" s="79"/>
      <c r="G312" s="11">
        <f>G313</f>
        <v>0</v>
      </c>
      <c r="H312" s="11">
        <f t="shared" si="174"/>
        <v>0</v>
      </c>
      <c r="I312" s="11">
        <f t="shared" si="174"/>
        <v>0</v>
      </c>
      <c r="J312" s="11">
        <f t="shared" si="174"/>
        <v>0</v>
      </c>
      <c r="K312" s="11">
        <f t="shared" si="174"/>
        <v>0</v>
      </c>
      <c r="L312" s="11">
        <f t="shared" si="174"/>
        <v>0</v>
      </c>
      <c r="M312" s="11">
        <f t="shared" si="174"/>
        <v>0</v>
      </c>
      <c r="N312" s="7" t="e">
        <f t="shared" si="152"/>
        <v>#DIV/0!</v>
      </c>
    </row>
    <row r="313" spans="1:14" ht="15.75" hidden="1">
      <c r="A313" s="31" t="s">
        <v>326</v>
      </c>
      <c r="B313" s="42" t="s">
        <v>723</v>
      </c>
      <c r="C313" s="42" t="s">
        <v>316</v>
      </c>
      <c r="D313" s="42" t="s">
        <v>267</v>
      </c>
      <c r="E313" s="42" t="s">
        <v>327</v>
      </c>
      <c r="F313" s="79"/>
      <c r="G313" s="11"/>
      <c r="H313" s="11"/>
      <c r="I313" s="11"/>
      <c r="J313" s="11"/>
      <c r="K313" s="11"/>
      <c r="L313" s="11"/>
      <c r="M313" s="11"/>
      <c r="N313" s="7" t="e">
        <f t="shared" si="152"/>
        <v>#DIV/0!</v>
      </c>
    </row>
    <row r="314" spans="1:14" ht="31.5" hidden="1">
      <c r="A314" s="48" t="s">
        <v>533</v>
      </c>
      <c r="B314" s="42" t="s">
        <v>723</v>
      </c>
      <c r="C314" s="42" t="s">
        <v>316</v>
      </c>
      <c r="D314" s="42" t="s">
        <v>267</v>
      </c>
      <c r="E314" s="42"/>
      <c r="F314" s="2">
        <v>907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7" t="e">
        <f t="shared" si="152"/>
        <v>#DIV/0!</v>
      </c>
    </row>
    <row r="315" spans="1:14" ht="31.5">
      <c r="A315" s="31" t="s">
        <v>334</v>
      </c>
      <c r="B315" s="42" t="s">
        <v>541</v>
      </c>
      <c r="C315" s="42" t="s">
        <v>316</v>
      </c>
      <c r="D315" s="42" t="s">
        <v>267</v>
      </c>
      <c r="E315" s="42"/>
      <c r="F315" s="79"/>
      <c r="G315" s="11">
        <f>G316</f>
        <v>36</v>
      </c>
      <c r="H315" s="11">
        <f aca="true" t="shared" si="175" ref="H315:M316">H316</f>
        <v>36</v>
      </c>
      <c r="I315" s="11">
        <f t="shared" si="175"/>
        <v>36</v>
      </c>
      <c r="J315" s="11">
        <f t="shared" si="175"/>
        <v>36</v>
      </c>
      <c r="K315" s="11">
        <f t="shared" si="175"/>
        <v>36</v>
      </c>
      <c r="L315" s="11">
        <f t="shared" si="175"/>
        <v>36</v>
      </c>
      <c r="M315" s="11">
        <f t="shared" si="175"/>
        <v>15.4</v>
      </c>
      <c r="N315" s="7">
        <f t="shared" si="152"/>
        <v>42.77777777777778</v>
      </c>
    </row>
    <row r="316" spans="1:14" ht="31.5">
      <c r="A316" s="31" t="s">
        <v>324</v>
      </c>
      <c r="B316" s="42" t="s">
        <v>541</v>
      </c>
      <c r="C316" s="42" t="s">
        <v>316</v>
      </c>
      <c r="D316" s="42" t="s">
        <v>267</v>
      </c>
      <c r="E316" s="42" t="s">
        <v>325</v>
      </c>
      <c r="F316" s="79"/>
      <c r="G316" s="11">
        <f>G317</f>
        <v>36</v>
      </c>
      <c r="H316" s="11">
        <f t="shared" si="175"/>
        <v>36</v>
      </c>
      <c r="I316" s="11">
        <f t="shared" si="175"/>
        <v>36</v>
      </c>
      <c r="J316" s="11">
        <f t="shared" si="175"/>
        <v>36</v>
      </c>
      <c r="K316" s="11">
        <f t="shared" si="175"/>
        <v>36</v>
      </c>
      <c r="L316" s="11">
        <f t="shared" si="175"/>
        <v>36</v>
      </c>
      <c r="M316" s="11">
        <f t="shared" si="175"/>
        <v>15.4</v>
      </c>
      <c r="N316" s="7">
        <f t="shared" si="152"/>
        <v>42.77777777777778</v>
      </c>
    </row>
    <row r="317" spans="1:14" ht="15.75">
      <c r="A317" s="31" t="s">
        <v>326</v>
      </c>
      <c r="B317" s="42" t="s">
        <v>541</v>
      </c>
      <c r="C317" s="42" t="s">
        <v>316</v>
      </c>
      <c r="D317" s="42" t="s">
        <v>267</v>
      </c>
      <c r="E317" s="42" t="s">
        <v>327</v>
      </c>
      <c r="F317" s="79"/>
      <c r="G317" s="11">
        <f>'Прил.№4 ведомств.'!G795</f>
        <v>36</v>
      </c>
      <c r="H317" s="11">
        <f>'Прил.№4 ведомств.'!I795</f>
        <v>36</v>
      </c>
      <c r="I317" s="11">
        <f>'Прил.№4 ведомств.'!J795</f>
        <v>36</v>
      </c>
      <c r="J317" s="11">
        <f>'Прил.№4 ведомств.'!K795</f>
        <v>36</v>
      </c>
      <c r="K317" s="11">
        <f>'Прил.№4 ведомств.'!L795</f>
        <v>36</v>
      </c>
      <c r="L317" s="11">
        <f>'Прил.№4 ведомств.'!M795</f>
        <v>36</v>
      </c>
      <c r="M317" s="11">
        <f>'Прил.№4 ведомств.'!N795</f>
        <v>15.4</v>
      </c>
      <c r="N317" s="7">
        <f t="shared" si="152"/>
        <v>42.77777777777778</v>
      </c>
    </row>
    <row r="318" spans="1:14" ht="31.5" hidden="1">
      <c r="A318" s="26" t="s">
        <v>336</v>
      </c>
      <c r="B318" s="21" t="s">
        <v>542</v>
      </c>
      <c r="C318" s="42" t="s">
        <v>316</v>
      </c>
      <c r="D318" s="42" t="s">
        <v>267</v>
      </c>
      <c r="E318" s="42"/>
      <c r="F318" s="79"/>
      <c r="G318" s="11">
        <f>G319</f>
        <v>0</v>
      </c>
      <c r="H318" s="11">
        <f aca="true" t="shared" si="176" ref="H318:M319">H319</f>
        <v>0</v>
      </c>
      <c r="I318" s="11">
        <f t="shared" si="176"/>
        <v>275</v>
      </c>
      <c r="J318" s="11">
        <f t="shared" si="176"/>
        <v>275</v>
      </c>
      <c r="K318" s="11">
        <f t="shared" si="176"/>
        <v>275</v>
      </c>
      <c r="L318" s="11">
        <f t="shared" si="176"/>
        <v>0</v>
      </c>
      <c r="M318" s="11">
        <f t="shared" si="176"/>
        <v>0</v>
      </c>
      <c r="N318" s="7" t="e">
        <f t="shared" si="152"/>
        <v>#DIV/0!</v>
      </c>
    </row>
    <row r="319" spans="1:14" ht="31.5" hidden="1">
      <c r="A319" s="26" t="s">
        <v>324</v>
      </c>
      <c r="B319" s="21" t="s">
        <v>542</v>
      </c>
      <c r="C319" s="42" t="s">
        <v>316</v>
      </c>
      <c r="D319" s="42" t="s">
        <v>267</v>
      </c>
      <c r="E319" s="42" t="s">
        <v>325</v>
      </c>
      <c r="F319" s="79"/>
      <c r="G319" s="11">
        <f>G320</f>
        <v>0</v>
      </c>
      <c r="H319" s="11">
        <f t="shared" si="176"/>
        <v>0</v>
      </c>
      <c r="I319" s="11">
        <f t="shared" si="176"/>
        <v>275</v>
      </c>
      <c r="J319" s="11">
        <f t="shared" si="176"/>
        <v>275</v>
      </c>
      <c r="K319" s="11">
        <f t="shared" si="176"/>
        <v>275</v>
      </c>
      <c r="L319" s="11">
        <f t="shared" si="176"/>
        <v>0</v>
      </c>
      <c r="M319" s="11">
        <f t="shared" si="176"/>
        <v>0</v>
      </c>
      <c r="N319" s="7" t="e">
        <f t="shared" si="152"/>
        <v>#DIV/0!</v>
      </c>
    </row>
    <row r="320" spans="1:14" ht="15.75" hidden="1">
      <c r="A320" s="26" t="s">
        <v>326</v>
      </c>
      <c r="B320" s="21" t="s">
        <v>542</v>
      </c>
      <c r="C320" s="42" t="s">
        <v>316</v>
      </c>
      <c r="D320" s="42" t="s">
        <v>267</v>
      </c>
      <c r="E320" s="42" t="s">
        <v>327</v>
      </c>
      <c r="F320" s="79"/>
      <c r="G320" s="11">
        <f>'Прил.№4 ведомств.'!G798</f>
        <v>0</v>
      </c>
      <c r="H320" s="11">
        <f>'Прил.№4 ведомств.'!I798</f>
        <v>0</v>
      </c>
      <c r="I320" s="11">
        <f>'Прил.№4 ведомств.'!J798</f>
        <v>275</v>
      </c>
      <c r="J320" s="11">
        <f>'Прил.№4 ведомств.'!K798</f>
        <v>275</v>
      </c>
      <c r="K320" s="11">
        <f>'Прил.№4 ведомств.'!L798</f>
        <v>275</v>
      </c>
      <c r="L320" s="11">
        <f>'Прил.№4 ведомств.'!M798</f>
        <v>0</v>
      </c>
      <c r="M320" s="11">
        <f>'Прил.№4 ведомств.'!N798</f>
        <v>0</v>
      </c>
      <c r="N320" s="7" t="e">
        <f t="shared" si="152"/>
        <v>#DIV/0!</v>
      </c>
    </row>
    <row r="321" spans="1:14" ht="31.5">
      <c r="A321" s="47" t="s">
        <v>865</v>
      </c>
      <c r="B321" s="21" t="s">
        <v>872</v>
      </c>
      <c r="C321" s="42" t="s">
        <v>316</v>
      </c>
      <c r="D321" s="42" t="s">
        <v>267</v>
      </c>
      <c r="E321" s="42"/>
      <c r="F321" s="79"/>
      <c r="G321" s="11">
        <f>G322</f>
        <v>0</v>
      </c>
      <c r="H321" s="11">
        <f aca="true" t="shared" si="177" ref="H321:M322">H322</f>
        <v>0</v>
      </c>
      <c r="I321" s="11">
        <f t="shared" si="177"/>
        <v>365.2</v>
      </c>
      <c r="J321" s="11">
        <f t="shared" si="177"/>
        <v>365.2</v>
      </c>
      <c r="K321" s="11">
        <f t="shared" si="177"/>
        <v>365.2</v>
      </c>
      <c r="L321" s="11">
        <f t="shared" si="177"/>
        <v>422.2</v>
      </c>
      <c r="M321" s="11">
        <f t="shared" si="177"/>
        <v>365.2</v>
      </c>
      <c r="N321" s="7">
        <f t="shared" si="152"/>
        <v>86.49928943628612</v>
      </c>
    </row>
    <row r="322" spans="1:14" ht="31.5">
      <c r="A322" s="33" t="s">
        <v>324</v>
      </c>
      <c r="B322" s="21" t="s">
        <v>872</v>
      </c>
      <c r="C322" s="42" t="s">
        <v>316</v>
      </c>
      <c r="D322" s="42" t="s">
        <v>267</v>
      </c>
      <c r="E322" s="42" t="s">
        <v>325</v>
      </c>
      <c r="F322" s="79"/>
      <c r="G322" s="11">
        <f>G323</f>
        <v>0</v>
      </c>
      <c r="H322" s="11">
        <f t="shared" si="177"/>
        <v>0</v>
      </c>
      <c r="I322" s="11">
        <f t="shared" si="177"/>
        <v>365.2</v>
      </c>
      <c r="J322" s="11">
        <f t="shared" si="177"/>
        <v>365.2</v>
      </c>
      <c r="K322" s="11">
        <f t="shared" si="177"/>
        <v>365.2</v>
      </c>
      <c r="L322" s="11">
        <f t="shared" si="177"/>
        <v>422.2</v>
      </c>
      <c r="M322" s="11">
        <f t="shared" si="177"/>
        <v>365.2</v>
      </c>
      <c r="N322" s="7">
        <f t="shared" si="152"/>
        <v>86.49928943628612</v>
      </c>
    </row>
    <row r="323" spans="1:14" ht="15.75">
      <c r="A323" s="33" t="s">
        <v>326</v>
      </c>
      <c r="B323" s="21" t="s">
        <v>872</v>
      </c>
      <c r="C323" s="42" t="s">
        <v>316</v>
      </c>
      <c r="D323" s="42" t="s">
        <v>267</v>
      </c>
      <c r="E323" s="42" t="s">
        <v>327</v>
      </c>
      <c r="F323" s="79"/>
      <c r="G323" s="11">
        <f>'Прил.№4 ведомств.'!G801</f>
        <v>0</v>
      </c>
      <c r="H323" s="11">
        <f>'Прил.№4 ведомств.'!I801</f>
        <v>0</v>
      </c>
      <c r="I323" s="11">
        <f>'Прил.№4 ведомств.'!J801</f>
        <v>365.2</v>
      </c>
      <c r="J323" s="11">
        <f>'Прил.№4 ведомств.'!K801</f>
        <v>365.2</v>
      </c>
      <c r="K323" s="11">
        <f>'Прил.№4 ведомств.'!L801</f>
        <v>365.2</v>
      </c>
      <c r="L323" s="11">
        <f>'Прил.№4 ведомств.'!M801</f>
        <v>422.2</v>
      </c>
      <c r="M323" s="11">
        <f>'Прил.№4 ведомств.'!N801</f>
        <v>365.2</v>
      </c>
      <c r="N323" s="7">
        <f t="shared" si="152"/>
        <v>86.49928943628612</v>
      </c>
    </row>
    <row r="324" spans="1:14" ht="58.5" customHeight="1">
      <c r="A324" s="81" t="s">
        <v>533</v>
      </c>
      <c r="B324" s="42" t="s">
        <v>537</v>
      </c>
      <c r="C324" s="42" t="s">
        <v>316</v>
      </c>
      <c r="D324" s="42" t="s">
        <v>267</v>
      </c>
      <c r="E324" s="42"/>
      <c r="F324" s="2">
        <v>907</v>
      </c>
      <c r="G324" s="11">
        <f>G297</f>
        <v>10758</v>
      </c>
      <c r="H324" s="11">
        <f aca="true" t="shared" si="178" ref="H324:L324">H297</f>
        <v>10758</v>
      </c>
      <c r="I324" s="11">
        <f t="shared" si="178"/>
        <v>16464.5</v>
      </c>
      <c r="J324" s="11">
        <f t="shared" si="178"/>
        <v>16607.3</v>
      </c>
      <c r="K324" s="11">
        <f t="shared" si="178"/>
        <v>16742.6</v>
      </c>
      <c r="L324" s="11">
        <f t="shared" si="178"/>
        <v>11806.7</v>
      </c>
      <c r="M324" s="11">
        <f aca="true" t="shared" si="179" ref="M324">M297</f>
        <v>6329.2</v>
      </c>
      <c r="N324" s="7">
        <f t="shared" si="152"/>
        <v>53.60685034768393</v>
      </c>
    </row>
    <row r="325" spans="1:14" ht="47.25">
      <c r="A325" s="64" t="s">
        <v>546</v>
      </c>
      <c r="B325" s="8" t="s">
        <v>547</v>
      </c>
      <c r="C325" s="8"/>
      <c r="D325" s="8"/>
      <c r="E325" s="8"/>
      <c r="F325" s="3"/>
      <c r="G325" s="68">
        <f>G326</f>
        <v>22673.9</v>
      </c>
      <c r="H325" s="68">
        <f aca="true" t="shared" si="180" ref="H325:M326">H326</f>
        <v>27897</v>
      </c>
      <c r="I325" s="68">
        <f t="shared" si="180"/>
        <v>52737</v>
      </c>
      <c r="J325" s="68">
        <f t="shared" si="180"/>
        <v>54355.7</v>
      </c>
      <c r="K325" s="68">
        <f t="shared" si="180"/>
        <v>55263.1</v>
      </c>
      <c r="L325" s="68">
        <f t="shared" si="180"/>
        <v>41802.5</v>
      </c>
      <c r="M325" s="68">
        <f t="shared" si="180"/>
        <v>18803</v>
      </c>
      <c r="N325" s="4">
        <f t="shared" si="152"/>
        <v>44.9805633634352</v>
      </c>
    </row>
    <row r="326" spans="1:14" ht="15.75">
      <c r="A326" s="31" t="s">
        <v>543</v>
      </c>
      <c r="B326" s="42" t="s">
        <v>547</v>
      </c>
      <c r="C326" s="2">
        <v>11</v>
      </c>
      <c r="D326" s="79"/>
      <c r="E326" s="79"/>
      <c r="F326" s="79"/>
      <c r="G326" s="11">
        <f>G327</f>
        <v>22673.9</v>
      </c>
      <c r="H326" s="11">
        <f t="shared" si="180"/>
        <v>27897</v>
      </c>
      <c r="I326" s="11">
        <f t="shared" si="180"/>
        <v>52737</v>
      </c>
      <c r="J326" s="11">
        <f t="shared" si="180"/>
        <v>54355.7</v>
      </c>
      <c r="K326" s="11">
        <f t="shared" si="180"/>
        <v>55263.1</v>
      </c>
      <c r="L326" s="11">
        <f t="shared" si="180"/>
        <v>41802.5</v>
      </c>
      <c r="M326" s="11">
        <f t="shared" si="180"/>
        <v>18803</v>
      </c>
      <c r="N326" s="7">
        <f t="shared" si="152"/>
        <v>44.9805633634352</v>
      </c>
    </row>
    <row r="327" spans="1:14" ht="20.25" customHeight="1">
      <c r="A327" s="31" t="s">
        <v>545</v>
      </c>
      <c r="B327" s="42" t="s">
        <v>547</v>
      </c>
      <c r="C327" s="42" t="s">
        <v>544</v>
      </c>
      <c r="D327" s="42" t="s">
        <v>170</v>
      </c>
      <c r="E327" s="82"/>
      <c r="F327" s="6"/>
      <c r="G327" s="11">
        <f>G328+G332+G336+G339+G342+G345</f>
        <v>22673.9</v>
      </c>
      <c r="H327" s="11">
        <f aca="true" t="shared" si="181" ref="H327:L327">H328+H332+H336+H339+H342+H345</f>
        <v>27897</v>
      </c>
      <c r="I327" s="11">
        <f t="shared" si="181"/>
        <v>52737</v>
      </c>
      <c r="J327" s="11">
        <f t="shared" si="181"/>
        <v>54355.7</v>
      </c>
      <c r="K327" s="11">
        <f t="shared" si="181"/>
        <v>55263.1</v>
      </c>
      <c r="L327" s="11">
        <f t="shared" si="181"/>
        <v>41802.5</v>
      </c>
      <c r="M327" s="11">
        <f aca="true" t="shared" si="182" ref="M327">M328+M332+M336+M339+M342+M345</f>
        <v>18803</v>
      </c>
      <c r="N327" s="7">
        <f t="shared" si="152"/>
        <v>44.9805633634352</v>
      </c>
    </row>
    <row r="328" spans="1:14" ht="31.5">
      <c r="A328" s="31" t="s">
        <v>548</v>
      </c>
      <c r="B328" s="42" t="s">
        <v>549</v>
      </c>
      <c r="C328" s="42" t="s">
        <v>544</v>
      </c>
      <c r="D328" s="42" t="s">
        <v>170</v>
      </c>
      <c r="E328" s="82"/>
      <c r="F328" s="6"/>
      <c r="G328" s="11">
        <f>G329</f>
        <v>22376.4</v>
      </c>
      <c r="H328" s="11">
        <f aca="true" t="shared" si="183" ref="H328:M329">H329</f>
        <v>27599.5</v>
      </c>
      <c r="I328" s="11">
        <f t="shared" si="183"/>
        <v>50955.8</v>
      </c>
      <c r="J328" s="11">
        <f t="shared" si="183"/>
        <v>52684.5</v>
      </c>
      <c r="K328" s="11">
        <f t="shared" si="183"/>
        <v>54166.9</v>
      </c>
      <c r="L328" s="11">
        <f t="shared" si="183"/>
        <v>40981.3</v>
      </c>
      <c r="M328" s="11">
        <f t="shared" si="183"/>
        <v>18081.8</v>
      </c>
      <c r="N328" s="7">
        <f t="shared" si="152"/>
        <v>44.12207519039171</v>
      </c>
    </row>
    <row r="329" spans="1:14" ht="31.5">
      <c r="A329" s="31" t="s">
        <v>324</v>
      </c>
      <c r="B329" s="42" t="s">
        <v>549</v>
      </c>
      <c r="C329" s="42" t="s">
        <v>544</v>
      </c>
      <c r="D329" s="42" t="s">
        <v>170</v>
      </c>
      <c r="E329" s="42" t="s">
        <v>325</v>
      </c>
      <c r="F329" s="6"/>
      <c r="G329" s="11">
        <f>G330</f>
        <v>22376.4</v>
      </c>
      <c r="H329" s="11">
        <f t="shared" si="183"/>
        <v>27599.5</v>
      </c>
      <c r="I329" s="11">
        <f t="shared" si="183"/>
        <v>50955.8</v>
      </c>
      <c r="J329" s="11">
        <f t="shared" si="183"/>
        <v>52684.5</v>
      </c>
      <c r="K329" s="11">
        <f t="shared" si="183"/>
        <v>54166.9</v>
      </c>
      <c r="L329" s="11">
        <f t="shared" si="183"/>
        <v>40981.3</v>
      </c>
      <c r="M329" s="11">
        <f t="shared" si="183"/>
        <v>18081.8</v>
      </c>
      <c r="N329" s="7">
        <f t="shared" si="152"/>
        <v>44.12207519039171</v>
      </c>
    </row>
    <row r="330" spans="1:14" ht="15.75">
      <c r="A330" s="31" t="s">
        <v>326</v>
      </c>
      <c r="B330" s="42" t="s">
        <v>549</v>
      </c>
      <c r="C330" s="42" t="s">
        <v>544</v>
      </c>
      <c r="D330" s="42" t="s">
        <v>170</v>
      </c>
      <c r="E330" s="42" t="s">
        <v>327</v>
      </c>
      <c r="F330" s="6"/>
      <c r="G330" s="11">
        <f>'Прил.№4 ведомств.'!G819</f>
        <v>22376.4</v>
      </c>
      <c r="H330" s="11">
        <f>'Прил.№4 ведомств.'!I819</f>
        <v>27599.5</v>
      </c>
      <c r="I330" s="11">
        <f>'Прил.№4 ведомств.'!J819</f>
        <v>50955.8</v>
      </c>
      <c r="J330" s="11">
        <f>'Прил.№4 ведомств.'!K819</f>
        <v>52684.5</v>
      </c>
      <c r="K330" s="11">
        <f>'Прил.№4 ведомств.'!L819</f>
        <v>54166.9</v>
      </c>
      <c r="L330" s="11">
        <f>'Прил.№4 ведомств.'!M819</f>
        <v>40981.3</v>
      </c>
      <c r="M330" s="11">
        <f>'Прил.№4 ведомств.'!N819</f>
        <v>18081.8</v>
      </c>
      <c r="N330" s="7">
        <f t="shared" si="152"/>
        <v>44.12207519039171</v>
      </c>
    </row>
    <row r="331" spans="1:14" ht="31.5">
      <c r="A331" s="48" t="s">
        <v>533</v>
      </c>
      <c r="B331" s="42" t="s">
        <v>547</v>
      </c>
      <c r="C331" s="42" t="s">
        <v>544</v>
      </c>
      <c r="D331" s="42" t="s">
        <v>170</v>
      </c>
      <c r="E331" s="42"/>
      <c r="F331" s="6">
        <v>907</v>
      </c>
      <c r="G331" s="11">
        <f>G325</f>
        <v>22673.9</v>
      </c>
      <c r="H331" s="11">
        <f aca="true" t="shared" si="184" ref="H331:L331">H325</f>
        <v>27897</v>
      </c>
      <c r="I331" s="11">
        <f t="shared" si="184"/>
        <v>52737</v>
      </c>
      <c r="J331" s="11">
        <f t="shared" si="184"/>
        <v>54355.7</v>
      </c>
      <c r="K331" s="11">
        <f t="shared" si="184"/>
        <v>55263.1</v>
      </c>
      <c r="L331" s="11">
        <f t="shared" si="184"/>
        <v>41802.5</v>
      </c>
      <c r="M331" s="11">
        <f aca="true" t="shared" si="185" ref="M331">M325</f>
        <v>18803</v>
      </c>
      <c r="N331" s="7">
        <f t="shared" si="152"/>
        <v>44.9805633634352</v>
      </c>
    </row>
    <row r="332" spans="1:14" ht="47.25" hidden="1">
      <c r="A332" s="31" t="s">
        <v>658</v>
      </c>
      <c r="B332" s="42" t="s">
        <v>724</v>
      </c>
      <c r="C332" s="42" t="s">
        <v>544</v>
      </c>
      <c r="D332" s="42" t="s">
        <v>170</v>
      </c>
      <c r="E332" s="42"/>
      <c r="F332" s="6"/>
      <c r="G332" s="11">
        <f>G333</f>
        <v>0</v>
      </c>
      <c r="H332" s="11">
        <f aca="true" t="shared" si="186" ref="H332:M334">H333</f>
        <v>0</v>
      </c>
      <c r="I332" s="11">
        <f t="shared" si="186"/>
        <v>0</v>
      </c>
      <c r="J332" s="11">
        <f t="shared" si="186"/>
        <v>0</v>
      </c>
      <c r="K332" s="11">
        <f t="shared" si="186"/>
        <v>0</v>
      </c>
      <c r="L332" s="11">
        <f t="shared" si="186"/>
        <v>0</v>
      </c>
      <c r="M332" s="11">
        <f t="shared" si="186"/>
        <v>0</v>
      </c>
      <c r="N332" s="7" t="e">
        <f aca="true" t="shared" si="187" ref="N332:N395">M332/L332*100</f>
        <v>#DIV/0!</v>
      </c>
    </row>
    <row r="333" spans="1:14" ht="31.5" hidden="1">
      <c r="A333" s="31" t="s">
        <v>324</v>
      </c>
      <c r="B333" s="42" t="s">
        <v>724</v>
      </c>
      <c r="C333" s="42" t="s">
        <v>544</v>
      </c>
      <c r="D333" s="42" t="s">
        <v>170</v>
      </c>
      <c r="E333" s="42" t="s">
        <v>325</v>
      </c>
      <c r="F333" s="6"/>
      <c r="G333" s="11">
        <f>G334</f>
        <v>0</v>
      </c>
      <c r="H333" s="11">
        <f t="shared" si="186"/>
        <v>0</v>
      </c>
      <c r="I333" s="11">
        <f t="shared" si="186"/>
        <v>0</v>
      </c>
      <c r="J333" s="11">
        <f t="shared" si="186"/>
        <v>0</v>
      </c>
      <c r="K333" s="11">
        <f t="shared" si="186"/>
        <v>0</v>
      </c>
      <c r="L333" s="11">
        <f t="shared" si="186"/>
        <v>0</v>
      </c>
      <c r="M333" s="11">
        <f t="shared" si="186"/>
        <v>0</v>
      </c>
      <c r="N333" s="7" t="e">
        <f t="shared" si="187"/>
        <v>#DIV/0!</v>
      </c>
    </row>
    <row r="334" spans="1:14" ht="15.75" hidden="1">
      <c r="A334" s="31" t="s">
        <v>326</v>
      </c>
      <c r="B334" s="42" t="s">
        <v>724</v>
      </c>
      <c r="C334" s="42" t="s">
        <v>544</v>
      </c>
      <c r="D334" s="42" t="s">
        <v>170</v>
      </c>
      <c r="E334" s="42" t="s">
        <v>327</v>
      </c>
      <c r="F334" s="6"/>
      <c r="G334" s="11">
        <f>G335</f>
        <v>0</v>
      </c>
      <c r="H334" s="11">
        <f t="shared" si="186"/>
        <v>0</v>
      </c>
      <c r="I334" s="11">
        <f t="shared" si="186"/>
        <v>0</v>
      </c>
      <c r="J334" s="11">
        <f t="shared" si="186"/>
        <v>0</v>
      </c>
      <c r="K334" s="11">
        <f t="shared" si="186"/>
        <v>0</v>
      </c>
      <c r="L334" s="11">
        <f t="shared" si="186"/>
        <v>0</v>
      </c>
      <c r="M334" s="11">
        <f t="shared" si="186"/>
        <v>0</v>
      </c>
      <c r="N334" s="7" t="e">
        <f t="shared" si="187"/>
        <v>#DIV/0!</v>
      </c>
    </row>
    <row r="335" spans="1:14" ht="31.5" hidden="1">
      <c r="A335" s="81" t="s">
        <v>533</v>
      </c>
      <c r="B335" s="42" t="s">
        <v>724</v>
      </c>
      <c r="C335" s="42" t="s">
        <v>544</v>
      </c>
      <c r="D335" s="42" t="s">
        <v>170</v>
      </c>
      <c r="E335" s="42"/>
      <c r="F335" s="6">
        <v>907</v>
      </c>
      <c r="G335" s="11">
        <f>1500-1500</f>
        <v>0</v>
      </c>
      <c r="H335" s="11">
        <f aca="true" t="shared" si="188" ref="H335:M335">1500-1500</f>
        <v>0</v>
      </c>
      <c r="I335" s="11">
        <f t="shared" si="188"/>
        <v>0</v>
      </c>
      <c r="J335" s="11">
        <f t="shared" si="188"/>
        <v>0</v>
      </c>
      <c r="K335" s="11">
        <f t="shared" si="188"/>
        <v>0</v>
      </c>
      <c r="L335" s="11">
        <f t="shared" si="188"/>
        <v>0</v>
      </c>
      <c r="M335" s="11">
        <f t="shared" si="188"/>
        <v>0</v>
      </c>
      <c r="N335" s="7" t="e">
        <f t="shared" si="187"/>
        <v>#DIV/0!</v>
      </c>
    </row>
    <row r="336" spans="1:14" ht="31.5" hidden="1">
      <c r="A336" s="31" t="s">
        <v>330</v>
      </c>
      <c r="B336" s="42" t="s">
        <v>550</v>
      </c>
      <c r="C336" s="42" t="s">
        <v>544</v>
      </c>
      <c r="D336" s="42" t="s">
        <v>170</v>
      </c>
      <c r="E336" s="42"/>
      <c r="F336" s="6"/>
      <c r="G336" s="11">
        <f>G337</f>
        <v>297.5</v>
      </c>
      <c r="H336" s="11">
        <f aca="true" t="shared" si="189" ref="H336:M337">H337</f>
        <v>297.5</v>
      </c>
      <c r="I336" s="11">
        <f t="shared" si="189"/>
        <v>0</v>
      </c>
      <c r="J336" s="11">
        <f t="shared" si="189"/>
        <v>0</v>
      </c>
      <c r="K336" s="11">
        <f t="shared" si="189"/>
        <v>0</v>
      </c>
      <c r="L336" s="11">
        <f t="shared" si="189"/>
        <v>0</v>
      </c>
      <c r="M336" s="11">
        <f t="shared" si="189"/>
        <v>0</v>
      </c>
      <c r="N336" s="7" t="e">
        <f t="shared" si="187"/>
        <v>#DIV/0!</v>
      </c>
    </row>
    <row r="337" spans="1:14" ht="31.5" hidden="1">
      <c r="A337" s="31" t="s">
        <v>324</v>
      </c>
      <c r="B337" s="42" t="s">
        <v>550</v>
      </c>
      <c r="C337" s="42" t="s">
        <v>544</v>
      </c>
      <c r="D337" s="42" t="s">
        <v>170</v>
      </c>
      <c r="E337" s="42" t="s">
        <v>325</v>
      </c>
      <c r="F337" s="6"/>
      <c r="G337" s="11">
        <f>G338</f>
        <v>297.5</v>
      </c>
      <c r="H337" s="11">
        <f t="shared" si="189"/>
        <v>297.5</v>
      </c>
      <c r="I337" s="11">
        <f t="shared" si="189"/>
        <v>0</v>
      </c>
      <c r="J337" s="11">
        <f t="shared" si="189"/>
        <v>0</v>
      </c>
      <c r="K337" s="11">
        <f t="shared" si="189"/>
        <v>0</v>
      </c>
      <c r="L337" s="11">
        <f t="shared" si="189"/>
        <v>0</v>
      </c>
      <c r="M337" s="11">
        <f t="shared" si="189"/>
        <v>0</v>
      </c>
      <c r="N337" s="7" t="e">
        <f t="shared" si="187"/>
        <v>#DIV/0!</v>
      </c>
    </row>
    <row r="338" spans="1:14" ht="15.75" hidden="1">
      <c r="A338" s="31" t="s">
        <v>326</v>
      </c>
      <c r="B338" s="42" t="s">
        <v>550</v>
      </c>
      <c r="C338" s="42" t="s">
        <v>544</v>
      </c>
      <c r="D338" s="42" t="s">
        <v>170</v>
      </c>
      <c r="E338" s="42" t="s">
        <v>327</v>
      </c>
      <c r="F338" s="6"/>
      <c r="G338" s="11">
        <f>'Прил.№4 ведомств.'!G822</f>
        <v>297.5</v>
      </c>
      <c r="H338" s="11">
        <f>'Прил.№4 ведомств.'!I822</f>
        <v>297.5</v>
      </c>
      <c r="I338" s="11">
        <f>'Прил.№4 ведомств.'!J822</f>
        <v>0</v>
      </c>
      <c r="J338" s="11">
        <f>'Прил.№4 ведомств.'!K822</f>
        <v>0</v>
      </c>
      <c r="K338" s="11">
        <f>'Прил.№4 ведомств.'!L822</f>
        <v>0</v>
      </c>
      <c r="L338" s="11">
        <f>'Прил.№4 ведомств.'!M822</f>
        <v>0</v>
      </c>
      <c r="M338" s="11">
        <f>'Прил.№4 ведомств.'!N822</f>
        <v>0</v>
      </c>
      <c r="N338" s="7" t="e">
        <f t="shared" si="187"/>
        <v>#DIV/0!</v>
      </c>
    </row>
    <row r="339" spans="1:14" ht="31.5" hidden="1">
      <c r="A339" s="31" t="s">
        <v>332</v>
      </c>
      <c r="B339" s="42" t="s">
        <v>551</v>
      </c>
      <c r="C339" s="42" t="s">
        <v>544</v>
      </c>
      <c r="D339" s="42" t="s">
        <v>170</v>
      </c>
      <c r="E339" s="42"/>
      <c r="F339" s="6"/>
      <c r="G339" s="11">
        <f>G340</f>
        <v>0</v>
      </c>
      <c r="H339" s="11">
        <f aca="true" t="shared" si="190" ref="H339:M340">H340</f>
        <v>0</v>
      </c>
      <c r="I339" s="11">
        <f t="shared" si="190"/>
        <v>685</v>
      </c>
      <c r="J339" s="11">
        <f t="shared" si="190"/>
        <v>300</v>
      </c>
      <c r="K339" s="11">
        <f t="shared" si="190"/>
        <v>0</v>
      </c>
      <c r="L339" s="11">
        <f t="shared" si="190"/>
        <v>0</v>
      </c>
      <c r="M339" s="11">
        <f t="shared" si="190"/>
        <v>0</v>
      </c>
      <c r="N339" s="7" t="e">
        <f t="shared" si="187"/>
        <v>#DIV/0!</v>
      </c>
    </row>
    <row r="340" spans="1:14" ht="31.5" hidden="1">
      <c r="A340" s="31" t="s">
        <v>324</v>
      </c>
      <c r="B340" s="42" t="s">
        <v>551</v>
      </c>
      <c r="C340" s="42" t="s">
        <v>544</v>
      </c>
      <c r="D340" s="42" t="s">
        <v>170</v>
      </c>
      <c r="E340" s="42" t="s">
        <v>325</v>
      </c>
      <c r="F340" s="6"/>
      <c r="G340" s="11">
        <f>G341</f>
        <v>0</v>
      </c>
      <c r="H340" s="11">
        <f t="shared" si="190"/>
        <v>0</v>
      </c>
      <c r="I340" s="11">
        <f t="shared" si="190"/>
        <v>685</v>
      </c>
      <c r="J340" s="11">
        <f t="shared" si="190"/>
        <v>300</v>
      </c>
      <c r="K340" s="11">
        <f t="shared" si="190"/>
        <v>0</v>
      </c>
      <c r="L340" s="11">
        <f t="shared" si="190"/>
        <v>0</v>
      </c>
      <c r="M340" s="11">
        <f t="shared" si="190"/>
        <v>0</v>
      </c>
      <c r="N340" s="7" t="e">
        <f t="shared" si="187"/>
        <v>#DIV/0!</v>
      </c>
    </row>
    <row r="341" spans="1:14" ht="15.75" hidden="1">
      <c r="A341" s="31" t="s">
        <v>326</v>
      </c>
      <c r="B341" s="42" t="s">
        <v>551</v>
      </c>
      <c r="C341" s="42" t="s">
        <v>544</v>
      </c>
      <c r="D341" s="42" t="s">
        <v>170</v>
      </c>
      <c r="E341" s="42" t="s">
        <v>327</v>
      </c>
      <c r="F341" s="6"/>
      <c r="G341" s="11">
        <f>'Прил.№4 ведомств.'!G825</f>
        <v>0</v>
      </c>
      <c r="H341" s="11">
        <f>'Прил.№4 ведомств.'!I825</f>
        <v>0</v>
      </c>
      <c r="I341" s="11">
        <f>'Прил.№4 ведомств.'!J825</f>
        <v>685</v>
      </c>
      <c r="J341" s="11">
        <f>'Прил.№4 ведомств.'!K825</f>
        <v>300</v>
      </c>
      <c r="K341" s="11">
        <f>'Прил.№4 ведомств.'!L825</f>
        <v>0</v>
      </c>
      <c r="L341" s="11">
        <f>'Прил.№4 ведомств.'!M825</f>
        <v>0</v>
      </c>
      <c r="M341" s="11">
        <f>'Прил.№4 ведомств.'!N825</f>
        <v>0</v>
      </c>
      <c r="N341" s="7" t="e">
        <f t="shared" si="187"/>
        <v>#DIV/0!</v>
      </c>
    </row>
    <row r="342" spans="1:14" ht="31.5">
      <c r="A342" s="31" t="s">
        <v>336</v>
      </c>
      <c r="B342" s="42" t="s">
        <v>552</v>
      </c>
      <c r="C342" s="42" t="s">
        <v>544</v>
      </c>
      <c r="D342" s="42" t="s">
        <v>170</v>
      </c>
      <c r="E342" s="42"/>
      <c r="F342" s="6"/>
      <c r="G342" s="11">
        <f>G343</f>
        <v>0</v>
      </c>
      <c r="H342" s="11">
        <f aca="true" t="shared" si="191" ref="H342:M343">H343</f>
        <v>0</v>
      </c>
      <c r="I342" s="11">
        <f t="shared" si="191"/>
        <v>275</v>
      </c>
      <c r="J342" s="11">
        <f t="shared" si="191"/>
        <v>550</v>
      </c>
      <c r="K342" s="11">
        <f t="shared" si="191"/>
        <v>275</v>
      </c>
      <c r="L342" s="11">
        <f t="shared" si="191"/>
        <v>100</v>
      </c>
      <c r="M342" s="11">
        <f t="shared" si="191"/>
        <v>0</v>
      </c>
      <c r="N342" s="7">
        <f t="shared" si="187"/>
        <v>0</v>
      </c>
    </row>
    <row r="343" spans="1:14" ht="31.5">
      <c r="A343" s="31" t="s">
        <v>324</v>
      </c>
      <c r="B343" s="42" t="s">
        <v>552</v>
      </c>
      <c r="C343" s="42" t="s">
        <v>544</v>
      </c>
      <c r="D343" s="42" t="s">
        <v>170</v>
      </c>
      <c r="E343" s="42" t="s">
        <v>325</v>
      </c>
      <c r="F343" s="6"/>
      <c r="G343" s="11">
        <f>G344</f>
        <v>0</v>
      </c>
      <c r="H343" s="11">
        <f t="shared" si="191"/>
        <v>0</v>
      </c>
      <c r="I343" s="11">
        <f t="shared" si="191"/>
        <v>275</v>
      </c>
      <c r="J343" s="11">
        <f t="shared" si="191"/>
        <v>550</v>
      </c>
      <c r="K343" s="11">
        <f t="shared" si="191"/>
        <v>275</v>
      </c>
      <c r="L343" s="11">
        <f t="shared" si="191"/>
        <v>100</v>
      </c>
      <c r="M343" s="11">
        <f t="shared" si="191"/>
        <v>0</v>
      </c>
      <c r="N343" s="7">
        <f t="shared" si="187"/>
        <v>0</v>
      </c>
    </row>
    <row r="344" spans="1:14" ht="15.75">
      <c r="A344" s="31" t="s">
        <v>326</v>
      </c>
      <c r="B344" s="42" t="s">
        <v>552</v>
      </c>
      <c r="C344" s="42" t="s">
        <v>544</v>
      </c>
      <c r="D344" s="42" t="s">
        <v>170</v>
      </c>
      <c r="E344" s="42" t="s">
        <v>327</v>
      </c>
      <c r="F344" s="6"/>
      <c r="G344" s="11">
        <f>'Прил.№4 ведомств.'!G828</f>
        <v>0</v>
      </c>
      <c r="H344" s="11">
        <f>'Прил.№4 ведомств.'!I828</f>
        <v>0</v>
      </c>
      <c r="I344" s="11">
        <f>'Прил.№4 ведомств.'!J828</f>
        <v>275</v>
      </c>
      <c r="J344" s="11">
        <f>'Прил.№4 ведомств.'!K828</f>
        <v>550</v>
      </c>
      <c r="K344" s="11">
        <f>'Прил.№4 ведомств.'!L828</f>
        <v>275</v>
      </c>
      <c r="L344" s="11">
        <f>'Прил.№4 ведомств.'!M828</f>
        <v>100</v>
      </c>
      <c r="M344" s="11">
        <f>'Прил.№4 ведомств.'!N828</f>
        <v>0</v>
      </c>
      <c r="N344" s="7">
        <f t="shared" si="187"/>
        <v>0</v>
      </c>
    </row>
    <row r="345" spans="1:14" ht="31.5">
      <c r="A345" s="47" t="s">
        <v>865</v>
      </c>
      <c r="B345" s="42" t="s">
        <v>873</v>
      </c>
      <c r="C345" s="42" t="s">
        <v>544</v>
      </c>
      <c r="D345" s="42" t="s">
        <v>170</v>
      </c>
      <c r="E345" s="42"/>
      <c r="F345" s="6"/>
      <c r="G345" s="11">
        <f>G346</f>
        <v>0</v>
      </c>
      <c r="H345" s="11">
        <f aca="true" t="shared" si="192" ref="H345:M346">H346</f>
        <v>0</v>
      </c>
      <c r="I345" s="11">
        <f t="shared" si="192"/>
        <v>821.2</v>
      </c>
      <c r="J345" s="11">
        <f t="shared" si="192"/>
        <v>821.2</v>
      </c>
      <c r="K345" s="11">
        <f t="shared" si="192"/>
        <v>821.2</v>
      </c>
      <c r="L345" s="11">
        <f t="shared" si="192"/>
        <v>721.2</v>
      </c>
      <c r="M345" s="11">
        <f t="shared" si="192"/>
        <v>721.2</v>
      </c>
      <c r="N345" s="7">
        <f t="shared" si="187"/>
        <v>100</v>
      </c>
    </row>
    <row r="346" spans="1:14" ht="31.5">
      <c r="A346" s="33" t="s">
        <v>324</v>
      </c>
      <c r="B346" s="42" t="s">
        <v>873</v>
      </c>
      <c r="C346" s="42" t="s">
        <v>544</v>
      </c>
      <c r="D346" s="42" t="s">
        <v>170</v>
      </c>
      <c r="E346" s="42" t="s">
        <v>325</v>
      </c>
      <c r="F346" s="6"/>
      <c r="G346" s="11">
        <f>G347</f>
        <v>0</v>
      </c>
      <c r="H346" s="11">
        <f t="shared" si="192"/>
        <v>0</v>
      </c>
      <c r="I346" s="11">
        <f t="shared" si="192"/>
        <v>821.2</v>
      </c>
      <c r="J346" s="11">
        <f t="shared" si="192"/>
        <v>821.2</v>
      </c>
      <c r="K346" s="11">
        <f t="shared" si="192"/>
        <v>821.2</v>
      </c>
      <c r="L346" s="11">
        <f t="shared" si="192"/>
        <v>721.2</v>
      </c>
      <c r="M346" s="11">
        <f t="shared" si="192"/>
        <v>721.2</v>
      </c>
      <c r="N346" s="7">
        <f t="shared" si="187"/>
        <v>100</v>
      </c>
    </row>
    <row r="347" spans="1:14" ht="15.75">
      <c r="A347" s="33" t="s">
        <v>326</v>
      </c>
      <c r="B347" s="42" t="s">
        <v>873</v>
      </c>
      <c r="C347" s="42" t="s">
        <v>544</v>
      </c>
      <c r="D347" s="42" t="s">
        <v>170</v>
      </c>
      <c r="E347" s="42" t="s">
        <v>327</v>
      </c>
      <c r="F347" s="6"/>
      <c r="G347" s="11">
        <f>'Прил.№4 ведомств.'!G831</f>
        <v>0</v>
      </c>
      <c r="H347" s="11">
        <f>'Прил.№4 ведомств.'!I831</f>
        <v>0</v>
      </c>
      <c r="I347" s="11">
        <f>'Прил.№4 ведомств.'!J831</f>
        <v>821.2</v>
      </c>
      <c r="J347" s="11">
        <f>'Прил.№4 ведомств.'!K831</f>
        <v>821.2</v>
      </c>
      <c r="K347" s="11">
        <f>'Прил.№4 ведомств.'!L831</f>
        <v>821.2</v>
      </c>
      <c r="L347" s="11">
        <f>'Прил.№4 ведомств.'!M831</f>
        <v>721.2</v>
      </c>
      <c r="M347" s="11">
        <f>'Прил.№4 ведомств.'!N831</f>
        <v>721.2</v>
      </c>
      <c r="N347" s="7">
        <f t="shared" si="187"/>
        <v>100</v>
      </c>
    </row>
    <row r="348" spans="1:14" ht="31.5">
      <c r="A348" s="81" t="s">
        <v>533</v>
      </c>
      <c r="B348" s="42" t="s">
        <v>547</v>
      </c>
      <c r="C348" s="42" t="s">
        <v>544</v>
      </c>
      <c r="D348" s="42" t="s">
        <v>170</v>
      </c>
      <c r="E348" s="42"/>
      <c r="F348" s="6">
        <v>907</v>
      </c>
      <c r="G348" s="11">
        <f>G325</f>
        <v>22673.9</v>
      </c>
      <c r="H348" s="11">
        <f aca="true" t="shared" si="193" ref="H348:L348">H325</f>
        <v>27897</v>
      </c>
      <c r="I348" s="11">
        <f t="shared" si="193"/>
        <v>52737</v>
      </c>
      <c r="J348" s="11">
        <f t="shared" si="193"/>
        <v>54355.7</v>
      </c>
      <c r="K348" s="11">
        <f t="shared" si="193"/>
        <v>55263.1</v>
      </c>
      <c r="L348" s="11">
        <f t="shared" si="193"/>
        <v>41802.5</v>
      </c>
      <c r="M348" s="11">
        <f aca="true" t="shared" si="194" ref="M348">M325</f>
        <v>18803</v>
      </c>
      <c r="N348" s="7">
        <f t="shared" si="187"/>
        <v>44.9805633634352</v>
      </c>
    </row>
    <row r="349" spans="1:14" ht="47.25">
      <c r="A349" s="64" t="s">
        <v>554</v>
      </c>
      <c r="B349" s="8" t="s">
        <v>555</v>
      </c>
      <c r="C349" s="8"/>
      <c r="D349" s="8"/>
      <c r="E349" s="8"/>
      <c r="F349" s="295"/>
      <c r="G349" s="4">
        <f>G350</f>
        <v>3047</v>
      </c>
      <c r="H349" s="4">
        <f aca="true" t="shared" si="195" ref="H349:M351">H350</f>
        <v>3047</v>
      </c>
      <c r="I349" s="4">
        <f t="shared" si="195"/>
        <v>3177.9</v>
      </c>
      <c r="J349" s="4">
        <f t="shared" si="195"/>
        <v>3314.6</v>
      </c>
      <c r="K349" s="4">
        <f t="shared" si="195"/>
        <v>3457.1</v>
      </c>
      <c r="L349" s="4">
        <f t="shared" si="195"/>
        <v>2400</v>
      </c>
      <c r="M349" s="4">
        <f t="shared" si="195"/>
        <v>1266.8</v>
      </c>
      <c r="N349" s="4">
        <f t="shared" si="187"/>
        <v>52.783333333333324</v>
      </c>
    </row>
    <row r="350" spans="1:14" ht="15.75">
      <c r="A350" s="31" t="s">
        <v>543</v>
      </c>
      <c r="B350" s="42" t="s">
        <v>555</v>
      </c>
      <c r="C350" s="2">
        <v>11</v>
      </c>
      <c r="D350" s="42"/>
      <c r="E350" s="42"/>
      <c r="F350" s="6"/>
      <c r="G350" s="7">
        <f>G351</f>
        <v>3047</v>
      </c>
      <c r="H350" s="7">
        <f t="shared" si="195"/>
        <v>3047</v>
      </c>
      <c r="I350" s="7">
        <f t="shared" si="195"/>
        <v>3177.9</v>
      </c>
      <c r="J350" s="7">
        <f t="shared" si="195"/>
        <v>3314.6</v>
      </c>
      <c r="K350" s="7">
        <f t="shared" si="195"/>
        <v>3457.1</v>
      </c>
      <c r="L350" s="7">
        <f t="shared" si="195"/>
        <v>2400</v>
      </c>
      <c r="M350" s="7">
        <f t="shared" si="195"/>
        <v>1266.8</v>
      </c>
      <c r="N350" s="7">
        <f t="shared" si="187"/>
        <v>52.783333333333324</v>
      </c>
    </row>
    <row r="351" spans="1:14" ht="31.5">
      <c r="A351" s="26" t="s">
        <v>553</v>
      </c>
      <c r="B351" s="42" t="s">
        <v>555</v>
      </c>
      <c r="C351" s="42" t="s">
        <v>544</v>
      </c>
      <c r="D351" s="42" t="s">
        <v>286</v>
      </c>
      <c r="E351" s="42"/>
      <c r="F351" s="6"/>
      <c r="G351" s="7">
        <f>G352</f>
        <v>3047</v>
      </c>
      <c r="H351" s="7">
        <f t="shared" si="195"/>
        <v>3047</v>
      </c>
      <c r="I351" s="7">
        <f t="shared" si="195"/>
        <v>3177.9</v>
      </c>
      <c r="J351" s="7">
        <f t="shared" si="195"/>
        <v>3314.6</v>
      </c>
      <c r="K351" s="7">
        <f t="shared" si="195"/>
        <v>3457.1</v>
      </c>
      <c r="L351" s="7">
        <f t="shared" si="195"/>
        <v>2400</v>
      </c>
      <c r="M351" s="7">
        <f t="shared" si="195"/>
        <v>1266.8</v>
      </c>
      <c r="N351" s="7">
        <f t="shared" si="187"/>
        <v>52.783333333333324</v>
      </c>
    </row>
    <row r="352" spans="1:14" ht="31.5">
      <c r="A352" s="31" t="s">
        <v>209</v>
      </c>
      <c r="B352" s="42" t="s">
        <v>556</v>
      </c>
      <c r="C352" s="42" t="s">
        <v>544</v>
      </c>
      <c r="D352" s="42" t="s">
        <v>286</v>
      </c>
      <c r="E352" s="42"/>
      <c r="F352" s="6"/>
      <c r="G352" s="7">
        <f>G355+G353</f>
        <v>3047</v>
      </c>
      <c r="H352" s="7">
        <f aca="true" t="shared" si="196" ref="H352:L352">H355+H353</f>
        <v>3047</v>
      </c>
      <c r="I352" s="7">
        <f t="shared" si="196"/>
        <v>3177.9</v>
      </c>
      <c r="J352" s="7">
        <f t="shared" si="196"/>
        <v>3314.6</v>
      </c>
      <c r="K352" s="7">
        <f t="shared" si="196"/>
        <v>3457.1</v>
      </c>
      <c r="L352" s="7">
        <f t="shared" si="196"/>
        <v>2400</v>
      </c>
      <c r="M352" s="7">
        <f aca="true" t="shared" si="197" ref="M352">M355+M353</f>
        <v>1266.8</v>
      </c>
      <c r="N352" s="7">
        <f t="shared" si="187"/>
        <v>52.783333333333324</v>
      </c>
    </row>
    <row r="353" spans="1:14" ht="78.75">
      <c r="A353" s="26" t="s">
        <v>179</v>
      </c>
      <c r="B353" s="42" t="s">
        <v>556</v>
      </c>
      <c r="C353" s="42" t="s">
        <v>544</v>
      </c>
      <c r="D353" s="42" t="s">
        <v>286</v>
      </c>
      <c r="E353" s="42" t="s">
        <v>180</v>
      </c>
      <c r="F353" s="6"/>
      <c r="G353" s="7">
        <f>G354</f>
        <v>2111</v>
      </c>
      <c r="H353" s="7">
        <f aca="true" t="shared" si="198" ref="H353:M353">H354</f>
        <v>2111</v>
      </c>
      <c r="I353" s="7">
        <f t="shared" si="198"/>
        <v>2111</v>
      </c>
      <c r="J353" s="7">
        <f t="shared" si="198"/>
        <v>2111</v>
      </c>
      <c r="K353" s="7">
        <f t="shared" si="198"/>
        <v>2111</v>
      </c>
      <c r="L353" s="7">
        <f t="shared" si="198"/>
        <v>1611</v>
      </c>
      <c r="M353" s="7">
        <f t="shared" si="198"/>
        <v>864.5</v>
      </c>
      <c r="N353" s="7">
        <f t="shared" si="187"/>
        <v>53.66232153941651</v>
      </c>
    </row>
    <row r="354" spans="1:14" ht="55.5" customHeight="1">
      <c r="A354" s="26" t="s">
        <v>181</v>
      </c>
      <c r="B354" s="42" t="s">
        <v>556</v>
      </c>
      <c r="C354" s="42" t="s">
        <v>544</v>
      </c>
      <c r="D354" s="42" t="s">
        <v>286</v>
      </c>
      <c r="E354" s="42" t="s">
        <v>182</v>
      </c>
      <c r="F354" s="6"/>
      <c r="G354" s="7">
        <f>'Прил.№4 ведомств.'!G846</f>
        <v>2111</v>
      </c>
      <c r="H354" s="7">
        <f>'Прил.№4 ведомств.'!I846</f>
        <v>2111</v>
      </c>
      <c r="I354" s="7">
        <f>'Прил.№4 ведомств.'!J846</f>
        <v>2111</v>
      </c>
      <c r="J354" s="7">
        <f>'Прил.№4 ведомств.'!K846</f>
        <v>2111</v>
      </c>
      <c r="K354" s="7">
        <f>'Прил.№4 ведомств.'!L846</f>
        <v>2111</v>
      </c>
      <c r="L354" s="7">
        <f>'Прил.№4 ведомств.'!M846</f>
        <v>1611</v>
      </c>
      <c r="M354" s="7">
        <f>'Прил.№4 ведомств.'!N846</f>
        <v>864.5</v>
      </c>
      <c r="N354" s="7">
        <f t="shared" si="187"/>
        <v>53.66232153941651</v>
      </c>
    </row>
    <row r="355" spans="1:14" ht="31.5">
      <c r="A355" s="31" t="s">
        <v>183</v>
      </c>
      <c r="B355" s="42" t="s">
        <v>556</v>
      </c>
      <c r="C355" s="42" t="s">
        <v>544</v>
      </c>
      <c r="D355" s="42" t="s">
        <v>286</v>
      </c>
      <c r="E355" s="42" t="s">
        <v>184</v>
      </c>
      <c r="F355" s="6"/>
      <c r="G355" s="7">
        <f>G356</f>
        <v>936</v>
      </c>
      <c r="H355" s="7">
        <f aca="true" t="shared" si="199" ref="H355:M355">H356</f>
        <v>936</v>
      </c>
      <c r="I355" s="7">
        <f t="shared" si="199"/>
        <v>1066.9</v>
      </c>
      <c r="J355" s="7">
        <f t="shared" si="199"/>
        <v>1203.6</v>
      </c>
      <c r="K355" s="7">
        <f t="shared" si="199"/>
        <v>1346.1</v>
      </c>
      <c r="L355" s="7">
        <f t="shared" si="199"/>
        <v>789</v>
      </c>
      <c r="M355" s="7">
        <f t="shared" si="199"/>
        <v>402.3</v>
      </c>
      <c r="N355" s="7">
        <f t="shared" si="187"/>
        <v>50.98859315589353</v>
      </c>
    </row>
    <row r="356" spans="1:14" ht="31.5">
      <c r="A356" s="31" t="s">
        <v>185</v>
      </c>
      <c r="B356" s="42" t="s">
        <v>556</v>
      </c>
      <c r="C356" s="42" t="s">
        <v>544</v>
      </c>
      <c r="D356" s="42" t="s">
        <v>286</v>
      </c>
      <c r="E356" s="42" t="s">
        <v>186</v>
      </c>
      <c r="F356" s="6"/>
      <c r="G356" s="7">
        <f>'Прил.№4 ведомств.'!G848</f>
        <v>936</v>
      </c>
      <c r="H356" s="7">
        <f>'Прил.№4 ведомств.'!I848</f>
        <v>936</v>
      </c>
      <c r="I356" s="7">
        <f>'Прил.№4 ведомств.'!J848</f>
        <v>1066.9</v>
      </c>
      <c r="J356" s="7">
        <f>'Прил.№4 ведомств.'!K848</f>
        <v>1203.6</v>
      </c>
      <c r="K356" s="7">
        <f>'Прил.№4 ведомств.'!L848</f>
        <v>1346.1</v>
      </c>
      <c r="L356" s="7">
        <f>'Прил.№4 ведомств.'!M848</f>
        <v>789</v>
      </c>
      <c r="M356" s="7">
        <f>'Прил.№4 ведомств.'!N848</f>
        <v>402.3</v>
      </c>
      <c r="N356" s="7">
        <f t="shared" si="187"/>
        <v>50.98859315589353</v>
      </c>
    </row>
    <row r="357" spans="1:14" ht="31.5">
      <c r="A357" s="81" t="s">
        <v>533</v>
      </c>
      <c r="B357" s="42" t="s">
        <v>555</v>
      </c>
      <c r="C357" s="42" t="s">
        <v>544</v>
      </c>
      <c r="D357" s="42" t="s">
        <v>286</v>
      </c>
      <c r="E357" s="42"/>
      <c r="F357" s="6">
        <v>907</v>
      </c>
      <c r="G357" s="11">
        <f>G349</f>
        <v>3047</v>
      </c>
      <c r="H357" s="11">
        <f aca="true" t="shared" si="200" ref="H357:L357">H349</f>
        <v>3047</v>
      </c>
      <c r="I357" s="11">
        <f t="shared" si="200"/>
        <v>3177.9</v>
      </c>
      <c r="J357" s="11">
        <f t="shared" si="200"/>
        <v>3314.6</v>
      </c>
      <c r="K357" s="11">
        <f t="shared" si="200"/>
        <v>3457.1</v>
      </c>
      <c r="L357" s="11">
        <f t="shared" si="200"/>
        <v>2400</v>
      </c>
      <c r="M357" s="11">
        <f aca="true" t="shared" si="201" ref="M357">M349</f>
        <v>1266.8</v>
      </c>
      <c r="N357" s="7">
        <f t="shared" si="187"/>
        <v>52.783333333333324</v>
      </c>
    </row>
    <row r="358" spans="1:14" ht="31.5">
      <c r="A358" s="43" t="s">
        <v>318</v>
      </c>
      <c r="B358" s="8" t="s">
        <v>319</v>
      </c>
      <c r="C358" s="83"/>
      <c r="D358" s="83"/>
      <c r="E358" s="83"/>
      <c r="F358" s="3"/>
      <c r="G358" s="68">
        <f aca="true" t="shared" si="202" ref="G358:L358">G359+G390+G415</f>
        <v>58528.7</v>
      </c>
      <c r="H358" s="68">
        <f t="shared" si="202"/>
        <v>53466.433333333334</v>
      </c>
      <c r="I358" s="68">
        <f t="shared" si="202"/>
        <v>72150.8</v>
      </c>
      <c r="J358" s="68">
        <f t="shared" si="202"/>
        <v>72948.7</v>
      </c>
      <c r="K358" s="68">
        <f t="shared" si="202"/>
        <v>73823.6</v>
      </c>
      <c r="L358" s="68">
        <f t="shared" si="202"/>
        <v>57925.2</v>
      </c>
      <c r="M358" s="68">
        <f aca="true" t="shared" si="203" ref="M358">M359+M390+M415</f>
        <v>29265.300000000003</v>
      </c>
      <c r="N358" s="4">
        <f t="shared" si="187"/>
        <v>50.52257048745624</v>
      </c>
    </row>
    <row r="359" spans="1:18" ht="47.25">
      <c r="A359" s="43" t="s">
        <v>320</v>
      </c>
      <c r="B359" s="8" t="s">
        <v>321</v>
      </c>
      <c r="C359" s="83"/>
      <c r="D359" s="83"/>
      <c r="E359" s="83"/>
      <c r="F359" s="3"/>
      <c r="G359" s="68">
        <f>G360</f>
        <v>16445.6</v>
      </c>
      <c r="H359" s="68">
        <f aca="true" t="shared" si="204" ref="H359:M360">H360</f>
        <v>11383.333333333334</v>
      </c>
      <c r="I359" s="68">
        <f t="shared" si="204"/>
        <v>21824</v>
      </c>
      <c r="J359" s="68">
        <f t="shared" si="204"/>
        <v>21497.6</v>
      </c>
      <c r="K359" s="68">
        <f t="shared" si="204"/>
        <v>21724.8</v>
      </c>
      <c r="L359" s="68">
        <f t="shared" si="204"/>
        <v>16723.8</v>
      </c>
      <c r="M359" s="68">
        <f t="shared" si="204"/>
        <v>8557.8</v>
      </c>
      <c r="N359" s="4">
        <f t="shared" si="187"/>
        <v>51.17138449395472</v>
      </c>
      <c r="O359" s="23"/>
      <c r="P359" s="23"/>
      <c r="Q359" s="23"/>
      <c r="R359" s="23"/>
    </row>
    <row r="360" spans="1:14" ht="15.75">
      <c r="A360" s="31" t="s">
        <v>315</v>
      </c>
      <c r="B360" s="42" t="s">
        <v>321</v>
      </c>
      <c r="C360" s="42" t="s">
        <v>316</v>
      </c>
      <c r="D360" s="83"/>
      <c r="E360" s="83"/>
      <c r="F360" s="3"/>
      <c r="G360" s="11">
        <f>G361</f>
        <v>16445.6</v>
      </c>
      <c r="H360" s="11">
        <f t="shared" si="204"/>
        <v>11383.333333333334</v>
      </c>
      <c r="I360" s="11">
        <f t="shared" si="204"/>
        <v>21824</v>
      </c>
      <c r="J360" s="11">
        <f t="shared" si="204"/>
        <v>21497.6</v>
      </c>
      <c r="K360" s="11">
        <f t="shared" si="204"/>
        <v>21724.8</v>
      </c>
      <c r="L360" s="11">
        <f t="shared" si="204"/>
        <v>16723.8</v>
      </c>
      <c r="M360" s="11">
        <f t="shared" si="204"/>
        <v>8557.8</v>
      </c>
      <c r="N360" s="7">
        <f t="shared" si="187"/>
        <v>51.17138449395472</v>
      </c>
    </row>
    <row r="361" spans="1:14" ht="15.75">
      <c r="A361" s="31" t="s">
        <v>478</v>
      </c>
      <c r="B361" s="42" t="s">
        <v>321</v>
      </c>
      <c r="C361" s="42" t="s">
        <v>316</v>
      </c>
      <c r="D361" s="42" t="s">
        <v>267</v>
      </c>
      <c r="E361" s="83"/>
      <c r="F361" s="3"/>
      <c r="G361" s="11">
        <f>G362+G377+G380+G383+G386</f>
        <v>16445.6</v>
      </c>
      <c r="H361" s="11">
        <f aca="true" t="shared" si="205" ref="H361:K361">H362+H377+H380+H383+H386</f>
        <v>11383.333333333334</v>
      </c>
      <c r="I361" s="11">
        <f t="shared" si="205"/>
        <v>21824</v>
      </c>
      <c r="J361" s="11">
        <f t="shared" si="205"/>
        <v>21497.6</v>
      </c>
      <c r="K361" s="11">
        <f t="shared" si="205"/>
        <v>21724.8</v>
      </c>
      <c r="L361" s="11">
        <f>L362+L377+L380+L383+L386+L369</f>
        <v>16723.8</v>
      </c>
      <c r="M361" s="11">
        <f>M362+M377+M380+M383+M386+M369</f>
        <v>8557.8</v>
      </c>
      <c r="N361" s="7">
        <f t="shared" si="187"/>
        <v>51.17138449395472</v>
      </c>
    </row>
    <row r="362" spans="1:14" ht="47.25">
      <c r="A362" s="31" t="s">
        <v>322</v>
      </c>
      <c r="B362" s="42" t="s">
        <v>323</v>
      </c>
      <c r="C362" s="42" t="s">
        <v>316</v>
      </c>
      <c r="D362" s="42" t="s">
        <v>267</v>
      </c>
      <c r="E362" s="83"/>
      <c r="F362" s="3"/>
      <c r="G362" s="11">
        <f>G363</f>
        <v>16395.6</v>
      </c>
      <c r="H362" s="11">
        <f aca="true" t="shared" si="206" ref="H362:M363">H363</f>
        <v>11333.333333333334</v>
      </c>
      <c r="I362" s="11">
        <f t="shared" si="206"/>
        <v>20227.2</v>
      </c>
      <c r="J362" s="11">
        <f t="shared" si="206"/>
        <v>20500.8</v>
      </c>
      <c r="K362" s="11">
        <f t="shared" si="206"/>
        <v>20728</v>
      </c>
      <c r="L362" s="11">
        <f t="shared" si="206"/>
        <v>15893.46</v>
      </c>
      <c r="M362" s="11">
        <f t="shared" si="206"/>
        <v>7846</v>
      </c>
      <c r="N362" s="7">
        <f t="shared" si="187"/>
        <v>49.36621729944267</v>
      </c>
    </row>
    <row r="363" spans="1:14" ht="31.5">
      <c r="A363" s="31" t="s">
        <v>324</v>
      </c>
      <c r="B363" s="42" t="s">
        <v>323</v>
      </c>
      <c r="C363" s="42" t="s">
        <v>316</v>
      </c>
      <c r="D363" s="42" t="s">
        <v>267</v>
      </c>
      <c r="E363" s="42" t="s">
        <v>325</v>
      </c>
      <c r="F363" s="3"/>
      <c r="G363" s="11">
        <f>G364</f>
        <v>16395.6</v>
      </c>
      <c r="H363" s="11">
        <f t="shared" si="206"/>
        <v>11333.333333333334</v>
      </c>
      <c r="I363" s="11">
        <f t="shared" si="206"/>
        <v>20227.2</v>
      </c>
      <c r="J363" s="11">
        <f t="shared" si="206"/>
        <v>20500.8</v>
      </c>
      <c r="K363" s="11">
        <f t="shared" si="206"/>
        <v>20728</v>
      </c>
      <c r="L363" s="11">
        <f t="shared" si="206"/>
        <v>15893.46</v>
      </c>
      <c r="M363" s="11">
        <f t="shared" si="206"/>
        <v>7846</v>
      </c>
      <c r="N363" s="7">
        <f t="shared" si="187"/>
        <v>49.36621729944267</v>
      </c>
    </row>
    <row r="364" spans="1:14" ht="15.75">
      <c r="A364" s="31" t="s">
        <v>326</v>
      </c>
      <c r="B364" s="42" t="s">
        <v>323</v>
      </c>
      <c r="C364" s="42" t="s">
        <v>316</v>
      </c>
      <c r="D364" s="42" t="s">
        <v>267</v>
      </c>
      <c r="E364" s="42" t="s">
        <v>327</v>
      </c>
      <c r="F364" s="3"/>
      <c r="G364" s="7">
        <f>'Прил.№4 ведомств.'!G289</f>
        <v>16395.6</v>
      </c>
      <c r="H364" s="7">
        <f>'Прил.№4 ведомств.'!I289</f>
        <v>11333.333333333334</v>
      </c>
      <c r="I364" s="7">
        <f>'Прил.№4 ведомств.'!J289</f>
        <v>20227.2</v>
      </c>
      <c r="J364" s="7">
        <f>'Прил.№4 ведомств.'!K289</f>
        <v>20500.8</v>
      </c>
      <c r="K364" s="7">
        <f>'Прил.№4 ведомств.'!L289</f>
        <v>20728</v>
      </c>
      <c r="L364" s="7">
        <f>'Прил.№4 ведомств.'!M289</f>
        <v>15893.46</v>
      </c>
      <c r="M364" s="7">
        <f>'Прил.№4 ведомств.'!N289</f>
        <v>7846</v>
      </c>
      <c r="N364" s="7">
        <f t="shared" si="187"/>
        <v>49.36621729944267</v>
      </c>
    </row>
    <row r="365" spans="1:14" ht="47.25" hidden="1">
      <c r="A365" s="31" t="s">
        <v>328</v>
      </c>
      <c r="B365" s="42" t="s">
        <v>727</v>
      </c>
      <c r="C365" s="42" t="s">
        <v>316</v>
      </c>
      <c r="D365" s="42" t="s">
        <v>267</v>
      </c>
      <c r="E365" s="42"/>
      <c r="F365" s="3"/>
      <c r="G365" s="11">
        <f>G366</f>
        <v>0</v>
      </c>
      <c r="H365" s="11">
        <f aca="true" t="shared" si="207" ref="H365:M366">H366</f>
        <v>0</v>
      </c>
      <c r="I365" s="11">
        <f t="shared" si="207"/>
        <v>0</v>
      </c>
      <c r="J365" s="11">
        <f t="shared" si="207"/>
        <v>0</v>
      </c>
      <c r="K365" s="11">
        <f t="shared" si="207"/>
        <v>0</v>
      </c>
      <c r="L365" s="11">
        <f t="shared" si="207"/>
        <v>0</v>
      </c>
      <c r="M365" s="11">
        <f t="shared" si="207"/>
        <v>0</v>
      </c>
      <c r="N365" s="7" t="e">
        <f t="shared" si="187"/>
        <v>#DIV/0!</v>
      </c>
    </row>
    <row r="366" spans="1:14" ht="31.5" hidden="1">
      <c r="A366" s="31" t="s">
        <v>324</v>
      </c>
      <c r="B366" s="42" t="s">
        <v>727</v>
      </c>
      <c r="C366" s="42" t="s">
        <v>316</v>
      </c>
      <c r="D366" s="42" t="s">
        <v>267</v>
      </c>
      <c r="E366" s="42" t="s">
        <v>325</v>
      </c>
      <c r="F366" s="3"/>
      <c r="G366" s="11">
        <f>G367</f>
        <v>0</v>
      </c>
      <c r="H366" s="11">
        <f t="shared" si="207"/>
        <v>0</v>
      </c>
      <c r="I366" s="11">
        <f t="shared" si="207"/>
        <v>0</v>
      </c>
      <c r="J366" s="11">
        <f t="shared" si="207"/>
        <v>0</v>
      </c>
      <c r="K366" s="11">
        <f t="shared" si="207"/>
        <v>0</v>
      </c>
      <c r="L366" s="11">
        <f t="shared" si="207"/>
        <v>0</v>
      </c>
      <c r="M366" s="11">
        <f t="shared" si="207"/>
        <v>0</v>
      </c>
      <c r="N366" s="7" t="e">
        <f t="shared" si="187"/>
        <v>#DIV/0!</v>
      </c>
    </row>
    <row r="367" spans="1:14" ht="15.75" hidden="1">
      <c r="A367" s="31" t="s">
        <v>326</v>
      </c>
      <c r="B367" s="42" t="s">
        <v>727</v>
      </c>
      <c r="C367" s="42" t="s">
        <v>316</v>
      </c>
      <c r="D367" s="42" t="s">
        <v>267</v>
      </c>
      <c r="E367" s="42" t="s">
        <v>327</v>
      </c>
      <c r="F367" s="3"/>
      <c r="G367" s="11"/>
      <c r="H367" s="11"/>
      <c r="I367" s="11"/>
      <c r="J367" s="11"/>
      <c r="K367" s="11"/>
      <c r="L367" s="11"/>
      <c r="M367" s="11"/>
      <c r="N367" s="7" t="e">
        <f t="shared" si="187"/>
        <v>#DIV/0!</v>
      </c>
    </row>
    <row r="368" spans="1:14" ht="47.25" hidden="1">
      <c r="A368" s="47" t="s">
        <v>313</v>
      </c>
      <c r="B368" s="42" t="s">
        <v>727</v>
      </c>
      <c r="C368" s="42" t="s">
        <v>316</v>
      </c>
      <c r="D368" s="42" t="s">
        <v>267</v>
      </c>
      <c r="E368" s="42"/>
      <c r="F368" s="2">
        <v>903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11">
        <v>0</v>
      </c>
      <c r="N368" s="7" t="e">
        <f t="shared" si="187"/>
        <v>#DIV/0!</v>
      </c>
    </row>
    <row r="369" spans="1:14" ht="31.5">
      <c r="A369" s="31" t="s">
        <v>330</v>
      </c>
      <c r="B369" s="42" t="s">
        <v>331</v>
      </c>
      <c r="C369" s="42" t="s">
        <v>316</v>
      </c>
      <c r="D369" s="42" t="s">
        <v>267</v>
      </c>
      <c r="E369" s="42"/>
      <c r="F369" s="3"/>
      <c r="G369" s="11">
        <f>G370</f>
        <v>0</v>
      </c>
      <c r="H369" s="11">
        <f aca="true" t="shared" si="208" ref="H369:M370">H370</f>
        <v>0</v>
      </c>
      <c r="I369" s="11">
        <f t="shared" si="208"/>
        <v>0</v>
      </c>
      <c r="J369" s="11">
        <f t="shared" si="208"/>
        <v>0</v>
      </c>
      <c r="K369" s="11">
        <f t="shared" si="208"/>
        <v>0</v>
      </c>
      <c r="L369" s="11">
        <f t="shared" si="208"/>
        <v>80.6</v>
      </c>
      <c r="M369" s="11">
        <f t="shared" si="208"/>
        <v>0</v>
      </c>
      <c r="N369" s="7">
        <f t="shared" si="187"/>
        <v>0</v>
      </c>
    </row>
    <row r="370" spans="1:14" ht="31.5">
      <c r="A370" s="31" t="s">
        <v>324</v>
      </c>
      <c r="B370" s="42" t="s">
        <v>331</v>
      </c>
      <c r="C370" s="42" t="s">
        <v>316</v>
      </c>
      <c r="D370" s="42" t="s">
        <v>267</v>
      </c>
      <c r="E370" s="42" t="s">
        <v>325</v>
      </c>
      <c r="F370" s="3"/>
      <c r="G370" s="11">
        <f>G371</f>
        <v>0</v>
      </c>
      <c r="H370" s="11">
        <f t="shared" si="208"/>
        <v>0</v>
      </c>
      <c r="I370" s="11">
        <f t="shared" si="208"/>
        <v>0</v>
      </c>
      <c r="J370" s="11">
        <f t="shared" si="208"/>
        <v>0</v>
      </c>
      <c r="K370" s="11">
        <f t="shared" si="208"/>
        <v>0</v>
      </c>
      <c r="L370" s="11">
        <f t="shared" si="208"/>
        <v>80.6</v>
      </c>
      <c r="M370" s="11">
        <f t="shared" si="208"/>
        <v>0</v>
      </c>
      <c r="N370" s="7">
        <f t="shared" si="187"/>
        <v>0</v>
      </c>
    </row>
    <row r="371" spans="1:14" ht="15.75">
      <c r="A371" s="31" t="s">
        <v>326</v>
      </c>
      <c r="B371" s="42" t="s">
        <v>331</v>
      </c>
      <c r="C371" s="42" t="s">
        <v>316</v>
      </c>
      <c r="D371" s="42" t="s">
        <v>267</v>
      </c>
      <c r="E371" s="42" t="s">
        <v>327</v>
      </c>
      <c r="F371" s="3"/>
      <c r="G371" s="11"/>
      <c r="H371" s="11"/>
      <c r="I371" s="11"/>
      <c r="J371" s="11"/>
      <c r="K371" s="11"/>
      <c r="L371" s="11">
        <f>'Прил.№4 ведомств.'!M295</f>
        <v>80.6</v>
      </c>
      <c r="M371" s="11">
        <f>'Прил.№4 ведомств.'!N295</f>
        <v>0</v>
      </c>
      <c r="N371" s="7">
        <f t="shared" si="187"/>
        <v>0</v>
      </c>
    </row>
    <row r="372" spans="1:14" ht="47.25" hidden="1">
      <c r="A372" s="47" t="s">
        <v>313</v>
      </c>
      <c r="B372" s="42" t="s">
        <v>728</v>
      </c>
      <c r="C372" s="42" t="s">
        <v>316</v>
      </c>
      <c r="D372" s="42" t="s">
        <v>267</v>
      </c>
      <c r="E372" s="42"/>
      <c r="F372" s="2">
        <v>903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7" t="e">
        <f t="shared" si="187"/>
        <v>#DIV/0!</v>
      </c>
    </row>
    <row r="373" spans="1:14" ht="31.5" hidden="1">
      <c r="A373" s="31" t="s">
        <v>332</v>
      </c>
      <c r="B373" s="42" t="s">
        <v>729</v>
      </c>
      <c r="C373" s="42" t="s">
        <v>316</v>
      </c>
      <c r="D373" s="42" t="s">
        <v>267</v>
      </c>
      <c r="E373" s="42"/>
      <c r="F373" s="3"/>
      <c r="G373" s="11">
        <f>G374</f>
        <v>0</v>
      </c>
      <c r="H373" s="11">
        <f aca="true" t="shared" si="209" ref="H373:M374">H374</f>
        <v>0</v>
      </c>
      <c r="I373" s="11">
        <f t="shared" si="209"/>
        <v>0</v>
      </c>
      <c r="J373" s="11">
        <f t="shared" si="209"/>
        <v>0</v>
      </c>
      <c r="K373" s="11">
        <f t="shared" si="209"/>
        <v>0</v>
      </c>
      <c r="L373" s="11">
        <f t="shared" si="209"/>
        <v>0</v>
      </c>
      <c r="M373" s="11">
        <f t="shared" si="209"/>
        <v>0</v>
      </c>
      <c r="N373" s="7" t="e">
        <f t="shared" si="187"/>
        <v>#DIV/0!</v>
      </c>
    </row>
    <row r="374" spans="1:14" ht="69" customHeight="1" hidden="1">
      <c r="A374" s="31" t="s">
        <v>324</v>
      </c>
      <c r="B374" s="42" t="s">
        <v>729</v>
      </c>
      <c r="C374" s="42" t="s">
        <v>316</v>
      </c>
      <c r="D374" s="42" t="s">
        <v>267</v>
      </c>
      <c r="E374" s="42" t="s">
        <v>325</v>
      </c>
      <c r="F374" s="3"/>
      <c r="G374" s="11">
        <f>G375</f>
        <v>0</v>
      </c>
      <c r="H374" s="11">
        <f t="shared" si="209"/>
        <v>0</v>
      </c>
      <c r="I374" s="11">
        <f t="shared" si="209"/>
        <v>0</v>
      </c>
      <c r="J374" s="11">
        <f t="shared" si="209"/>
        <v>0</v>
      </c>
      <c r="K374" s="11">
        <f t="shared" si="209"/>
        <v>0</v>
      </c>
      <c r="L374" s="11">
        <f t="shared" si="209"/>
        <v>0</v>
      </c>
      <c r="M374" s="11">
        <f t="shared" si="209"/>
        <v>0</v>
      </c>
      <c r="N374" s="7" t="e">
        <f t="shared" si="187"/>
        <v>#DIV/0!</v>
      </c>
    </row>
    <row r="375" spans="1:14" ht="15.75" hidden="1">
      <c r="A375" s="31" t="s">
        <v>326</v>
      </c>
      <c r="B375" s="42" t="s">
        <v>729</v>
      </c>
      <c r="C375" s="42" t="s">
        <v>316</v>
      </c>
      <c r="D375" s="42" t="s">
        <v>267</v>
      </c>
      <c r="E375" s="42" t="s">
        <v>327</v>
      </c>
      <c r="F375" s="3"/>
      <c r="G375" s="11"/>
      <c r="H375" s="11"/>
      <c r="I375" s="11"/>
      <c r="J375" s="11"/>
      <c r="K375" s="11"/>
      <c r="L375" s="11"/>
      <c r="M375" s="11"/>
      <c r="N375" s="7" t="e">
        <f t="shared" si="187"/>
        <v>#DIV/0!</v>
      </c>
    </row>
    <row r="376" spans="1:14" ht="47.25" hidden="1">
      <c r="A376" s="47" t="s">
        <v>313</v>
      </c>
      <c r="B376" s="42" t="s">
        <v>729</v>
      </c>
      <c r="C376" s="42" t="s">
        <v>316</v>
      </c>
      <c r="D376" s="42" t="s">
        <v>267</v>
      </c>
      <c r="E376" s="42"/>
      <c r="F376" s="2">
        <v>903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7" t="e">
        <f t="shared" si="187"/>
        <v>#DIV/0!</v>
      </c>
    </row>
    <row r="377" spans="1:14" ht="31.5">
      <c r="A377" s="31" t="s">
        <v>334</v>
      </c>
      <c r="B377" s="42" t="s">
        <v>335</v>
      </c>
      <c r="C377" s="42" t="s">
        <v>316</v>
      </c>
      <c r="D377" s="42" t="s">
        <v>267</v>
      </c>
      <c r="E377" s="42"/>
      <c r="F377" s="3"/>
      <c r="G377" s="11">
        <f>G378</f>
        <v>50</v>
      </c>
      <c r="H377" s="11">
        <f aca="true" t="shared" si="210" ref="H377:M378">H378</f>
        <v>50</v>
      </c>
      <c r="I377" s="11">
        <f t="shared" si="210"/>
        <v>60</v>
      </c>
      <c r="J377" s="11">
        <f t="shared" si="210"/>
        <v>60</v>
      </c>
      <c r="K377" s="11">
        <f t="shared" si="210"/>
        <v>60</v>
      </c>
      <c r="L377" s="11">
        <f t="shared" si="210"/>
        <v>50</v>
      </c>
      <c r="M377" s="11">
        <f t="shared" si="210"/>
        <v>50</v>
      </c>
      <c r="N377" s="7">
        <f t="shared" si="187"/>
        <v>100</v>
      </c>
    </row>
    <row r="378" spans="1:14" ht="31.5">
      <c r="A378" s="31" t="s">
        <v>324</v>
      </c>
      <c r="B378" s="42" t="s">
        <v>335</v>
      </c>
      <c r="C378" s="42" t="s">
        <v>316</v>
      </c>
      <c r="D378" s="42" t="s">
        <v>267</v>
      </c>
      <c r="E378" s="42" t="s">
        <v>325</v>
      </c>
      <c r="F378" s="3"/>
      <c r="G378" s="11">
        <f>G379</f>
        <v>50</v>
      </c>
      <c r="H378" s="11">
        <f t="shared" si="210"/>
        <v>50</v>
      </c>
      <c r="I378" s="11">
        <f t="shared" si="210"/>
        <v>60</v>
      </c>
      <c r="J378" s="11">
        <f t="shared" si="210"/>
        <v>60</v>
      </c>
      <c r="K378" s="11">
        <f t="shared" si="210"/>
        <v>60</v>
      </c>
      <c r="L378" s="11">
        <f t="shared" si="210"/>
        <v>50</v>
      </c>
      <c r="M378" s="11">
        <f t="shared" si="210"/>
        <v>50</v>
      </c>
      <c r="N378" s="7">
        <f t="shared" si="187"/>
        <v>100</v>
      </c>
    </row>
    <row r="379" spans="1:14" ht="15.75">
      <c r="A379" s="31" t="s">
        <v>326</v>
      </c>
      <c r="B379" s="42" t="s">
        <v>335</v>
      </c>
      <c r="C379" s="42" t="s">
        <v>316</v>
      </c>
      <c r="D379" s="42" t="s">
        <v>267</v>
      </c>
      <c r="E379" s="42" t="s">
        <v>327</v>
      </c>
      <c r="F379" s="3"/>
      <c r="G379" s="7">
        <f>'Прил.№4 ведомств.'!G301</f>
        <v>50</v>
      </c>
      <c r="H379" s="7">
        <f>'Прил.№4 ведомств.'!I301</f>
        <v>50</v>
      </c>
      <c r="I379" s="7">
        <f>'Прил.№4 ведомств.'!J301</f>
        <v>60</v>
      </c>
      <c r="J379" s="7">
        <f>'Прил.№4 ведомств.'!K301</f>
        <v>60</v>
      </c>
      <c r="K379" s="7">
        <f>'Прил.№4 ведомств.'!L301</f>
        <v>60</v>
      </c>
      <c r="L379" s="7">
        <f>'Прил.№4 ведомств.'!M301</f>
        <v>50</v>
      </c>
      <c r="M379" s="7">
        <f>'Прил.№4 ведомств.'!N301</f>
        <v>50</v>
      </c>
      <c r="N379" s="7">
        <f t="shared" si="187"/>
        <v>100</v>
      </c>
    </row>
    <row r="380" spans="1:14" ht="31.5">
      <c r="A380" s="26" t="s">
        <v>336</v>
      </c>
      <c r="B380" s="42" t="s">
        <v>338</v>
      </c>
      <c r="C380" s="42" t="s">
        <v>316</v>
      </c>
      <c r="D380" s="42" t="s">
        <v>267</v>
      </c>
      <c r="E380" s="42"/>
      <c r="F380" s="3"/>
      <c r="G380" s="11">
        <f>G381</f>
        <v>0</v>
      </c>
      <c r="H380" s="11">
        <f aca="true" t="shared" si="211" ref="H380:M381">H381</f>
        <v>0</v>
      </c>
      <c r="I380" s="11">
        <f t="shared" si="211"/>
        <v>275</v>
      </c>
      <c r="J380" s="11">
        <f t="shared" si="211"/>
        <v>275</v>
      </c>
      <c r="K380" s="11">
        <f t="shared" si="211"/>
        <v>275</v>
      </c>
      <c r="L380" s="11">
        <f t="shared" si="211"/>
        <v>37.94</v>
      </c>
      <c r="M380" s="11">
        <f t="shared" si="211"/>
        <v>0</v>
      </c>
      <c r="N380" s="7">
        <f t="shared" si="187"/>
        <v>0</v>
      </c>
    </row>
    <row r="381" spans="1:14" ht="31.5">
      <c r="A381" s="26" t="s">
        <v>324</v>
      </c>
      <c r="B381" s="42" t="s">
        <v>338</v>
      </c>
      <c r="C381" s="42" t="s">
        <v>316</v>
      </c>
      <c r="D381" s="42" t="s">
        <v>267</v>
      </c>
      <c r="E381" s="42" t="s">
        <v>325</v>
      </c>
      <c r="F381" s="3"/>
      <c r="G381" s="11">
        <f>G382</f>
        <v>0</v>
      </c>
      <c r="H381" s="11">
        <f t="shared" si="211"/>
        <v>0</v>
      </c>
      <c r="I381" s="11">
        <f t="shared" si="211"/>
        <v>275</v>
      </c>
      <c r="J381" s="11">
        <f t="shared" si="211"/>
        <v>275</v>
      </c>
      <c r="K381" s="11">
        <f t="shared" si="211"/>
        <v>275</v>
      </c>
      <c r="L381" s="11">
        <f t="shared" si="211"/>
        <v>37.94</v>
      </c>
      <c r="M381" s="11">
        <f t="shared" si="211"/>
        <v>0</v>
      </c>
      <c r="N381" s="7">
        <f t="shared" si="187"/>
        <v>0</v>
      </c>
    </row>
    <row r="382" spans="1:14" ht="15.75">
      <c r="A382" s="26" t="s">
        <v>326</v>
      </c>
      <c r="B382" s="42" t="s">
        <v>338</v>
      </c>
      <c r="C382" s="42" t="s">
        <v>316</v>
      </c>
      <c r="D382" s="42" t="s">
        <v>267</v>
      </c>
      <c r="E382" s="42" t="s">
        <v>327</v>
      </c>
      <c r="F382" s="3"/>
      <c r="G382" s="11">
        <f>'Прил.№4 ведомств.'!G304</f>
        <v>0</v>
      </c>
      <c r="H382" s="11">
        <f>'Прил.№4 ведомств.'!I304</f>
        <v>0</v>
      </c>
      <c r="I382" s="11">
        <f>'Прил.№4 ведомств.'!J304</f>
        <v>275</v>
      </c>
      <c r="J382" s="11">
        <f>'Прил.№4 ведомств.'!K304</f>
        <v>275</v>
      </c>
      <c r="K382" s="11">
        <f>'Прил.№4 ведомств.'!L304</f>
        <v>275</v>
      </c>
      <c r="L382" s="11">
        <f>'Прил.№4 ведомств.'!M304</f>
        <v>37.94</v>
      </c>
      <c r="M382" s="11">
        <f>'Прил.№4 ведомств.'!N304</f>
        <v>0</v>
      </c>
      <c r="N382" s="7">
        <f t="shared" si="187"/>
        <v>0</v>
      </c>
    </row>
    <row r="383" spans="1:14" ht="31.5" hidden="1">
      <c r="A383" s="70" t="s">
        <v>339</v>
      </c>
      <c r="B383" s="21" t="s">
        <v>340</v>
      </c>
      <c r="C383" s="42" t="s">
        <v>316</v>
      </c>
      <c r="D383" s="42" t="s">
        <v>267</v>
      </c>
      <c r="E383" s="42"/>
      <c r="F383" s="3"/>
      <c r="G383" s="11">
        <f>G384</f>
        <v>0</v>
      </c>
      <c r="H383" s="11">
        <f aca="true" t="shared" si="212" ref="H383:M384">H384</f>
        <v>0</v>
      </c>
      <c r="I383" s="11">
        <f t="shared" si="212"/>
        <v>600</v>
      </c>
      <c r="J383" s="11">
        <f t="shared" si="212"/>
        <v>0</v>
      </c>
      <c r="K383" s="11">
        <f t="shared" si="212"/>
        <v>0</v>
      </c>
      <c r="L383" s="11">
        <f t="shared" si="212"/>
        <v>0</v>
      </c>
      <c r="M383" s="11">
        <f t="shared" si="212"/>
        <v>0</v>
      </c>
      <c r="N383" s="7" t="e">
        <f t="shared" si="187"/>
        <v>#DIV/0!</v>
      </c>
    </row>
    <row r="384" spans="1:14" ht="31.5" hidden="1">
      <c r="A384" s="31" t="s">
        <v>324</v>
      </c>
      <c r="B384" s="21" t="s">
        <v>340</v>
      </c>
      <c r="C384" s="42" t="s">
        <v>316</v>
      </c>
      <c r="D384" s="42" t="s">
        <v>267</v>
      </c>
      <c r="E384" s="42" t="s">
        <v>325</v>
      </c>
      <c r="F384" s="3"/>
      <c r="G384" s="11">
        <f>G385</f>
        <v>0</v>
      </c>
      <c r="H384" s="11">
        <f t="shared" si="212"/>
        <v>0</v>
      </c>
      <c r="I384" s="11">
        <f t="shared" si="212"/>
        <v>600</v>
      </c>
      <c r="J384" s="11">
        <f t="shared" si="212"/>
        <v>0</v>
      </c>
      <c r="K384" s="11">
        <f t="shared" si="212"/>
        <v>0</v>
      </c>
      <c r="L384" s="11">
        <f t="shared" si="212"/>
        <v>0</v>
      </c>
      <c r="M384" s="11">
        <f t="shared" si="212"/>
        <v>0</v>
      </c>
      <c r="N384" s="7" t="e">
        <f t="shared" si="187"/>
        <v>#DIV/0!</v>
      </c>
    </row>
    <row r="385" spans="1:14" ht="15.75" hidden="1">
      <c r="A385" s="256" t="s">
        <v>326</v>
      </c>
      <c r="B385" s="21" t="s">
        <v>340</v>
      </c>
      <c r="C385" s="42" t="s">
        <v>316</v>
      </c>
      <c r="D385" s="42" t="s">
        <v>267</v>
      </c>
      <c r="E385" s="42" t="s">
        <v>327</v>
      </c>
      <c r="F385" s="3"/>
      <c r="G385" s="11">
        <f>'Прил.№4 ведомств.'!G307</f>
        <v>0</v>
      </c>
      <c r="H385" s="11">
        <f>'Прил.№4 ведомств.'!I307</f>
        <v>0</v>
      </c>
      <c r="I385" s="11">
        <f>'Прил.№4 ведомств.'!J307</f>
        <v>600</v>
      </c>
      <c r="J385" s="11">
        <f>'Прил.№4 ведомств.'!K307</f>
        <v>0</v>
      </c>
      <c r="K385" s="11">
        <f>'Прил.№4 ведомств.'!L307</f>
        <v>0</v>
      </c>
      <c r="L385" s="11">
        <f>'Прил.№4 ведомств.'!M307</f>
        <v>0</v>
      </c>
      <c r="M385" s="11">
        <f>'Прил.№4 ведомств.'!N307</f>
        <v>0</v>
      </c>
      <c r="N385" s="7" t="e">
        <f t="shared" si="187"/>
        <v>#DIV/0!</v>
      </c>
    </row>
    <row r="386" spans="1:14" ht="31.5">
      <c r="A386" s="70" t="s">
        <v>865</v>
      </c>
      <c r="B386" s="21" t="s">
        <v>871</v>
      </c>
      <c r="C386" s="42" t="s">
        <v>316</v>
      </c>
      <c r="D386" s="42" t="s">
        <v>267</v>
      </c>
      <c r="E386" s="42"/>
      <c r="F386" s="3"/>
      <c r="G386" s="11">
        <f>G387</f>
        <v>0</v>
      </c>
      <c r="H386" s="11">
        <f aca="true" t="shared" si="213" ref="H386:M387">H387</f>
        <v>0</v>
      </c>
      <c r="I386" s="11">
        <f t="shared" si="213"/>
        <v>661.8</v>
      </c>
      <c r="J386" s="11">
        <f t="shared" si="213"/>
        <v>661.8</v>
      </c>
      <c r="K386" s="11">
        <f t="shared" si="213"/>
        <v>661.8</v>
      </c>
      <c r="L386" s="11">
        <f t="shared" si="213"/>
        <v>661.8</v>
      </c>
      <c r="M386" s="11">
        <f t="shared" si="213"/>
        <v>661.8</v>
      </c>
      <c r="N386" s="7">
        <f t="shared" si="187"/>
        <v>100</v>
      </c>
    </row>
    <row r="387" spans="1:14" ht="31.5">
      <c r="A387" s="31" t="s">
        <v>324</v>
      </c>
      <c r="B387" s="21" t="s">
        <v>871</v>
      </c>
      <c r="C387" s="42" t="s">
        <v>316</v>
      </c>
      <c r="D387" s="42" t="s">
        <v>267</v>
      </c>
      <c r="E387" s="42" t="s">
        <v>325</v>
      </c>
      <c r="F387" s="3"/>
      <c r="G387" s="11">
        <f>G388</f>
        <v>0</v>
      </c>
      <c r="H387" s="11">
        <f t="shared" si="213"/>
        <v>0</v>
      </c>
      <c r="I387" s="11">
        <f t="shared" si="213"/>
        <v>661.8</v>
      </c>
      <c r="J387" s="11">
        <f t="shared" si="213"/>
        <v>661.8</v>
      </c>
      <c r="K387" s="11">
        <f t="shared" si="213"/>
        <v>661.8</v>
      </c>
      <c r="L387" s="11">
        <f t="shared" si="213"/>
        <v>661.8</v>
      </c>
      <c r="M387" s="11">
        <f t="shared" si="213"/>
        <v>661.8</v>
      </c>
      <c r="N387" s="7">
        <f t="shared" si="187"/>
        <v>100</v>
      </c>
    </row>
    <row r="388" spans="1:14" ht="15.75">
      <c r="A388" s="256" t="s">
        <v>326</v>
      </c>
      <c r="B388" s="21" t="s">
        <v>871</v>
      </c>
      <c r="C388" s="42" t="s">
        <v>316</v>
      </c>
      <c r="D388" s="42" t="s">
        <v>267</v>
      </c>
      <c r="E388" s="42" t="s">
        <v>327</v>
      </c>
      <c r="F388" s="3"/>
      <c r="G388" s="11">
        <f>'Прил.№4 ведомств.'!G310</f>
        <v>0</v>
      </c>
      <c r="H388" s="11">
        <f>'Прил.№4 ведомств.'!I310</f>
        <v>0</v>
      </c>
      <c r="I388" s="11">
        <f>'Прил.№4 ведомств.'!J310</f>
        <v>661.8</v>
      </c>
      <c r="J388" s="11">
        <f>'Прил.№4 ведомств.'!K310</f>
        <v>661.8</v>
      </c>
      <c r="K388" s="11">
        <f>'Прил.№4 ведомств.'!L310</f>
        <v>661.8</v>
      </c>
      <c r="L388" s="11">
        <f>'Прил.№4 ведомств.'!M310</f>
        <v>661.8</v>
      </c>
      <c r="M388" s="11">
        <f>'Прил.№4 ведомств.'!N310</f>
        <v>661.8</v>
      </c>
      <c r="N388" s="7">
        <f t="shared" si="187"/>
        <v>100</v>
      </c>
    </row>
    <row r="389" spans="1:14" ht="47.25">
      <c r="A389" s="47" t="s">
        <v>313</v>
      </c>
      <c r="B389" s="42" t="s">
        <v>321</v>
      </c>
      <c r="C389" s="42" t="s">
        <v>316</v>
      </c>
      <c r="D389" s="42" t="s">
        <v>267</v>
      </c>
      <c r="E389" s="42"/>
      <c r="F389" s="2">
        <v>903</v>
      </c>
      <c r="G389" s="11">
        <f>G359</f>
        <v>16445.6</v>
      </c>
      <c r="H389" s="11">
        <f aca="true" t="shared" si="214" ref="H389:L389">H359</f>
        <v>11383.333333333334</v>
      </c>
      <c r="I389" s="11">
        <f t="shared" si="214"/>
        <v>21824</v>
      </c>
      <c r="J389" s="11">
        <f t="shared" si="214"/>
        <v>21497.6</v>
      </c>
      <c r="K389" s="11">
        <f t="shared" si="214"/>
        <v>21724.8</v>
      </c>
      <c r="L389" s="11">
        <f t="shared" si="214"/>
        <v>16723.8</v>
      </c>
      <c r="M389" s="11">
        <f aca="true" t="shared" si="215" ref="M389">M359</f>
        <v>8557.8</v>
      </c>
      <c r="N389" s="7">
        <f t="shared" si="187"/>
        <v>51.17138449395472</v>
      </c>
    </row>
    <row r="390" spans="1:14" ht="79.5" customHeight="1">
      <c r="A390" s="43" t="s">
        <v>353</v>
      </c>
      <c r="B390" s="8" t="s">
        <v>354</v>
      </c>
      <c r="C390" s="8"/>
      <c r="D390" s="8"/>
      <c r="E390" s="83"/>
      <c r="F390" s="3"/>
      <c r="G390" s="68">
        <f>G391</f>
        <v>25422.5</v>
      </c>
      <c r="H390" s="68">
        <f aca="true" t="shared" si="216" ref="H390:M391">H391</f>
        <v>25422.5</v>
      </c>
      <c r="I390" s="68">
        <f t="shared" si="216"/>
        <v>30257.6</v>
      </c>
      <c r="J390" s="68">
        <f t="shared" si="216"/>
        <v>31110.899999999998</v>
      </c>
      <c r="K390" s="68">
        <f t="shared" si="216"/>
        <v>31536.199999999997</v>
      </c>
      <c r="L390" s="68">
        <f t="shared" si="216"/>
        <v>24175.1</v>
      </c>
      <c r="M390" s="68">
        <f t="shared" si="216"/>
        <v>12193.1</v>
      </c>
      <c r="N390" s="4">
        <f t="shared" si="187"/>
        <v>50.436606260160254</v>
      </c>
    </row>
    <row r="391" spans="1:14" ht="15.75">
      <c r="A391" s="84" t="s">
        <v>350</v>
      </c>
      <c r="B391" s="42" t="s">
        <v>354</v>
      </c>
      <c r="C391" s="42" t="s">
        <v>351</v>
      </c>
      <c r="D391" s="84"/>
      <c r="E391" s="84"/>
      <c r="F391" s="2"/>
      <c r="G391" s="11">
        <f>G392</f>
        <v>25422.5</v>
      </c>
      <c r="H391" s="11">
        <f t="shared" si="216"/>
        <v>25422.5</v>
      </c>
      <c r="I391" s="11">
        <f t="shared" si="216"/>
        <v>30257.6</v>
      </c>
      <c r="J391" s="11">
        <f t="shared" si="216"/>
        <v>31110.899999999998</v>
      </c>
      <c r="K391" s="11">
        <f t="shared" si="216"/>
        <v>31536.199999999997</v>
      </c>
      <c r="L391" s="11">
        <f t="shared" si="216"/>
        <v>24175.1</v>
      </c>
      <c r="M391" s="11">
        <f t="shared" si="216"/>
        <v>12193.1</v>
      </c>
      <c r="N391" s="7">
        <f t="shared" si="187"/>
        <v>50.436606260160254</v>
      </c>
    </row>
    <row r="392" spans="1:14" ht="15.75">
      <c r="A392" s="84" t="s">
        <v>352</v>
      </c>
      <c r="B392" s="42" t="s">
        <v>354</v>
      </c>
      <c r="C392" s="42" t="s">
        <v>351</v>
      </c>
      <c r="D392" s="42" t="s">
        <v>170</v>
      </c>
      <c r="E392" s="84"/>
      <c r="F392" s="2"/>
      <c r="G392" s="11">
        <f>G393+G399+G402+G396+G405+G408+G411</f>
        <v>25422.5</v>
      </c>
      <c r="H392" s="11">
        <f aca="true" t="shared" si="217" ref="H392:L392">H393+H399+H402+H396+H405+H408+H411</f>
        <v>25422.5</v>
      </c>
      <c r="I392" s="11">
        <f t="shared" si="217"/>
        <v>30257.6</v>
      </c>
      <c r="J392" s="11">
        <f t="shared" si="217"/>
        <v>31110.899999999998</v>
      </c>
      <c r="K392" s="11">
        <f t="shared" si="217"/>
        <v>31536.199999999997</v>
      </c>
      <c r="L392" s="11">
        <f t="shared" si="217"/>
        <v>24175.1</v>
      </c>
      <c r="M392" s="11">
        <f aca="true" t="shared" si="218" ref="M392">M393+M399+M402+M396+M405+M408+M411</f>
        <v>12193.1</v>
      </c>
      <c r="N392" s="7">
        <f t="shared" si="187"/>
        <v>50.436606260160254</v>
      </c>
    </row>
    <row r="393" spans="1:14" ht="31.5">
      <c r="A393" s="31" t="s">
        <v>355</v>
      </c>
      <c r="B393" s="42" t="s">
        <v>356</v>
      </c>
      <c r="C393" s="42" t="s">
        <v>351</v>
      </c>
      <c r="D393" s="42" t="s">
        <v>170</v>
      </c>
      <c r="E393" s="84"/>
      <c r="F393" s="2"/>
      <c r="G393" s="11">
        <f>G394</f>
        <v>23654.800000000003</v>
      </c>
      <c r="H393" s="11">
        <f aca="true" t="shared" si="219" ref="H393:M394">H394</f>
        <v>23654.800000000003</v>
      </c>
      <c r="I393" s="11">
        <f t="shared" si="219"/>
        <v>26579.5</v>
      </c>
      <c r="J393" s="11">
        <f t="shared" si="219"/>
        <v>27182.8</v>
      </c>
      <c r="K393" s="11">
        <f t="shared" si="219"/>
        <v>27608.1</v>
      </c>
      <c r="L393" s="11">
        <f t="shared" si="219"/>
        <v>23276.9</v>
      </c>
      <c r="M393" s="11">
        <f t="shared" si="219"/>
        <v>11440</v>
      </c>
      <c r="N393" s="7">
        <f t="shared" si="187"/>
        <v>49.14743801794913</v>
      </c>
    </row>
    <row r="394" spans="1:14" ht="31.5">
      <c r="A394" s="31" t="s">
        <v>324</v>
      </c>
      <c r="B394" s="42" t="s">
        <v>356</v>
      </c>
      <c r="C394" s="42" t="s">
        <v>351</v>
      </c>
      <c r="D394" s="42" t="s">
        <v>170</v>
      </c>
      <c r="E394" s="42" t="s">
        <v>325</v>
      </c>
      <c r="F394" s="2"/>
      <c r="G394" s="11">
        <f>G395</f>
        <v>23654.800000000003</v>
      </c>
      <c r="H394" s="11">
        <f t="shared" si="219"/>
        <v>23654.800000000003</v>
      </c>
      <c r="I394" s="11">
        <f t="shared" si="219"/>
        <v>26579.5</v>
      </c>
      <c r="J394" s="11">
        <f t="shared" si="219"/>
        <v>27182.8</v>
      </c>
      <c r="K394" s="11">
        <f t="shared" si="219"/>
        <v>27608.1</v>
      </c>
      <c r="L394" s="11">
        <f t="shared" si="219"/>
        <v>23276.9</v>
      </c>
      <c r="M394" s="11">
        <f t="shared" si="219"/>
        <v>11440</v>
      </c>
      <c r="N394" s="7">
        <f t="shared" si="187"/>
        <v>49.14743801794913</v>
      </c>
    </row>
    <row r="395" spans="1:14" ht="15.75">
      <c r="A395" s="31" t="s">
        <v>326</v>
      </c>
      <c r="B395" s="42" t="s">
        <v>356</v>
      </c>
      <c r="C395" s="42" t="s">
        <v>351</v>
      </c>
      <c r="D395" s="42" t="s">
        <v>170</v>
      </c>
      <c r="E395" s="42" t="s">
        <v>327</v>
      </c>
      <c r="F395" s="2"/>
      <c r="G395" s="11">
        <f>'Прил.№4 ведомств.'!G334</f>
        <v>23654.800000000003</v>
      </c>
      <c r="H395" s="11">
        <f>'Прил.№4 ведомств.'!I334</f>
        <v>23654.800000000003</v>
      </c>
      <c r="I395" s="11">
        <f>'Прил.№4 ведомств.'!J334</f>
        <v>26579.5</v>
      </c>
      <c r="J395" s="11">
        <f>'Прил.№4 ведомств.'!K334</f>
        <v>27182.8</v>
      </c>
      <c r="K395" s="11">
        <f>'Прил.№4 ведомств.'!L334</f>
        <v>27608.1</v>
      </c>
      <c r="L395" s="11">
        <f>'Прил.№4 ведомств.'!M334</f>
        <v>23276.9</v>
      </c>
      <c r="M395" s="11">
        <f>'Прил.№4 ведомств.'!N334</f>
        <v>11440</v>
      </c>
      <c r="N395" s="7">
        <f t="shared" si="187"/>
        <v>49.14743801794913</v>
      </c>
    </row>
    <row r="396" spans="1:14" ht="47.25" hidden="1">
      <c r="A396" s="31" t="s">
        <v>328</v>
      </c>
      <c r="B396" s="42" t="s">
        <v>357</v>
      </c>
      <c r="C396" s="42" t="s">
        <v>351</v>
      </c>
      <c r="D396" s="42" t="s">
        <v>170</v>
      </c>
      <c r="E396" s="42"/>
      <c r="F396" s="2"/>
      <c r="G396" s="11">
        <f>G397</f>
        <v>96.1</v>
      </c>
      <c r="H396" s="11">
        <f aca="true" t="shared" si="220" ref="H396:M397">H397</f>
        <v>96.1</v>
      </c>
      <c r="I396" s="11">
        <f t="shared" si="220"/>
        <v>650</v>
      </c>
      <c r="J396" s="11">
        <f t="shared" si="220"/>
        <v>800</v>
      </c>
      <c r="K396" s="11">
        <f t="shared" si="220"/>
        <v>900</v>
      </c>
      <c r="L396" s="11">
        <f t="shared" si="220"/>
        <v>145.1</v>
      </c>
      <c r="M396" s="11">
        <f t="shared" si="220"/>
        <v>0</v>
      </c>
      <c r="N396" s="7">
        <f aca="true" t="shared" si="221" ref="N396:N459">M396/L396*100</f>
        <v>0</v>
      </c>
    </row>
    <row r="397" spans="1:14" ht="31.5" hidden="1">
      <c r="A397" s="31" t="s">
        <v>324</v>
      </c>
      <c r="B397" s="42" t="s">
        <v>357</v>
      </c>
      <c r="C397" s="42" t="s">
        <v>351</v>
      </c>
      <c r="D397" s="42" t="s">
        <v>170</v>
      </c>
      <c r="E397" s="42" t="s">
        <v>325</v>
      </c>
      <c r="F397" s="2"/>
      <c r="G397" s="11">
        <f>G398</f>
        <v>96.1</v>
      </c>
      <c r="H397" s="11">
        <f t="shared" si="220"/>
        <v>96.1</v>
      </c>
      <c r="I397" s="11">
        <f t="shared" si="220"/>
        <v>650</v>
      </c>
      <c r="J397" s="11">
        <f t="shared" si="220"/>
        <v>800</v>
      </c>
      <c r="K397" s="11">
        <f t="shared" si="220"/>
        <v>900</v>
      </c>
      <c r="L397" s="11">
        <f t="shared" si="220"/>
        <v>145.1</v>
      </c>
      <c r="M397" s="11">
        <f t="shared" si="220"/>
        <v>0</v>
      </c>
      <c r="N397" s="7">
        <f t="shared" si="221"/>
        <v>0</v>
      </c>
    </row>
    <row r="398" spans="1:14" ht="15.75" hidden="1">
      <c r="A398" s="31" t="s">
        <v>326</v>
      </c>
      <c r="B398" s="42" t="s">
        <v>357</v>
      </c>
      <c r="C398" s="42" t="s">
        <v>351</v>
      </c>
      <c r="D398" s="42" t="s">
        <v>170</v>
      </c>
      <c r="E398" s="42" t="s">
        <v>327</v>
      </c>
      <c r="F398" s="2"/>
      <c r="G398" s="11">
        <f>'Прил.№4 ведомств.'!G337</f>
        <v>96.1</v>
      </c>
      <c r="H398" s="11">
        <f>'Прил.№4 ведомств.'!I337</f>
        <v>96.1</v>
      </c>
      <c r="I398" s="11">
        <f>'Прил.№4 ведомств.'!J337</f>
        <v>650</v>
      </c>
      <c r="J398" s="11">
        <f>'Прил.№4 ведомств.'!K337</f>
        <v>800</v>
      </c>
      <c r="K398" s="11">
        <f>'Прил.№4 ведомств.'!L337</f>
        <v>900</v>
      </c>
      <c r="L398" s="11">
        <f>'Прил.№4 ведомств.'!M337</f>
        <v>145.1</v>
      </c>
      <c r="M398" s="11">
        <f>'Прил.№4 ведомств.'!N337</f>
        <v>0</v>
      </c>
      <c r="N398" s="7">
        <f t="shared" si="221"/>
        <v>0</v>
      </c>
    </row>
    <row r="399" spans="1:14" ht="31.5" hidden="1">
      <c r="A399" s="31" t="s">
        <v>680</v>
      </c>
      <c r="B399" s="42" t="s">
        <v>358</v>
      </c>
      <c r="C399" s="42" t="s">
        <v>351</v>
      </c>
      <c r="D399" s="42" t="s">
        <v>170</v>
      </c>
      <c r="E399" s="42"/>
      <c r="F399" s="2"/>
      <c r="G399" s="11">
        <f>G400</f>
        <v>142.1</v>
      </c>
      <c r="H399" s="11">
        <f aca="true" t="shared" si="222" ref="H399:M400">H400</f>
        <v>142.1</v>
      </c>
      <c r="I399" s="11">
        <f t="shared" si="222"/>
        <v>2000</v>
      </c>
      <c r="J399" s="11">
        <f t="shared" si="222"/>
        <v>1500</v>
      </c>
      <c r="K399" s="11">
        <f t="shared" si="222"/>
        <v>2000</v>
      </c>
      <c r="L399" s="11">
        <f t="shared" si="222"/>
        <v>0</v>
      </c>
      <c r="M399" s="11">
        <f t="shared" si="222"/>
        <v>0</v>
      </c>
      <c r="N399" s="7" t="e">
        <f t="shared" si="221"/>
        <v>#DIV/0!</v>
      </c>
    </row>
    <row r="400" spans="1:14" ht="71.25" customHeight="1" hidden="1">
      <c r="A400" s="31" t="s">
        <v>324</v>
      </c>
      <c r="B400" s="42" t="s">
        <v>358</v>
      </c>
      <c r="C400" s="42" t="s">
        <v>351</v>
      </c>
      <c r="D400" s="42" t="s">
        <v>170</v>
      </c>
      <c r="E400" s="42" t="s">
        <v>325</v>
      </c>
      <c r="F400" s="2"/>
      <c r="G400" s="11">
        <f>G401</f>
        <v>142.1</v>
      </c>
      <c r="H400" s="11">
        <f t="shared" si="222"/>
        <v>142.1</v>
      </c>
      <c r="I400" s="11">
        <f t="shared" si="222"/>
        <v>2000</v>
      </c>
      <c r="J400" s="11">
        <f t="shared" si="222"/>
        <v>1500</v>
      </c>
      <c r="K400" s="11">
        <f t="shared" si="222"/>
        <v>2000</v>
      </c>
      <c r="L400" s="11">
        <f t="shared" si="222"/>
        <v>0</v>
      </c>
      <c r="M400" s="11">
        <f t="shared" si="222"/>
        <v>0</v>
      </c>
      <c r="N400" s="7" t="e">
        <f t="shared" si="221"/>
        <v>#DIV/0!</v>
      </c>
    </row>
    <row r="401" spans="1:14" ht="15.75" hidden="1">
      <c r="A401" s="31" t="s">
        <v>326</v>
      </c>
      <c r="B401" s="42" t="s">
        <v>358</v>
      </c>
      <c r="C401" s="42" t="s">
        <v>351</v>
      </c>
      <c r="D401" s="42" t="s">
        <v>170</v>
      </c>
      <c r="E401" s="42" t="s">
        <v>327</v>
      </c>
      <c r="F401" s="2"/>
      <c r="G401" s="11">
        <f>'Прил.№4 ведомств.'!G340</f>
        <v>142.1</v>
      </c>
      <c r="H401" s="11">
        <f>'Прил.№4 ведомств.'!I340</f>
        <v>142.1</v>
      </c>
      <c r="I401" s="11">
        <f>'Прил.№4 ведомств.'!J340</f>
        <v>2000</v>
      </c>
      <c r="J401" s="11">
        <f>'Прил.№4 ведомств.'!K340</f>
        <v>1500</v>
      </c>
      <c r="K401" s="11">
        <f>'Прил.№4 ведомств.'!L340</f>
        <v>2000</v>
      </c>
      <c r="L401" s="11">
        <f>'Прил.№4 ведомств.'!M340</f>
        <v>0</v>
      </c>
      <c r="M401" s="11">
        <f>'Прил.№4 ведомств.'!N340</f>
        <v>0</v>
      </c>
      <c r="N401" s="7" t="e">
        <f t="shared" si="221"/>
        <v>#DIV/0!</v>
      </c>
    </row>
    <row r="402" spans="1:14" ht="15.75" hidden="1">
      <c r="A402" s="31" t="s">
        <v>359</v>
      </c>
      <c r="B402" s="42" t="s">
        <v>360</v>
      </c>
      <c r="C402" s="42" t="s">
        <v>351</v>
      </c>
      <c r="D402" s="42" t="s">
        <v>170</v>
      </c>
      <c r="E402" s="42"/>
      <c r="F402" s="2"/>
      <c r="G402" s="11">
        <f>G403</f>
        <v>1529.5</v>
      </c>
      <c r="H402" s="11">
        <f aca="true" t="shared" si="223" ref="H402:M403">H403</f>
        <v>1529.5</v>
      </c>
      <c r="I402" s="11">
        <f t="shared" si="223"/>
        <v>0</v>
      </c>
      <c r="J402" s="11">
        <f t="shared" si="223"/>
        <v>0</v>
      </c>
      <c r="K402" s="11">
        <f t="shared" si="223"/>
        <v>0</v>
      </c>
      <c r="L402" s="11">
        <f t="shared" si="223"/>
        <v>0</v>
      </c>
      <c r="M402" s="11">
        <f t="shared" si="223"/>
        <v>0</v>
      </c>
      <c r="N402" s="7" t="e">
        <f t="shared" si="221"/>
        <v>#DIV/0!</v>
      </c>
    </row>
    <row r="403" spans="1:14" ht="31.5" hidden="1">
      <c r="A403" s="31" t="s">
        <v>324</v>
      </c>
      <c r="B403" s="42" t="s">
        <v>360</v>
      </c>
      <c r="C403" s="42" t="s">
        <v>351</v>
      </c>
      <c r="D403" s="42" t="s">
        <v>170</v>
      </c>
      <c r="E403" s="42" t="s">
        <v>325</v>
      </c>
      <c r="F403" s="2"/>
      <c r="G403" s="11">
        <f>G404</f>
        <v>1529.5</v>
      </c>
      <c r="H403" s="11">
        <f t="shared" si="223"/>
        <v>1529.5</v>
      </c>
      <c r="I403" s="11">
        <f t="shared" si="223"/>
        <v>0</v>
      </c>
      <c r="J403" s="11">
        <f t="shared" si="223"/>
        <v>0</v>
      </c>
      <c r="K403" s="11">
        <f t="shared" si="223"/>
        <v>0</v>
      </c>
      <c r="L403" s="11">
        <f t="shared" si="223"/>
        <v>0</v>
      </c>
      <c r="M403" s="11">
        <f t="shared" si="223"/>
        <v>0</v>
      </c>
      <c r="N403" s="7" t="e">
        <f t="shared" si="221"/>
        <v>#DIV/0!</v>
      </c>
    </row>
    <row r="404" spans="1:14" ht="15.75" hidden="1">
      <c r="A404" s="31" t="s">
        <v>326</v>
      </c>
      <c r="B404" s="42" t="s">
        <v>360</v>
      </c>
      <c r="C404" s="42" t="s">
        <v>351</v>
      </c>
      <c r="D404" s="42" t="s">
        <v>170</v>
      </c>
      <c r="E404" s="42" t="s">
        <v>327</v>
      </c>
      <c r="F404" s="2"/>
      <c r="G404" s="11">
        <f>'Прил.№4 ведомств.'!G343</f>
        <v>1529.5</v>
      </c>
      <c r="H404" s="11">
        <f>'Прил.№4 ведомств.'!I343</f>
        <v>1529.5</v>
      </c>
      <c r="I404" s="11">
        <f>'Прил.№4 ведомств.'!J343</f>
        <v>0</v>
      </c>
      <c r="J404" s="11">
        <f>'Прил.№4 ведомств.'!K343</f>
        <v>0</v>
      </c>
      <c r="K404" s="11">
        <f>'Прил.№4 ведомств.'!L343</f>
        <v>0</v>
      </c>
      <c r="L404" s="11">
        <f>'Прил.№4 ведомств.'!M343</f>
        <v>0</v>
      </c>
      <c r="M404" s="11">
        <f>'Прил.№4 ведомств.'!N343</f>
        <v>0</v>
      </c>
      <c r="N404" s="7" t="e">
        <f t="shared" si="221"/>
        <v>#DIV/0!</v>
      </c>
    </row>
    <row r="405" spans="1:14" ht="31.5" hidden="1">
      <c r="A405" s="31" t="s">
        <v>336</v>
      </c>
      <c r="B405" s="42" t="s">
        <v>337</v>
      </c>
      <c r="C405" s="42" t="s">
        <v>351</v>
      </c>
      <c r="D405" s="42" t="s">
        <v>170</v>
      </c>
      <c r="E405" s="42"/>
      <c r="F405" s="2"/>
      <c r="G405" s="11">
        <f>G406</f>
        <v>0</v>
      </c>
      <c r="H405" s="11">
        <f aca="true" t="shared" si="224" ref="H405:M406">H406</f>
        <v>0</v>
      </c>
      <c r="I405" s="11">
        <f t="shared" si="224"/>
        <v>275</v>
      </c>
      <c r="J405" s="11">
        <f t="shared" si="224"/>
        <v>275</v>
      </c>
      <c r="K405" s="11">
        <f t="shared" si="224"/>
        <v>275</v>
      </c>
      <c r="L405" s="11">
        <f t="shared" si="224"/>
        <v>0</v>
      </c>
      <c r="M405" s="11">
        <f t="shared" si="224"/>
        <v>0</v>
      </c>
      <c r="N405" s="7" t="e">
        <f t="shared" si="221"/>
        <v>#DIV/0!</v>
      </c>
    </row>
    <row r="406" spans="1:14" ht="31.5" hidden="1">
      <c r="A406" s="31" t="s">
        <v>324</v>
      </c>
      <c r="B406" s="42" t="s">
        <v>337</v>
      </c>
      <c r="C406" s="42" t="s">
        <v>351</v>
      </c>
      <c r="D406" s="42" t="s">
        <v>170</v>
      </c>
      <c r="E406" s="42" t="s">
        <v>325</v>
      </c>
      <c r="F406" s="2"/>
      <c r="G406" s="11">
        <f>G407</f>
        <v>0</v>
      </c>
      <c r="H406" s="11">
        <f t="shared" si="224"/>
        <v>0</v>
      </c>
      <c r="I406" s="11">
        <f t="shared" si="224"/>
        <v>275</v>
      </c>
      <c r="J406" s="11">
        <f t="shared" si="224"/>
        <v>275</v>
      </c>
      <c r="K406" s="11">
        <f t="shared" si="224"/>
        <v>275</v>
      </c>
      <c r="L406" s="11">
        <f t="shared" si="224"/>
        <v>0</v>
      </c>
      <c r="M406" s="11">
        <f t="shared" si="224"/>
        <v>0</v>
      </c>
      <c r="N406" s="7" t="e">
        <f t="shared" si="221"/>
        <v>#DIV/0!</v>
      </c>
    </row>
    <row r="407" spans="1:14" ht="15.75" hidden="1">
      <c r="A407" s="31" t="s">
        <v>326</v>
      </c>
      <c r="B407" s="42" t="s">
        <v>337</v>
      </c>
      <c r="C407" s="42" t="s">
        <v>351</v>
      </c>
      <c r="D407" s="42" t="s">
        <v>170</v>
      </c>
      <c r="E407" s="42" t="s">
        <v>327</v>
      </c>
      <c r="F407" s="2"/>
      <c r="G407" s="11">
        <f>'Прил.№4 ведомств.'!G346</f>
        <v>0</v>
      </c>
      <c r="H407" s="11">
        <f>'Прил.№4 ведомств.'!I346</f>
        <v>0</v>
      </c>
      <c r="I407" s="11">
        <f>'Прил.№4 ведомств.'!J346</f>
        <v>275</v>
      </c>
      <c r="J407" s="11">
        <f>'Прил.№4 ведомств.'!K346</f>
        <v>275</v>
      </c>
      <c r="K407" s="11">
        <f>'Прил.№4 ведомств.'!L346</f>
        <v>275</v>
      </c>
      <c r="L407" s="11">
        <f>'Прил.№4 ведомств.'!M346</f>
        <v>0</v>
      </c>
      <c r="M407" s="11">
        <f>'Прил.№4 ведомств.'!N346</f>
        <v>0</v>
      </c>
      <c r="N407" s="7" t="e">
        <f t="shared" si="221"/>
        <v>#DIV/0!</v>
      </c>
    </row>
    <row r="408" spans="1:14" ht="31.5" hidden="1">
      <c r="A408" s="37" t="s">
        <v>339</v>
      </c>
      <c r="B408" s="21" t="s">
        <v>361</v>
      </c>
      <c r="C408" s="42" t="s">
        <v>351</v>
      </c>
      <c r="D408" s="42" t="s">
        <v>170</v>
      </c>
      <c r="E408" s="42"/>
      <c r="F408" s="2"/>
      <c r="G408" s="11">
        <f>G409</f>
        <v>0</v>
      </c>
      <c r="H408" s="11">
        <f aca="true" t="shared" si="225" ref="H408:M409">H409</f>
        <v>0</v>
      </c>
      <c r="I408" s="11">
        <f t="shared" si="225"/>
        <v>0</v>
      </c>
      <c r="J408" s="11">
        <f t="shared" si="225"/>
        <v>600</v>
      </c>
      <c r="K408" s="11">
        <f t="shared" si="225"/>
        <v>0</v>
      </c>
      <c r="L408" s="11">
        <f t="shared" si="225"/>
        <v>0</v>
      </c>
      <c r="M408" s="11">
        <f t="shared" si="225"/>
        <v>0</v>
      </c>
      <c r="N408" s="7" t="e">
        <f t="shared" si="221"/>
        <v>#DIV/0!</v>
      </c>
    </row>
    <row r="409" spans="1:14" ht="31.5" hidden="1">
      <c r="A409" s="26" t="s">
        <v>324</v>
      </c>
      <c r="B409" s="21" t="s">
        <v>361</v>
      </c>
      <c r="C409" s="42" t="s">
        <v>351</v>
      </c>
      <c r="D409" s="42" t="s">
        <v>170</v>
      </c>
      <c r="E409" s="42" t="s">
        <v>325</v>
      </c>
      <c r="F409" s="2"/>
      <c r="G409" s="11">
        <f>G410</f>
        <v>0</v>
      </c>
      <c r="H409" s="11">
        <f t="shared" si="225"/>
        <v>0</v>
      </c>
      <c r="I409" s="11">
        <f t="shared" si="225"/>
        <v>0</v>
      </c>
      <c r="J409" s="11">
        <f t="shared" si="225"/>
        <v>600</v>
      </c>
      <c r="K409" s="11">
        <f t="shared" si="225"/>
        <v>0</v>
      </c>
      <c r="L409" s="11">
        <f t="shared" si="225"/>
        <v>0</v>
      </c>
      <c r="M409" s="11">
        <f t="shared" si="225"/>
        <v>0</v>
      </c>
      <c r="N409" s="7" t="e">
        <f t="shared" si="221"/>
        <v>#DIV/0!</v>
      </c>
    </row>
    <row r="410" spans="1:14" ht="15.75" hidden="1">
      <c r="A410" s="26" t="s">
        <v>326</v>
      </c>
      <c r="B410" s="21" t="s">
        <v>361</v>
      </c>
      <c r="C410" s="42" t="s">
        <v>351</v>
      </c>
      <c r="D410" s="42" t="s">
        <v>170</v>
      </c>
      <c r="E410" s="42" t="s">
        <v>327</v>
      </c>
      <c r="F410" s="2"/>
      <c r="G410" s="11">
        <f>'Прил.№4 ведомств.'!G349</f>
        <v>0</v>
      </c>
      <c r="H410" s="11">
        <f>'Прил.№4 ведомств.'!I349</f>
        <v>0</v>
      </c>
      <c r="I410" s="11">
        <f>'Прил.№4 ведомств.'!J349</f>
        <v>0</v>
      </c>
      <c r="J410" s="11">
        <f>'Прил.№4 ведомств.'!K349</f>
        <v>600</v>
      </c>
      <c r="K410" s="11">
        <f>'Прил.№4 ведомств.'!L349</f>
        <v>0</v>
      </c>
      <c r="L410" s="11">
        <f>'Прил.№4 ведомств.'!M349</f>
        <v>0</v>
      </c>
      <c r="M410" s="11">
        <f>'Прил.№4 ведомств.'!N349</f>
        <v>0</v>
      </c>
      <c r="N410" s="7" t="e">
        <f t="shared" si="221"/>
        <v>#DIV/0!</v>
      </c>
    </row>
    <row r="411" spans="1:14" ht="31.5">
      <c r="A411" s="70" t="s">
        <v>865</v>
      </c>
      <c r="B411" s="21" t="s">
        <v>870</v>
      </c>
      <c r="C411" s="42" t="s">
        <v>351</v>
      </c>
      <c r="D411" s="42" t="s">
        <v>170</v>
      </c>
      <c r="E411" s="42"/>
      <c r="F411" s="2"/>
      <c r="G411" s="11">
        <f>G412</f>
        <v>0</v>
      </c>
      <c r="H411" s="11">
        <f aca="true" t="shared" si="226" ref="H411:M412">H412</f>
        <v>0</v>
      </c>
      <c r="I411" s="11">
        <f t="shared" si="226"/>
        <v>753.1</v>
      </c>
      <c r="J411" s="11">
        <f t="shared" si="226"/>
        <v>753.1</v>
      </c>
      <c r="K411" s="11">
        <f t="shared" si="226"/>
        <v>753.1</v>
      </c>
      <c r="L411" s="11">
        <f t="shared" si="226"/>
        <v>753.1</v>
      </c>
      <c r="M411" s="11">
        <f t="shared" si="226"/>
        <v>753.1</v>
      </c>
      <c r="N411" s="7">
        <f t="shared" si="221"/>
        <v>100</v>
      </c>
    </row>
    <row r="412" spans="1:14" ht="31.5">
      <c r="A412" s="31" t="s">
        <v>324</v>
      </c>
      <c r="B412" s="21" t="s">
        <v>870</v>
      </c>
      <c r="C412" s="42" t="s">
        <v>351</v>
      </c>
      <c r="D412" s="42" t="s">
        <v>170</v>
      </c>
      <c r="E412" s="42" t="s">
        <v>325</v>
      </c>
      <c r="F412" s="2"/>
      <c r="G412" s="11">
        <f>G413</f>
        <v>0</v>
      </c>
      <c r="H412" s="11">
        <f t="shared" si="226"/>
        <v>0</v>
      </c>
      <c r="I412" s="11">
        <f t="shared" si="226"/>
        <v>753.1</v>
      </c>
      <c r="J412" s="11">
        <f t="shared" si="226"/>
        <v>753.1</v>
      </c>
      <c r="K412" s="11">
        <f t="shared" si="226"/>
        <v>753.1</v>
      </c>
      <c r="L412" s="11">
        <f t="shared" si="226"/>
        <v>753.1</v>
      </c>
      <c r="M412" s="11">
        <f t="shared" si="226"/>
        <v>753.1</v>
      </c>
      <c r="N412" s="7">
        <f t="shared" si="221"/>
        <v>100</v>
      </c>
    </row>
    <row r="413" spans="1:14" ht="15.75">
      <c r="A413" s="256" t="s">
        <v>326</v>
      </c>
      <c r="B413" s="21" t="s">
        <v>870</v>
      </c>
      <c r="C413" s="42" t="s">
        <v>351</v>
      </c>
      <c r="D413" s="42" t="s">
        <v>170</v>
      </c>
      <c r="E413" s="42" t="s">
        <v>327</v>
      </c>
      <c r="F413" s="2"/>
      <c r="G413" s="11">
        <f>'Прил.№4 ведомств.'!G352</f>
        <v>0</v>
      </c>
      <c r="H413" s="11">
        <f>'Прил.№4 ведомств.'!I352</f>
        <v>0</v>
      </c>
      <c r="I413" s="11">
        <f>'Прил.№4 ведомств.'!J352</f>
        <v>753.1</v>
      </c>
      <c r="J413" s="11">
        <f>'Прил.№4 ведомств.'!K352</f>
        <v>753.1</v>
      </c>
      <c r="K413" s="11">
        <f>'Прил.№4 ведомств.'!L352</f>
        <v>753.1</v>
      </c>
      <c r="L413" s="11">
        <f>'Прил.№4 ведомств.'!M352</f>
        <v>753.1</v>
      </c>
      <c r="M413" s="11">
        <f>'Прил.№4 ведомств.'!N352</f>
        <v>753.1</v>
      </c>
      <c r="N413" s="7">
        <f t="shared" si="221"/>
        <v>100</v>
      </c>
    </row>
    <row r="414" spans="1:14" ht="47.25">
      <c r="A414" s="47" t="s">
        <v>313</v>
      </c>
      <c r="B414" s="42" t="s">
        <v>354</v>
      </c>
      <c r="C414" s="42" t="s">
        <v>351</v>
      </c>
      <c r="D414" s="42" t="s">
        <v>170</v>
      </c>
      <c r="E414" s="42"/>
      <c r="F414" s="2">
        <v>903</v>
      </c>
      <c r="G414" s="11">
        <f>G390</f>
        <v>25422.5</v>
      </c>
      <c r="H414" s="11">
        <f aca="true" t="shared" si="227" ref="H414:L414">H390</f>
        <v>25422.5</v>
      </c>
      <c r="I414" s="11">
        <f t="shared" si="227"/>
        <v>30257.6</v>
      </c>
      <c r="J414" s="11">
        <f t="shared" si="227"/>
        <v>31110.899999999998</v>
      </c>
      <c r="K414" s="11">
        <f t="shared" si="227"/>
        <v>31536.199999999997</v>
      </c>
      <c r="L414" s="11">
        <f t="shared" si="227"/>
        <v>24175.1</v>
      </c>
      <c r="M414" s="11">
        <f aca="true" t="shared" si="228" ref="M414">M390</f>
        <v>12193.1</v>
      </c>
      <c r="N414" s="7">
        <f t="shared" si="221"/>
        <v>50.436606260160254</v>
      </c>
    </row>
    <row r="415" spans="1:14" ht="31.5">
      <c r="A415" s="43" t="s">
        <v>364</v>
      </c>
      <c r="B415" s="8" t="s">
        <v>365</v>
      </c>
      <c r="C415" s="8"/>
      <c r="D415" s="8"/>
      <c r="E415" s="8"/>
      <c r="F415" s="86"/>
      <c r="G415" s="68">
        <f>G416</f>
        <v>16660.600000000002</v>
      </c>
      <c r="H415" s="68">
        <f aca="true" t="shared" si="229" ref="H415:M416">H416</f>
        <v>16660.600000000002</v>
      </c>
      <c r="I415" s="68">
        <f t="shared" si="229"/>
        <v>20069.2</v>
      </c>
      <c r="J415" s="68">
        <f t="shared" si="229"/>
        <v>20340.2</v>
      </c>
      <c r="K415" s="68">
        <f t="shared" si="229"/>
        <v>20562.600000000002</v>
      </c>
      <c r="L415" s="68">
        <f t="shared" si="229"/>
        <v>17026.3</v>
      </c>
      <c r="M415" s="68">
        <f t="shared" si="229"/>
        <v>8514.4</v>
      </c>
      <c r="N415" s="4">
        <f t="shared" si="221"/>
        <v>50.007341583315224</v>
      </c>
    </row>
    <row r="416" spans="1:14" ht="15.75">
      <c r="A416" s="84" t="s">
        <v>350</v>
      </c>
      <c r="B416" s="42" t="s">
        <v>365</v>
      </c>
      <c r="C416" s="42" t="s">
        <v>351</v>
      </c>
      <c r="D416" s="42"/>
      <c r="E416" s="8"/>
      <c r="F416" s="86"/>
      <c r="G416" s="11">
        <f>G417</f>
        <v>16660.600000000002</v>
      </c>
      <c r="H416" s="11">
        <f t="shared" si="229"/>
        <v>16660.600000000002</v>
      </c>
      <c r="I416" s="11">
        <f t="shared" si="229"/>
        <v>20069.2</v>
      </c>
      <c r="J416" s="11">
        <f t="shared" si="229"/>
        <v>20340.2</v>
      </c>
      <c r="K416" s="11">
        <f t="shared" si="229"/>
        <v>20562.600000000002</v>
      </c>
      <c r="L416" s="11">
        <f t="shared" si="229"/>
        <v>17026.3</v>
      </c>
      <c r="M416" s="11">
        <f t="shared" si="229"/>
        <v>8514.4</v>
      </c>
      <c r="N416" s="7">
        <f t="shared" si="221"/>
        <v>50.007341583315224</v>
      </c>
    </row>
    <row r="417" spans="1:14" ht="15.75">
      <c r="A417" s="84" t="s">
        <v>352</v>
      </c>
      <c r="B417" s="42" t="s">
        <v>365</v>
      </c>
      <c r="C417" s="42" t="s">
        <v>351</v>
      </c>
      <c r="D417" s="42" t="s">
        <v>170</v>
      </c>
      <c r="E417" s="8"/>
      <c r="F417" s="86"/>
      <c r="G417" s="11">
        <f>G418+G437+G442+G421+G445+G448</f>
        <v>16660.600000000002</v>
      </c>
      <c r="H417" s="11">
        <f aca="true" t="shared" si="230" ref="H417:L417">H418+H437+H442+H421+H445+H448</f>
        <v>16660.600000000002</v>
      </c>
      <c r="I417" s="11">
        <f t="shared" si="230"/>
        <v>20069.2</v>
      </c>
      <c r="J417" s="11">
        <f t="shared" si="230"/>
        <v>20340.2</v>
      </c>
      <c r="K417" s="11">
        <f t="shared" si="230"/>
        <v>20562.600000000002</v>
      </c>
      <c r="L417" s="11">
        <f t="shared" si="230"/>
        <v>17026.3</v>
      </c>
      <c r="M417" s="11">
        <f aca="true" t="shared" si="231" ref="M417">M418+M437+M442+M421+M445+M448</f>
        <v>8514.4</v>
      </c>
      <c r="N417" s="7">
        <f t="shared" si="221"/>
        <v>50.007341583315224</v>
      </c>
    </row>
    <row r="418" spans="1:14" ht="31.5">
      <c r="A418" s="31" t="s">
        <v>355</v>
      </c>
      <c r="B418" s="42" t="s">
        <v>366</v>
      </c>
      <c r="C418" s="42" t="s">
        <v>351</v>
      </c>
      <c r="D418" s="42" t="s">
        <v>170</v>
      </c>
      <c r="E418" s="42"/>
      <c r="F418" s="85"/>
      <c r="G418" s="11">
        <f>G419</f>
        <v>16655.2</v>
      </c>
      <c r="H418" s="11">
        <f aca="true" t="shared" si="232" ref="H418:M419">H419</f>
        <v>16655.2</v>
      </c>
      <c r="I418" s="11">
        <f t="shared" si="232"/>
        <v>19144</v>
      </c>
      <c r="J418" s="11">
        <f t="shared" si="232"/>
        <v>19415</v>
      </c>
      <c r="K418" s="11">
        <f t="shared" si="232"/>
        <v>19637.4</v>
      </c>
      <c r="L418" s="11">
        <f t="shared" si="232"/>
        <v>16370.599999999999</v>
      </c>
      <c r="M418" s="11">
        <f t="shared" si="232"/>
        <v>7864.2</v>
      </c>
      <c r="N418" s="7">
        <f t="shared" si="221"/>
        <v>48.0385569252196</v>
      </c>
    </row>
    <row r="419" spans="1:14" ht="31.5">
      <c r="A419" s="31" t="s">
        <v>324</v>
      </c>
      <c r="B419" s="42" t="s">
        <v>366</v>
      </c>
      <c r="C419" s="42" t="s">
        <v>351</v>
      </c>
      <c r="D419" s="42" t="s">
        <v>170</v>
      </c>
      <c r="E419" s="42" t="s">
        <v>325</v>
      </c>
      <c r="F419" s="85"/>
      <c r="G419" s="11">
        <f>G420</f>
        <v>16655.2</v>
      </c>
      <c r="H419" s="11">
        <f t="shared" si="232"/>
        <v>16655.2</v>
      </c>
      <c r="I419" s="11">
        <f t="shared" si="232"/>
        <v>19144</v>
      </c>
      <c r="J419" s="11">
        <f t="shared" si="232"/>
        <v>19415</v>
      </c>
      <c r="K419" s="11">
        <f t="shared" si="232"/>
        <v>19637.4</v>
      </c>
      <c r="L419" s="11">
        <f t="shared" si="232"/>
        <v>16370.599999999999</v>
      </c>
      <c r="M419" s="11">
        <f t="shared" si="232"/>
        <v>7864.2</v>
      </c>
      <c r="N419" s="7">
        <f t="shared" si="221"/>
        <v>48.0385569252196</v>
      </c>
    </row>
    <row r="420" spans="1:14" ht="15.75">
      <c r="A420" s="31" t="s">
        <v>326</v>
      </c>
      <c r="B420" s="42" t="s">
        <v>366</v>
      </c>
      <c r="C420" s="42" t="s">
        <v>351</v>
      </c>
      <c r="D420" s="42" t="s">
        <v>170</v>
      </c>
      <c r="E420" s="42" t="s">
        <v>327</v>
      </c>
      <c r="F420" s="85"/>
      <c r="G420" s="7">
        <f>'Прил.№4 ведомств.'!G363</f>
        <v>16655.2</v>
      </c>
      <c r="H420" s="7">
        <f>'Прил.№4 ведомств.'!I363</f>
        <v>16655.2</v>
      </c>
      <c r="I420" s="7">
        <f>'Прил.№4 ведомств.'!J363</f>
        <v>19144</v>
      </c>
      <c r="J420" s="7">
        <f>'Прил.№4 ведомств.'!K363</f>
        <v>19415</v>
      </c>
      <c r="K420" s="7">
        <f>'Прил.№4 ведомств.'!L363</f>
        <v>19637.4</v>
      </c>
      <c r="L420" s="7">
        <f>'Прил.№4 ведомств.'!M363</f>
        <v>16370.599999999999</v>
      </c>
      <c r="M420" s="7">
        <f>'Прил.№4 ведомств.'!N363</f>
        <v>7864.2</v>
      </c>
      <c r="N420" s="7">
        <f t="shared" si="221"/>
        <v>48.0385569252196</v>
      </c>
    </row>
    <row r="421" spans="1:14" ht="47.25" hidden="1">
      <c r="A421" s="31" t="s">
        <v>328</v>
      </c>
      <c r="B421" s="42" t="s">
        <v>369</v>
      </c>
      <c r="C421" s="42" t="s">
        <v>351</v>
      </c>
      <c r="D421" s="42" t="s">
        <v>170</v>
      </c>
      <c r="E421" s="42"/>
      <c r="F421" s="85"/>
      <c r="G421" s="11">
        <f>G422</f>
        <v>0</v>
      </c>
      <c r="H421" s="11">
        <f aca="true" t="shared" si="233" ref="H421:M422">H422</f>
        <v>0</v>
      </c>
      <c r="I421" s="11">
        <f t="shared" si="233"/>
        <v>0</v>
      </c>
      <c r="J421" s="11">
        <f t="shared" si="233"/>
        <v>0</v>
      </c>
      <c r="K421" s="11">
        <f t="shared" si="233"/>
        <v>0</v>
      </c>
      <c r="L421" s="11">
        <f t="shared" si="233"/>
        <v>0</v>
      </c>
      <c r="M421" s="11">
        <f t="shared" si="233"/>
        <v>0</v>
      </c>
      <c r="N421" s="7" t="e">
        <f t="shared" si="221"/>
        <v>#DIV/0!</v>
      </c>
    </row>
    <row r="422" spans="1:14" ht="31.5" hidden="1">
      <c r="A422" s="31" t="s">
        <v>324</v>
      </c>
      <c r="B422" s="42" t="s">
        <v>369</v>
      </c>
      <c r="C422" s="42" t="s">
        <v>351</v>
      </c>
      <c r="D422" s="42" t="s">
        <v>170</v>
      </c>
      <c r="E422" s="42" t="s">
        <v>325</v>
      </c>
      <c r="F422" s="85"/>
      <c r="G422" s="11">
        <f>G423</f>
        <v>0</v>
      </c>
      <c r="H422" s="11">
        <f t="shared" si="233"/>
        <v>0</v>
      </c>
      <c r="I422" s="11">
        <f t="shared" si="233"/>
        <v>0</v>
      </c>
      <c r="J422" s="11">
        <f t="shared" si="233"/>
        <v>0</v>
      </c>
      <c r="K422" s="11">
        <f t="shared" si="233"/>
        <v>0</v>
      </c>
      <c r="L422" s="11">
        <f t="shared" si="233"/>
        <v>0</v>
      </c>
      <c r="M422" s="11">
        <f t="shared" si="233"/>
        <v>0</v>
      </c>
      <c r="N422" s="7" t="e">
        <f t="shared" si="221"/>
        <v>#DIV/0!</v>
      </c>
    </row>
    <row r="423" spans="1:14" ht="15.75" hidden="1">
      <c r="A423" s="31" t="s">
        <v>326</v>
      </c>
      <c r="B423" s="42" t="s">
        <v>369</v>
      </c>
      <c r="C423" s="42" t="s">
        <v>351</v>
      </c>
      <c r="D423" s="42" t="s">
        <v>170</v>
      </c>
      <c r="E423" s="42" t="s">
        <v>327</v>
      </c>
      <c r="F423" s="85"/>
      <c r="G423" s="11"/>
      <c r="H423" s="11"/>
      <c r="I423" s="11"/>
      <c r="J423" s="11"/>
      <c r="K423" s="11"/>
      <c r="L423" s="11"/>
      <c r="M423" s="11"/>
      <c r="N423" s="7" t="e">
        <f t="shared" si="221"/>
        <v>#DIV/0!</v>
      </c>
    </row>
    <row r="424" spans="1:14" ht="47.25" hidden="1">
      <c r="A424" s="47" t="s">
        <v>313</v>
      </c>
      <c r="B424" s="42" t="s">
        <v>730</v>
      </c>
      <c r="C424" s="42" t="s">
        <v>351</v>
      </c>
      <c r="D424" s="42" t="s">
        <v>170</v>
      </c>
      <c r="E424" s="42"/>
      <c r="F424" s="2">
        <v>903</v>
      </c>
      <c r="G424" s="11">
        <f>G421</f>
        <v>0</v>
      </c>
      <c r="H424" s="11">
        <f aca="true" t="shared" si="234" ref="H424:L424">H421</f>
        <v>0</v>
      </c>
      <c r="I424" s="11">
        <f t="shared" si="234"/>
        <v>0</v>
      </c>
      <c r="J424" s="11">
        <f t="shared" si="234"/>
        <v>0</v>
      </c>
      <c r="K424" s="11">
        <f t="shared" si="234"/>
        <v>0</v>
      </c>
      <c r="L424" s="11">
        <f t="shared" si="234"/>
        <v>0</v>
      </c>
      <c r="M424" s="11">
        <f aca="true" t="shared" si="235" ref="M424">M421</f>
        <v>0</v>
      </c>
      <c r="N424" s="7" t="e">
        <f t="shared" si="221"/>
        <v>#DIV/0!</v>
      </c>
    </row>
    <row r="425" spans="1:14" ht="31.5" hidden="1">
      <c r="A425" s="26" t="s">
        <v>330</v>
      </c>
      <c r="B425" s="42" t="s">
        <v>370</v>
      </c>
      <c r="C425" s="42" t="s">
        <v>351</v>
      </c>
      <c r="D425" s="42" t="s">
        <v>170</v>
      </c>
      <c r="E425" s="42"/>
      <c r="F425" s="85"/>
      <c r="G425" s="11">
        <f>G426</f>
        <v>0</v>
      </c>
      <c r="H425" s="11">
        <f aca="true" t="shared" si="236" ref="H425:M426">H426</f>
        <v>0</v>
      </c>
      <c r="I425" s="11">
        <f t="shared" si="236"/>
        <v>0</v>
      </c>
      <c r="J425" s="11">
        <f t="shared" si="236"/>
        <v>0</v>
      </c>
      <c r="K425" s="11">
        <f t="shared" si="236"/>
        <v>0</v>
      </c>
      <c r="L425" s="11">
        <f t="shared" si="236"/>
        <v>0</v>
      </c>
      <c r="M425" s="11">
        <f t="shared" si="236"/>
        <v>0</v>
      </c>
      <c r="N425" s="7" t="e">
        <f t="shared" si="221"/>
        <v>#DIV/0!</v>
      </c>
    </row>
    <row r="426" spans="1:14" ht="31.5" hidden="1">
      <c r="A426" s="31" t="s">
        <v>324</v>
      </c>
      <c r="B426" s="42" t="s">
        <v>370</v>
      </c>
      <c r="C426" s="42" t="s">
        <v>351</v>
      </c>
      <c r="D426" s="42" t="s">
        <v>170</v>
      </c>
      <c r="E426" s="42" t="s">
        <v>325</v>
      </c>
      <c r="F426" s="85"/>
      <c r="G426" s="11">
        <f>G427</f>
        <v>0</v>
      </c>
      <c r="H426" s="11">
        <f t="shared" si="236"/>
        <v>0</v>
      </c>
      <c r="I426" s="11">
        <f t="shared" si="236"/>
        <v>0</v>
      </c>
      <c r="J426" s="11">
        <f t="shared" si="236"/>
        <v>0</v>
      </c>
      <c r="K426" s="11">
        <f t="shared" si="236"/>
        <v>0</v>
      </c>
      <c r="L426" s="11">
        <f t="shared" si="236"/>
        <v>0</v>
      </c>
      <c r="M426" s="11">
        <f t="shared" si="236"/>
        <v>0</v>
      </c>
      <c r="N426" s="7" t="e">
        <f t="shared" si="221"/>
        <v>#DIV/0!</v>
      </c>
    </row>
    <row r="427" spans="1:14" ht="35.25" customHeight="1" hidden="1">
      <c r="A427" s="31" t="s">
        <v>326</v>
      </c>
      <c r="B427" s="42" t="s">
        <v>370</v>
      </c>
      <c r="C427" s="42" t="s">
        <v>351</v>
      </c>
      <c r="D427" s="42" t="s">
        <v>170</v>
      </c>
      <c r="E427" s="42" t="s">
        <v>327</v>
      </c>
      <c r="F427" s="85"/>
      <c r="G427" s="11"/>
      <c r="H427" s="11"/>
      <c r="I427" s="11"/>
      <c r="J427" s="11"/>
      <c r="K427" s="11"/>
      <c r="L427" s="11"/>
      <c r="M427" s="11"/>
      <c r="N427" s="7" t="e">
        <f t="shared" si="221"/>
        <v>#DIV/0!</v>
      </c>
    </row>
    <row r="428" spans="1:14" ht="47.25" hidden="1">
      <c r="A428" s="47" t="s">
        <v>313</v>
      </c>
      <c r="B428" s="42" t="s">
        <v>370</v>
      </c>
      <c r="C428" s="42" t="s">
        <v>351</v>
      </c>
      <c r="D428" s="42" t="s">
        <v>170</v>
      </c>
      <c r="E428" s="42"/>
      <c r="F428" s="2">
        <v>903</v>
      </c>
      <c r="G428" s="11">
        <f>G425</f>
        <v>0</v>
      </c>
      <c r="H428" s="11">
        <f aca="true" t="shared" si="237" ref="H428:L428">H425</f>
        <v>0</v>
      </c>
      <c r="I428" s="11">
        <f t="shared" si="237"/>
        <v>0</v>
      </c>
      <c r="J428" s="11">
        <f t="shared" si="237"/>
        <v>0</v>
      </c>
      <c r="K428" s="11">
        <f t="shared" si="237"/>
        <v>0</v>
      </c>
      <c r="L428" s="11">
        <f t="shared" si="237"/>
        <v>0</v>
      </c>
      <c r="M428" s="11">
        <f aca="true" t="shared" si="238" ref="M428">M425</f>
        <v>0</v>
      </c>
      <c r="N428" s="7" t="e">
        <f t="shared" si="221"/>
        <v>#DIV/0!</v>
      </c>
    </row>
    <row r="429" spans="1:14" ht="15.75" hidden="1">
      <c r="A429" s="31" t="s">
        <v>731</v>
      </c>
      <c r="B429" s="42" t="s">
        <v>371</v>
      </c>
      <c r="C429" s="42" t="s">
        <v>351</v>
      </c>
      <c r="D429" s="42" t="s">
        <v>170</v>
      </c>
      <c r="E429" s="42"/>
      <c r="F429" s="85"/>
      <c r="G429" s="11">
        <f>G430</f>
        <v>0</v>
      </c>
      <c r="H429" s="11">
        <f aca="true" t="shared" si="239" ref="H429:M430">H430</f>
        <v>0</v>
      </c>
      <c r="I429" s="11">
        <f t="shared" si="239"/>
        <v>0</v>
      </c>
      <c r="J429" s="11">
        <f t="shared" si="239"/>
        <v>0</v>
      </c>
      <c r="K429" s="11">
        <f t="shared" si="239"/>
        <v>0</v>
      </c>
      <c r="L429" s="11">
        <f t="shared" si="239"/>
        <v>0</v>
      </c>
      <c r="M429" s="11">
        <f t="shared" si="239"/>
        <v>0</v>
      </c>
      <c r="N429" s="7" t="e">
        <f t="shared" si="221"/>
        <v>#DIV/0!</v>
      </c>
    </row>
    <row r="430" spans="1:14" ht="31.5" hidden="1">
      <c r="A430" s="31" t="s">
        <v>324</v>
      </c>
      <c r="B430" s="42" t="s">
        <v>371</v>
      </c>
      <c r="C430" s="42" t="s">
        <v>351</v>
      </c>
      <c r="D430" s="42" t="s">
        <v>170</v>
      </c>
      <c r="E430" s="42" t="s">
        <v>325</v>
      </c>
      <c r="F430" s="85"/>
      <c r="G430" s="11">
        <f>G431</f>
        <v>0</v>
      </c>
      <c r="H430" s="11">
        <f t="shared" si="239"/>
        <v>0</v>
      </c>
      <c r="I430" s="11">
        <f t="shared" si="239"/>
        <v>0</v>
      </c>
      <c r="J430" s="11">
        <f t="shared" si="239"/>
        <v>0</v>
      </c>
      <c r="K430" s="11">
        <f t="shared" si="239"/>
        <v>0</v>
      </c>
      <c r="L430" s="11">
        <f t="shared" si="239"/>
        <v>0</v>
      </c>
      <c r="M430" s="11">
        <f t="shared" si="239"/>
        <v>0</v>
      </c>
      <c r="N430" s="7" t="e">
        <f t="shared" si="221"/>
        <v>#DIV/0!</v>
      </c>
    </row>
    <row r="431" spans="1:14" ht="15.75" hidden="1">
      <c r="A431" s="31" t="s">
        <v>326</v>
      </c>
      <c r="B431" s="42" t="s">
        <v>371</v>
      </c>
      <c r="C431" s="42" t="s">
        <v>351</v>
      </c>
      <c r="D431" s="42" t="s">
        <v>170</v>
      </c>
      <c r="E431" s="42" t="s">
        <v>327</v>
      </c>
      <c r="F431" s="85"/>
      <c r="G431" s="11"/>
      <c r="H431" s="11"/>
      <c r="I431" s="11"/>
      <c r="J431" s="11"/>
      <c r="K431" s="11"/>
      <c r="L431" s="11"/>
      <c r="M431" s="11"/>
      <c r="N431" s="7" t="e">
        <f t="shared" si="221"/>
        <v>#DIV/0!</v>
      </c>
    </row>
    <row r="432" spans="1:14" ht="47.25" hidden="1">
      <c r="A432" s="47" t="s">
        <v>313</v>
      </c>
      <c r="B432" s="42" t="s">
        <v>371</v>
      </c>
      <c r="C432" s="42" t="s">
        <v>351</v>
      </c>
      <c r="D432" s="42" t="s">
        <v>170</v>
      </c>
      <c r="E432" s="42"/>
      <c r="F432" s="2">
        <v>903</v>
      </c>
      <c r="G432" s="11">
        <f>G429</f>
        <v>0</v>
      </c>
      <c r="H432" s="11">
        <f aca="true" t="shared" si="240" ref="H432:L432">H429</f>
        <v>0</v>
      </c>
      <c r="I432" s="11">
        <f t="shared" si="240"/>
        <v>0</v>
      </c>
      <c r="J432" s="11">
        <f t="shared" si="240"/>
        <v>0</v>
      </c>
      <c r="K432" s="11">
        <f t="shared" si="240"/>
        <v>0</v>
      </c>
      <c r="L432" s="11">
        <f t="shared" si="240"/>
        <v>0</v>
      </c>
      <c r="M432" s="11">
        <f aca="true" t="shared" si="241" ref="M432">M429</f>
        <v>0</v>
      </c>
      <c r="N432" s="7" t="e">
        <f t="shared" si="221"/>
        <v>#DIV/0!</v>
      </c>
    </row>
    <row r="433" spans="1:14" ht="31.5" hidden="1">
      <c r="A433" s="31" t="s">
        <v>336</v>
      </c>
      <c r="B433" s="42" t="s">
        <v>684</v>
      </c>
      <c r="C433" s="42" t="s">
        <v>351</v>
      </c>
      <c r="D433" s="42" t="s">
        <v>170</v>
      </c>
      <c r="E433" s="42"/>
      <c r="F433" s="85"/>
      <c r="G433" s="11">
        <f>G434</f>
        <v>0</v>
      </c>
      <c r="H433" s="11">
        <f aca="true" t="shared" si="242" ref="H433:M434">H434</f>
        <v>0</v>
      </c>
      <c r="I433" s="11">
        <f t="shared" si="242"/>
        <v>0</v>
      </c>
      <c r="J433" s="11">
        <f t="shared" si="242"/>
        <v>0</v>
      </c>
      <c r="K433" s="11">
        <f t="shared" si="242"/>
        <v>0</v>
      </c>
      <c r="L433" s="11">
        <f t="shared" si="242"/>
        <v>0</v>
      </c>
      <c r="M433" s="11">
        <f t="shared" si="242"/>
        <v>0</v>
      </c>
      <c r="N433" s="7" t="e">
        <f t="shared" si="221"/>
        <v>#DIV/0!</v>
      </c>
    </row>
    <row r="434" spans="1:14" ht="31.5" hidden="1">
      <c r="A434" s="31" t="s">
        <v>324</v>
      </c>
      <c r="B434" s="42" t="s">
        <v>684</v>
      </c>
      <c r="C434" s="42" t="s">
        <v>351</v>
      </c>
      <c r="D434" s="42" t="s">
        <v>170</v>
      </c>
      <c r="E434" s="42" t="s">
        <v>325</v>
      </c>
      <c r="F434" s="85"/>
      <c r="G434" s="11">
        <f>G435</f>
        <v>0</v>
      </c>
      <c r="H434" s="11">
        <f t="shared" si="242"/>
        <v>0</v>
      </c>
      <c r="I434" s="11">
        <f t="shared" si="242"/>
        <v>0</v>
      </c>
      <c r="J434" s="11">
        <f t="shared" si="242"/>
        <v>0</v>
      </c>
      <c r="K434" s="11">
        <f t="shared" si="242"/>
        <v>0</v>
      </c>
      <c r="L434" s="11">
        <f t="shared" si="242"/>
        <v>0</v>
      </c>
      <c r="M434" s="11">
        <f t="shared" si="242"/>
        <v>0</v>
      </c>
      <c r="N434" s="7" t="e">
        <f t="shared" si="221"/>
        <v>#DIV/0!</v>
      </c>
    </row>
    <row r="435" spans="1:14" ht="15.75" hidden="1">
      <c r="A435" s="31" t="s">
        <v>326</v>
      </c>
      <c r="B435" s="42" t="s">
        <v>684</v>
      </c>
      <c r="C435" s="42" t="s">
        <v>351</v>
      </c>
      <c r="D435" s="42" t="s">
        <v>170</v>
      </c>
      <c r="E435" s="42" t="s">
        <v>327</v>
      </c>
      <c r="F435" s="85"/>
      <c r="G435" s="11"/>
      <c r="H435" s="11"/>
      <c r="I435" s="11"/>
      <c r="J435" s="11"/>
      <c r="K435" s="11"/>
      <c r="L435" s="11"/>
      <c r="M435" s="11"/>
      <c r="N435" s="7" t="e">
        <f t="shared" si="221"/>
        <v>#DIV/0!</v>
      </c>
    </row>
    <row r="436" spans="1:14" ht="47.25" hidden="1">
      <c r="A436" s="47" t="s">
        <v>313</v>
      </c>
      <c r="B436" s="42" t="s">
        <v>684</v>
      </c>
      <c r="C436" s="42" t="s">
        <v>351</v>
      </c>
      <c r="D436" s="42" t="s">
        <v>170</v>
      </c>
      <c r="E436" s="42"/>
      <c r="F436" s="2">
        <v>903</v>
      </c>
      <c r="G436" s="11">
        <f>G433</f>
        <v>0</v>
      </c>
      <c r="H436" s="11">
        <f aca="true" t="shared" si="243" ref="H436:L436">H433</f>
        <v>0</v>
      </c>
      <c r="I436" s="11">
        <f t="shared" si="243"/>
        <v>0</v>
      </c>
      <c r="J436" s="11">
        <f t="shared" si="243"/>
        <v>0</v>
      </c>
      <c r="K436" s="11">
        <f t="shared" si="243"/>
        <v>0</v>
      </c>
      <c r="L436" s="11">
        <f t="shared" si="243"/>
        <v>0</v>
      </c>
      <c r="M436" s="11">
        <f aca="true" t="shared" si="244" ref="M436">M433</f>
        <v>0</v>
      </c>
      <c r="N436" s="7" t="e">
        <f t="shared" si="221"/>
        <v>#DIV/0!</v>
      </c>
    </row>
    <row r="437" spans="1:14" ht="15.75">
      <c r="A437" s="87" t="s">
        <v>732</v>
      </c>
      <c r="B437" s="42" t="s">
        <v>368</v>
      </c>
      <c r="C437" s="42" t="s">
        <v>351</v>
      </c>
      <c r="D437" s="42" t="s">
        <v>170</v>
      </c>
      <c r="E437" s="42"/>
      <c r="F437" s="2"/>
      <c r="G437" s="11">
        <f>G438+G440</f>
        <v>5</v>
      </c>
      <c r="H437" s="11">
        <f aca="true" t="shared" si="245" ref="H437:L437">H438+H440</f>
        <v>5</v>
      </c>
      <c r="I437" s="11">
        <f t="shared" si="245"/>
        <v>0</v>
      </c>
      <c r="J437" s="11">
        <f t="shared" si="245"/>
        <v>0</v>
      </c>
      <c r="K437" s="11">
        <f t="shared" si="245"/>
        <v>0</v>
      </c>
      <c r="L437" s="11">
        <f t="shared" si="245"/>
        <v>5</v>
      </c>
      <c r="M437" s="11">
        <f aca="true" t="shared" si="246" ref="M437">M438+M440</f>
        <v>0</v>
      </c>
      <c r="N437" s="7">
        <f t="shared" si="221"/>
        <v>0</v>
      </c>
    </row>
    <row r="438" spans="1:14" ht="31.5" hidden="1">
      <c r="A438" s="31" t="s">
        <v>183</v>
      </c>
      <c r="B438" s="42" t="s">
        <v>368</v>
      </c>
      <c r="C438" s="42" t="s">
        <v>351</v>
      </c>
      <c r="D438" s="42" t="s">
        <v>170</v>
      </c>
      <c r="E438" s="42" t="s">
        <v>184</v>
      </c>
      <c r="F438" s="2"/>
      <c r="G438" s="11">
        <f>G439</f>
        <v>0</v>
      </c>
      <c r="H438" s="11">
        <f aca="true" t="shared" si="247" ref="H438:M438">H439</f>
        <v>0</v>
      </c>
      <c r="I438" s="11">
        <f t="shared" si="247"/>
        <v>0</v>
      </c>
      <c r="J438" s="11">
        <f t="shared" si="247"/>
        <v>0</v>
      </c>
      <c r="K438" s="11">
        <f t="shared" si="247"/>
        <v>0</v>
      </c>
      <c r="L438" s="11">
        <f t="shared" si="247"/>
        <v>0</v>
      </c>
      <c r="M438" s="11">
        <f t="shared" si="247"/>
        <v>0</v>
      </c>
      <c r="N438" s="7" t="e">
        <f t="shared" si="221"/>
        <v>#DIV/0!</v>
      </c>
    </row>
    <row r="439" spans="1:14" ht="31.5" hidden="1">
      <c r="A439" s="31" t="s">
        <v>185</v>
      </c>
      <c r="B439" s="42" t="s">
        <v>368</v>
      </c>
      <c r="C439" s="42" t="s">
        <v>351</v>
      </c>
      <c r="D439" s="42" t="s">
        <v>170</v>
      </c>
      <c r="E439" s="42" t="s">
        <v>186</v>
      </c>
      <c r="F439" s="2"/>
      <c r="G439" s="11">
        <v>0</v>
      </c>
      <c r="H439" s="11">
        <v>0</v>
      </c>
      <c r="I439" s="11">
        <v>0</v>
      </c>
      <c r="J439" s="11">
        <v>0</v>
      </c>
      <c r="K439" s="11">
        <v>0</v>
      </c>
      <c r="L439" s="11">
        <v>0</v>
      </c>
      <c r="M439" s="11">
        <v>0</v>
      </c>
      <c r="N439" s="7" t="e">
        <f t="shared" si="221"/>
        <v>#DIV/0!</v>
      </c>
    </row>
    <row r="440" spans="1:14" ht="62.25" customHeight="1">
      <c r="A440" s="31" t="s">
        <v>324</v>
      </c>
      <c r="B440" s="42" t="s">
        <v>368</v>
      </c>
      <c r="C440" s="42" t="s">
        <v>351</v>
      </c>
      <c r="D440" s="42" t="s">
        <v>170</v>
      </c>
      <c r="E440" s="42" t="s">
        <v>325</v>
      </c>
      <c r="F440" s="2"/>
      <c r="G440" s="11">
        <f>G441</f>
        <v>5</v>
      </c>
      <c r="H440" s="11">
        <f aca="true" t="shared" si="248" ref="H440:M440">H441</f>
        <v>5</v>
      </c>
      <c r="I440" s="11">
        <f t="shared" si="248"/>
        <v>0</v>
      </c>
      <c r="J440" s="11">
        <f t="shared" si="248"/>
        <v>0</v>
      </c>
      <c r="K440" s="11">
        <f t="shared" si="248"/>
        <v>0</v>
      </c>
      <c r="L440" s="11">
        <f t="shared" si="248"/>
        <v>5</v>
      </c>
      <c r="M440" s="11">
        <f t="shared" si="248"/>
        <v>0</v>
      </c>
      <c r="N440" s="7">
        <f t="shared" si="221"/>
        <v>0</v>
      </c>
    </row>
    <row r="441" spans="1:14" ht="15.75">
      <c r="A441" s="31" t="s">
        <v>326</v>
      </c>
      <c r="B441" s="42" t="s">
        <v>368</v>
      </c>
      <c r="C441" s="42" t="s">
        <v>351</v>
      </c>
      <c r="D441" s="42" t="s">
        <v>170</v>
      </c>
      <c r="E441" s="42" t="s">
        <v>327</v>
      </c>
      <c r="F441" s="2"/>
      <c r="G441" s="11">
        <f>'Прил.№4 ведомств.'!G368</f>
        <v>5</v>
      </c>
      <c r="H441" s="11">
        <f>'Прил.№4 ведомств.'!I368</f>
        <v>5</v>
      </c>
      <c r="I441" s="11">
        <f>'Прил.№4 ведомств.'!J368</f>
        <v>0</v>
      </c>
      <c r="J441" s="11">
        <f>'Прил.№4 ведомств.'!K368</f>
        <v>0</v>
      </c>
      <c r="K441" s="11">
        <f>'Прил.№4 ведомств.'!L368</f>
        <v>0</v>
      </c>
      <c r="L441" s="11">
        <f>'Прил.№4 ведомств.'!M368</f>
        <v>5</v>
      </c>
      <c r="M441" s="11">
        <f>'Прил.№4 ведомств.'!N368</f>
        <v>0</v>
      </c>
      <c r="N441" s="7">
        <f t="shared" si="221"/>
        <v>0</v>
      </c>
    </row>
    <row r="442" spans="1:14" ht="15.75">
      <c r="A442" s="26" t="s">
        <v>766</v>
      </c>
      <c r="B442" s="21" t="s">
        <v>767</v>
      </c>
      <c r="C442" s="42" t="s">
        <v>351</v>
      </c>
      <c r="D442" s="42" t="s">
        <v>170</v>
      </c>
      <c r="E442" s="42"/>
      <c r="F442" s="2"/>
      <c r="G442" s="11">
        <f>G443</f>
        <v>0.4</v>
      </c>
      <c r="H442" s="11">
        <f aca="true" t="shared" si="249" ref="H442:M443">H443</f>
        <v>0.4</v>
      </c>
      <c r="I442" s="11">
        <f t="shared" si="249"/>
        <v>0</v>
      </c>
      <c r="J442" s="11">
        <f t="shared" si="249"/>
        <v>0</v>
      </c>
      <c r="K442" s="11">
        <f t="shared" si="249"/>
        <v>0</v>
      </c>
      <c r="L442" s="11">
        <f t="shared" si="249"/>
        <v>0.5</v>
      </c>
      <c r="M442" s="11">
        <f t="shared" si="249"/>
        <v>0</v>
      </c>
      <c r="N442" s="7">
        <f t="shared" si="221"/>
        <v>0</v>
      </c>
    </row>
    <row r="443" spans="1:14" ht="31.5">
      <c r="A443" s="26" t="s">
        <v>324</v>
      </c>
      <c r="B443" s="21" t="s">
        <v>767</v>
      </c>
      <c r="C443" s="42" t="s">
        <v>351</v>
      </c>
      <c r="D443" s="42" t="s">
        <v>170</v>
      </c>
      <c r="E443" s="42" t="s">
        <v>325</v>
      </c>
      <c r="F443" s="2"/>
      <c r="G443" s="11">
        <f>G444</f>
        <v>0.4</v>
      </c>
      <c r="H443" s="11">
        <f t="shared" si="249"/>
        <v>0.4</v>
      </c>
      <c r="I443" s="11">
        <f t="shared" si="249"/>
        <v>0</v>
      </c>
      <c r="J443" s="11">
        <f t="shared" si="249"/>
        <v>0</v>
      </c>
      <c r="K443" s="11">
        <f t="shared" si="249"/>
        <v>0</v>
      </c>
      <c r="L443" s="11">
        <f t="shared" si="249"/>
        <v>0.5</v>
      </c>
      <c r="M443" s="11">
        <f t="shared" si="249"/>
        <v>0</v>
      </c>
      <c r="N443" s="7">
        <f t="shared" si="221"/>
        <v>0</v>
      </c>
    </row>
    <row r="444" spans="1:14" ht="15.75">
      <c r="A444" s="26" t="s">
        <v>326</v>
      </c>
      <c r="B444" s="21" t="s">
        <v>767</v>
      </c>
      <c r="C444" s="42" t="s">
        <v>351</v>
      </c>
      <c r="D444" s="42" t="s">
        <v>170</v>
      </c>
      <c r="E444" s="42" t="s">
        <v>327</v>
      </c>
      <c r="F444" s="2"/>
      <c r="G444" s="11">
        <f>'Прил.№4 ведомств.'!G371</f>
        <v>0.4</v>
      </c>
      <c r="H444" s="11">
        <f>'Прил.№4 ведомств.'!I371</f>
        <v>0.4</v>
      </c>
      <c r="I444" s="11">
        <f>'Прил.№4 ведомств.'!J371</f>
        <v>0</v>
      </c>
      <c r="J444" s="11">
        <f>'Прил.№4 ведомств.'!K371</f>
        <v>0</v>
      </c>
      <c r="K444" s="11">
        <f>'Прил.№4 ведомств.'!L371</f>
        <v>0</v>
      </c>
      <c r="L444" s="11">
        <f>'Прил.№4 ведомств.'!M371</f>
        <v>0.5</v>
      </c>
      <c r="M444" s="11">
        <f>'Прил.№4 ведомств.'!N371</f>
        <v>0</v>
      </c>
      <c r="N444" s="7">
        <f t="shared" si="221"/>
        <v>0</v>
      </c>
    </row>
    <row r="445" spans="1:14" ht="31.5" hidden="1">
      <c r="A445" s="26" t="s">
        <v>336</v>
      </c>
      <c r="B445" s="21" t="s">
        <v>372</v>
      </c>
      <c r="C445" s="42" t="s">
        <v>351</v>
      </c>
      <c r="D445" s="42" t="s">
        <v>170</v>
      </c>
      <c r="E445" s="42"/>
      <c r="F445" s="2"/>
      <c r="G445" s="11">
        <f>G446</f>
        <v>0</v>
      </c>
      <c r="H445" s="11">
        <f aca="true" t="shared" si="250" ref="H445:M446">H446</f>
        <v>0</v>
      </c>
      <c r="I445" s="11">
        <f t="shared" si="250"/>
        <v>275</v>
      </c>
      <c r="J445" s="11">
        <f t="shared" si="250"/>
        <v>275</v>
      </c>
      <c r="K445" s="11">
        <f t="shared" si="250"/>
        <v>275</v>
      </c>
      <c r="L445" s="11">
        <f t="shared" si="250"/>
        <v>0</v>
      </c>
      <c r="M445" s="11">
        <f t="shared" si="250"/>
        <v>0</v>
      </c>
      <c r="N445" s="7" t="e">
        <f t="shared" si="221"/>
        <v>#DIV/0!</v>
      </c>
    </row>
    <row r="446" spans="1:14" ht="31.5" hidden="1">
      <c r="A446" s="26" t="s">
        <v>324</v>
      </c>
      <c r="B446" s="21" t="s">
        <v>372</v>
      </c>
      <c r="C446" s="42" t="s">
        <v>351</v>
      </c>
      <c r="D446" s="42" t="s">
        <v>170</v>
      </c>
      <c r="E446" s="42" t="s">
        <v>325</v>
      </c>
      <c r="F446" s="2"/>
      <c r="G446" s="11">
        <f>G447</f>
        <v>0</v>
      </c>
      <c r="H446" s="11">
        <f t="shared" si="250"/>
        <v>0</v>
      </c>
      <c r="I446" s="11">
        <f t="shared" si="250"/>
        <v>275</v>
      </c>
      <c r="J446" s="11">
        <f t="shared" si="250"/>
        <v>275</v>
      </c>
      <c r="K446" s="11">
        <f t="shared" si="250"/>
        <v>275</v>
      </c>
      <c r="L446" s="11">
        <f t="shared" si="250"/>
        <v>0</v>
      </c>
      <c r="M446" s="11">
        <f t="shared" si="250"/>
        <v>0</v>
      </c>
      <c r="N446" s="7" t="e">
        <f t="shared" si="221"/>
        <v>#DIV/0!</v>
      </c>
    </row>
    <row r="447" spans="1:14" ht="15.75" hidden="1">
      <c r="A447" s="26" t="s">
        <v>326</v>
      </c>
      <c r="B447" s="21" t="s">
        <v>372</v>
      </c>
      <c r="C447" s="42" t="s">
        <v>351</v>
      </c>
      <c r="D447" s="42" t="s">
        <v>170</v>
      </c>
      <c r="E447" s="42" t="s">
        <v>327</v>
      </c>
      <c r="F447" s="2"/>
      <c r="G447" s="11">
        <f>'Прил.№4 ведомств.'!G383</f>
        <v>0</v>
      </c>
      <c r="H447" s="11">
        <f>'Прил.№4 ведомств.'!I383</f>
        <v>0</v>
      </c>
      <c r="I447" s="11">
        <f>'Прил.№4 ведомств.'!J383</f>
        <v>275</v>
      </c>
      <c r="J447" s="11">
        <f>'Прил.№4 ведомств.'!K383</f>
        <v>275</v>
      </c>
      <c r="K447" s="11">
        <f>'Прил.№4 ведомств.'!L383</f>
        <v>275</v>
      </c>
      <c r="L447" s="11">
        <f>'Прил.№4 ведомств.'!M383</f>
        <v>0</v>
      </c>
      <c r="M447" s="11">
        <f>'Прил.№4 ведомств.'!N383</f>
        <v>0</v>
      </c>
      <c r="N447" s="7" t="e">
        <f t="shared" si="221"/>
        <v>#DIV/0!</v>
      </c>
    </row>
    <row r="448" spans="1:14" ht="31.5">
      <c r="A448" s="70" t="s">
        <v>865</v>
      </c>
      <c r="B448" s="21" t="s">
        <v>878</v>
      </c>
      <c r="C448" s="42" t="s">
        <v>351</v>
      </c>
      <c r="D448" s="42" t="s">
        <v>170</v>
      </c>
      <c r="E448" s="42"/>
      <c r="F448" s="2"/>
      <c r="G448" s="11">
        <f>G449</f>
        <v>0</v>
      </c>
      <c r="H448" s="11">
        <f aca="true" t="shared" si="251" ref="H448:M449">H449</f>
        <v>0</v>
      </c>
      <c r="I448" s="11">
        <f t="shared" si="251"/>
        <v>650.2</v>
      </c>
      <c r="J448" s="11">
        <f t="shared" si="251"/>
        <v>650.2</v>
      </c>
      <c r="K448" s="11">
        <f t="shared" si="251"/>
        <v>650.2</v>
      </c>
      <c r="L448" s="11">
        <f t="shared" si="251"/>
        <v>650.2</v>
      </c>
      <c r="M448" s="11">
        <f t="shared" si="251"/>
        <v>650.2</v>
      </c>
      <c r="N448" s="7">
        <f t="shared" si="221"/>
        <v>100</v>
      </c>
    </row>
    <row r="449" spans="1:14" ht="31.5">
      <c r="A449" s="31" t="s">
        <v>324</v>
      </c>
      <c r="B449" s="21" t="s">
        <v>878</v>
      </c>
      <c r="C449" s="42" t="s">
        <v>351</v>
      </c>
      <c r="D449" s="42" t="s">
        <v>170</v>
      </c>
      <c r="E449" s="42" t="s">
        <v>325</v>
      </c>
      <c r="F449" s="2"/>
      <c r="G449" s="11">
        <f>G450</f>
        <v>0</v>
      </c>
      <c r="H449" s="11">
        <f t="shared" si="251"/>
        <v>0</v>
      </c>
      <c r="I449" s="11">
        <f t="shared" si="251"/>
        <v>650.2</v>
      </c>
      <c r="J449" s="11">
        <f t="shared" si="251"/>
        <v>650.2</v>
      </c>
      <c r="K449" s="11">
        <f t="shared" si="251"/>
        <v>650.2</v>
      </c>
      <c r="L449" s="11">
        <f t="shared" si="251"/>
        <v>650.2</v>
      </c>
      <c r="M449" s="11">
        <f t="shared" si="251"/>
        <v>650.2</v>
      </c>
      <c r="N449" s="7">
        <f t="shared" si="221"/>
        <v>100</v>
      </c>
    </row>
    <row r="450" spans="1:14" ht="15.75">
      <c r="A450" s="256" t="s">
        <v>326</v>
      </c>
      <c r="B450" s="21" t="s">
        <v>878</v>
      </c>
      <c r="C450" s="42" t="s">
        <v>351</v>
      </c>
      <c r="D450" s="42" t="s">
        <v>170</v>
      </c>
      <c r="E450" s="42" t="s">
        <v>327</v>
      </c>
      <c r="F450" s="2"/>
      <c r="G450" s="11">
        <f>'Прил.№4 ведомств.'!G389</f>
        <v>0</v>
      </c>
      <c r="H450" s="11">
        <f>'Прил.№4 ведомств.'!I389</f>
        <v>0</v>
      </c>
      <c r="I450" s="11">
        <f>'Прил.№4 ведомств.'!J389</f>
        <v>650.2</v>
      </c>
      <c r="J450" s="11">
        <f>'Прил.№4 ведомств.'!K389</f>
        <v>650.2</v>
      </c>
      <c r="K450" s="11">
        <f>'Прил.№4 ведомств.'!L389</f>
        <v>650.2</v>
      </c>
      <c r="L450" s="11">
        <f>'Прил.№4 ведомств.'!M389</f>
        <v>650.2</v>
      </c>
      <c r="M450" s="11">
        <f>'Прил.№4 ведомств.'!N389</f>
        <v>650.2</v>
      </c>
      <c r="N450" s="7">
        <f t="shared" si="221"/>
        <v>100</v>
      </c>
    </row>
    <row r="451" spans="1:14" ht="47.25">
      <c r="A451" s="47" t="s">
        <v>313</v>
      </c>
      <c r="B451" s="42" t="s">
        <v>365</v>
      </c>
      <c r="C451" s="42" t="s">
        <v>351</v>
      </c>
      <c r="D451" s="42" t="s">
        <v>170</v>
      </c>
      <c r="E451" s="42"/>
      <c r="F451" s="2">
        <v>903</v>
      </c>
      <c r="G451" s="11">
        <f aca="true" t="shared" si="252" ref="G451:L451">G415</f>
        <v>16660.600000000002</v>
      </c>
      <c r="H451" s="11">
        <f t="shared" si="252"/>
        <v>16660.600000000002</v>
      </c>
      <c r="I451" s="11">
        <f t="shared" si="252"/>
        <v>20069.2</v>
      </c>
      <c r="J451" s="11">
        <f t="shared" si="252"/>
        <v>20340.2</v>
      </c>
      <c r="K451" s="11">
        <f t="shared" si="252"/>
        <v>20562.600000000002</v>
      </c>
      <c r="L451" s="11">
        <f t="shared" si="252"/>
        <v>17026.3</v>
      </c>
      <c r="M451" s="11">
        <f aca="true" t="shared" si="253" ref="M451">M415</f>
        <v>8514.4</v>
      </c>
      <c r="N451" s="7">
        <f t="shared" si="221"/>
        <v>50.007341583315224</v>
      </c>
    </row>
    <row r="452" spans="1:14" ht="31.5" hidden="1">
      <c r="A452" s="70" t="s">
        <v>373</v>
      </c>
      <c r="B452" s="42" t="s">
        <v>374</v>
      </c>
      <c r="C452" s="42" t="s">
        <v>351</v>
      </c>
      <c r="D452" s="42" t="s">
        <v>170</v>
      </c>
      <c r="E452" s="42"/>
      <c r="F452" s="2"/>
      <c r="G452" s="11">
        <f>G453</f>
        <v>0</v>
      </c>
      <c r="H452" s="11">
        <f aca="true" t="shared" si="254" ref="H452:M452">H453</f>
        <v>0</v>
      </c>
      <c r="I452" s="11">
        <f t="shared" si="254"/>
        <v>0</v>
      </c>
      <c r="J452" s="11">
        <f t="shared" si="254"/>
        <v>0</v>
      </c>
      <c r="K452" s="11">
        <f t="shared" si="254"/>
        <v>0</v>
      </c>
      <c r="L452" s="11">
        <f t="shared" si="254"/>
        <v>0</v>
      </c>
      <c r="M452" s="11">
        <f t="shared" si="254"/>
        <v>0</v>
      </c>
      <c r="N452" s="4" t="e">
        <f t="shared" si="221"/>
        <v>#DIV/0!</v>
      </c>
    </row>
    <row r="453" spans="1:14" ht="31.5" hidden="1">
      <c r="A453" s="31" t="s">
        <v>324</v>
      </c>
      <c r="B453" s="42" t="s">
        <v>374</v>
      </c>
      <c r="C453" s="42" t="s">
        <v>351</v>
      </c>
      <c r="D453" s="42" t="s">
        <v>170</v>
      </c>
      <c r="E453" s="42" t="s">
        <v>325</v>
      </c>
      <c r="F453" s="2"/>
      <c r="G453" s="11"/>
      <c r="H453" s="11"/>
      <c r="I453" s="11"/>
      <c r="J453" s="11"/>
      <c r="K453" s="11"/>
      <c r="L453" s="11"/>
      <c r="M453" s="11"/>
      <c r="N453" s="4" t="e">
        <f t="shared" si="221"/>
        <v>#DIV/0!</v>
      </c>
    </row>
    <row r="454" spans="1:14" ht="15.75" hidden="1">
      <c r="A454" s="31" t="s">
        <v>326</v>
      </c>
      <c r="B454" s="42" t="s">
        <v>374</v>
      </c>
      <c r="C454" s="42" t="s">
        <v>351</v>
      </c>
      <c r="D454" s="42" t="s">
        <v>170</v>
      </c>
      <c r="E454" s="42" t="s">
        <v>327</v>
      </c>
      <c r="F454" s="2"/>
      <c r="G454" s="11"/>
      <c r="H454" s="11"/>
      <c r="I454" s="11"/>
      <c r="J454" s="11"/>
      <c r="K454" s="11"/>
      <c r="L454" s="11"/>
      <c r="M454" s="11"/>
      <c r="N454" s="4" t="e">
        <f t="shared" si="221"/>
        <v>#DIV/0!</v>
      </c>
    </row>
    <row r="455" spans="1:14" ht="47.25" hidden="1">
      <c r="A455" s="47" t="s">
        <v>313</v>
      </c>
      <c r="B455" s="42" t="s">
        <v>374</v>
      </c>
      <c r="C455" s="42" t="s">
        <v>351</v>
      </c>
      <c r="D455" s="42" t="s">
        <v>170</v>
      </c>
      <c r="E455" s="42"/>
      <c r="F455" s="2">
        <v>903</v>
      </c>
      <c r="G455" s="11">
        <f>G454</f>
        <v>0</v>
      </c>
      <c r="H455" s="11">
        <f aca="true" t="shared" si="255" ref="H455:L455">H454</f>
        <v>0</v>
      </c>
      <c r="I455" s="11">
        <f t="shared" si="255"/>
        <v>0</v>
      </c>
      <c r="J455" s="11">
        <f t="shared" si="255"/>
        <v>0</v>
      </c>
      <c r="K455" s="11">
        <f t="shared" si="255"/>
        <v>0</v>
      </c>
      <c r="L455" s="11">
        <f t="shared" si="255"/>
        <v>0</v>
      </c>
      <c r="M455" s="11">
        <f aca="true" t="shared" si="256" ref="M455">M454</f>
        <v>0</v>
      </c>
      <c r="N455" s="4" t="e">
        <f t="shared" si="221"/>
        <v>#DIV/0!</v>
      </c>
    </row>
    <row r="456" spans="1:14" ht="59.25" customHeight="1">
      <c r="A456" s="43" t="s">
        <v>1015</v>
      </c>
      <c r="B456" s="8" t="s">
        <v>376</v>
      </c>
      <c r="C456" s="83"/>
      <c r="D456" s="83"/>
      <c r="E456" s="83"/>
      <c r="F456" s="83"/>
      <c r="G456" s="68">
        <f>G457</f>
        <v>200</v>
      </c>
      <c r="H456" s="68">
        <f aca="true" t="shared" si="257" ref="H456:M460">H457</f>
        <v>200</v>
      </c>
      <c r="I456" s="68">
        <f t="shared" si="257"/>
        <v>0</v>
      </c>
      <c r="J456" s="68">
        <f t="shared" si="257"/>
        <v>0</v>
      </c>
      <c r="K456" s="68">
        <f t="shared" si="257"/>
        <v>0</v>
      </c>
      <c r="L456" s="68">
        <f aca="true" t="shared" si="258" ref="L456:M458">L457</f>
        <v>545</v>
      </c>
      <c r="M456" s="68">
        <f t="shared" si="258"/>
        <v>545</v>
      </c>
      <c r="N456" s="4">
        <f t="shared" si="221"/>
        <v>100</v>
      </c>
    </row>
    <row r="457" spans="1:14" ht="15.75">
      <c r="A457" s="84" t="s">
        <v>543</v>
      </c>
      <c r="B457" s="42" t="s">
        <v>376</v>
      </c>
      <c r="C457" s="42" t="s">
        <v>544</v>
      </c>
      <c r="D457" s="84"/>
      <c r="E457" s="84"/>
      <c r="F457" s="84"/>
      <c r="G457" s="11">
        <f>G458</f>
        <v>200</v>
      </c>
      <c r="H457" s="11">
        <f t="shared" si="257"/>
        <v>200</v>
      </c>
      <c r="I457" s="11">
        <f t="shared" si="257"/>
        <v>0</v>
      </c>
      <c r="J457" s="11">
        <f t="shared" si="257"/>
        <v>0</v>
      </c>
      <c r="K457" s="11">
        <f t="shared" si="257"/>
        <v>0</v>
      </c>
      <c r="L457" s="11">
        <f t="shared" si="258"/>
        <v>545</v>
      </c>
      <c r="M457" s="11">
        <f t="shared" si="258"/>
        <v>545</v>
      </c>
      <c r="N457" s="7">
        <f t="shared" si="221"/>
        <v>100</v>
      </c>
    </row>
    <row r="458" spans="1:14" ht="15.75">
      <c r="A458" s="84" t="s">
        <v>545</v>
      </c>
      <c r="B458" s="42" t="s">
        <v>376</v>
      </c>
      <c r="C458" s="42" t="s">
        <v>544</v>
      </c>
      <c r="D458" s="42" t="s">
        <v>170</v>
      </c>
      <c r="E458" s="84"/>
      <c r="F458" s="84"/>
      <c r="G458" s="11">
        <f>G459</f>
        <v>200</v>
      </c>
      <c r="H458" s="11">
        <f t="shared" si="257"/>
        <v>200</v>
      </c>
      <c r="I458" s="11">
        <f t="shared" si="257"/>
        <v>0</v>
      </c>
      <c r="J458" s="11">
        <f t="shared" si="257"/>
        <v>0</v>
      </c>
      <c r="K458" s="11">
        <f t="shared" si="257"/>
        <v>0</v>
      </c>
      <c r="L458" s="11">
        <f t="shared" si="258"/>
        <v>545</v>
      </c>
      <c r="M458" s="11">
        <f t="shared" si="258"/>
        <v>545</v>
      </c>
      <c r="N458" s="7">
        <f t="shared" si="221"/>
        <v>100</v>
      </c>
    </row>
    <row r="459" spans="1:14" ht="47.25">
      <c r="A459" s="33" t="s">
        <v>377</v>
      </c>
      <c r="B459" s="42" t="s">
        <v>378</v>
      </c>
      <c r="C459" s="42" t="s">
        <v>544</v>
      </c>
      <c r="D459" s="42" t="s">
        <v>170</v>
      </c>
      <c r="E459" s="84"/>
      <c r="F459" s="84"/>
      <c r="G459" s="11">
        <f>G460</f>
        <v>200</v>
      </c>
      <c r="H459" s="11">
        <f t="shared" si="257"/>
        <v>200</v>
      </c>
      <c r="I459" s="11">
        <f t="shared" si="257"/>
        <v>0</v>
      </c>
      <c r="J459" s="11">
        <f t="shared" si="257"/>
        <v>0</v>
      </c>
      <c r="K459" s="11">
        <f t="shared" si="257"/>
        <v>0</v>
      </c>
      <c r="L459" s="11">
        <f t="shared" si="257"/>
        <v>545</v>
      </c>
      <c r="M459" s="11">
        <f t="shared" si="257"/>
        <v>545</v>
      </c>
      <c r="N459" s="7">
        <f t="shared" si="221"/>
        <v>100</v>
      </c>
    </row>
    <row r="460" spans="1:14" ht="31.5">
      <c r="A460" s="26" t="s">
        <v>324</v>
      </c>
      <c r="B460" s="42" t="s">
        <v>378</v>
      </c>
      <c r="C460" s="42" t="s">
        <v>544</v>
      </c>
      <c r="D460" s="42" t="s">
        <v>170</v>
      </c>
      <c r="E460" s="42" t="s">
        <v>325</v>
      </c>
      <c r="F460" s="84"/>
      <c r="G460" s="11">
        <f>G461</f>
        <v>200</v>
      </c>
      <c r="H460" s="11">
        <f t="shared" si="257"/>
        <v>200</v>
      </c>
      <c r="I460" s="11">
        <f t="shared" si="257"/>
        <v>0</v>
      </c>
      <c r="J460" s="11">
        <f t="shared" si="257"/>
        <v>0</v>
      </c>
      <c r="K460" s="11">
        <f t="shared" si="257"/>
        <v>0</v>
      </c>
      <c r="L460" s="11">
        <f t="shared" si="257"/>
        <v>545</v>
      </c>
      <c r="M460" s="11">
        <f t="shared" si="257"/>
        <v>545</v>
      </c>
      <c r="N460" s="7">
        <f aca="true" t="shared" si="259" ref="N460:N523">M460/L460*100</f>
        <v>100</v>
      </c>
    </row>
    <row r="461" spans="1:14" ht="15.75">
      <c r="A461" s="26" t="s">
        <v>326</v>
      </c>
      <c r="B461" s="42" t="s">
        <v>378</v>
      </c>
      <c r="C461" s="42" t="s">
        <v>544</v>
      </c>
      <c r="D461" s="42" t="s">
        <v>170</v>
      </c>
      <c r="E461" s="42" t="s">
        <v>327</v>
      </c>
      <c r="F461" s="84"/>
      <c r="G461" s="11">
        <f>'Прил.№4 ведомств.'!G393</f>
        <v>200</v>
      </c>
      <c r="H461" s="11">
        <f>'Прил.№4 ведомств.'!I393</f>
        <v>200</v>
      </c>
      <c r="I461" s="11">
        <f>'Прил.№4 ведомств.'!J393</f>
        <v>0</v>
      </c>
      <c r="J461" s="11">
        <f>'Прил.№4 ведомств.'!K393</f>
        <v>0</v>
      </c>
      <c r="K461" s="11">
        <f>'Прил.№4 ведомств.'!L393</f>
        <v>0</v>
      </c>
      <c r="L461" s="11">
        <f>'Прил.№4 ведомств.'!M835</f>
        <v>545</v>
      </c>
      <c r="M461" s="11">
        <f>'Прил.№4 ведомств.'!N835</f>
        <v>545</v>
      </c>
      <c r="N461" s="7">
        <f t="shared" si="259"/>
        <v>100</v>
      </c>
    </row>
    <row r="462" spans="1:14" ht="31.5">
      <c r="A462" s="47" t="s">
        <v>533</v>
      </c>
      <c r="B462" s="42" t="s">
        <v>376</v>
      </c>
      <c r="C462" s="42" t="s">
        <v>544</v>
      </c>
      <c r="D462" s="42" t="s">
        <v>170</v>
      </c>
      <c r="E462" s="84"/>
      <c r="F462" s="2">
        <v>907</v>
      </c>
      <c r="G462" s="11">
        <f>G456</f>
        <v>200</v>
      </c>
      <c r="H462" s="11">
        <f>H456</f>
        <v>200</v>
      </c>
      <c r="I462" s="11">
        <f>I456</f>
        <v>0</v>
      </c>
      <c r="J462" s="11">
        <f>J456</f>
        <v>0</v>
      </c>
      <c r="K462" s="11">
        <f>K456</f>
        <v>0</v>
      </c>
      <c r="L462" s="11">
        <f>L458</f>
        <v>545</v>
      </c>
      <c r="M462" s="11">
        <f>M458</f>
        <v>545</v>
      </c>
      <c r="N462" s="7">
        <f t="shared" si="259"/>
        <v>100</v>
      </c>
    </row>
    <row r="463" spans="1:14" ht="47.25">
      <c r="A463" s="43" t="s">
        <v>595</v>
      </c>
      <c r="B463" s="8" t="s">
        <v>596</v>
      </c>
      <c r="C463" s="2"/>
      <c r="D463" s="2"/>
      <c r="E463" s="2"/>
      <c r="F463" s="2"/>
      <c r="G463" s="68">
        <f>G464+G482</f>
        <v>12375.499999999998</v>
      </c>
      <c r="H463" s="68">
        <f aca="true" t="shared" si="260" ref="H463:L463">H464+H482</f>
        <v>3394.8</v>
      </c>
      <c r="I463" s="68">
        <f t="shared" si="260"/>
        <v>16123</v>
      </c>
      <c r="J463" s="68">
        <f t="shared" si="260"/>
        <v>16291.599999999999</v>
      </c>
      <c r="K463" s="68">
        <f t="shared" si="260"/>
        <v>18205.7</v>
      </c>
      <c r="L463" s="68">
        <f t="shared" si="260"/>
        <v>18293.899999999998</v>
      </c>
      <c r="M463" s="68">
        <f aca="true" t="shared" si="261" ref="M463">M464+M482</f>
        <v>3077.2999999999997</v>
      </c>
      <c r="N463" s="4">
        <f t="shared" si="259"/>
        <v>16.821454145917492</v>
      </c>
    </row>
    <row r="464" spans="1:14" ht="47.25">
      <c r="A464" s="43" t="s">
        <v>597</v>
      </c>
      <c r="B464" s="8" t="s">
        <v>598</v>
      </c>
      <c r="C464" s="8"/>
      <c r="D464" s="8"/>
      <c r="E464" s="3"/>
      <c r="F464" s="3"/>
      <c r="G464" s="68">
        <f>G465</f>
        <v>8697.3</v>
      </c>
      <c r="H464" s="68">
        <f aca="true" t="shared" si="262" ref="H464:M465">H465</f>
        <v>1853.4</v>
      </c>
      <c r="I464" s="68">
        <f t="shared" si="262"/>
        <v>11055.8</v>
      </c>
      <c r="J464" s="68">
        <f t="shared" si="262"/>
        <v>10998</v>
      </c>
      <c r="K464" s="68">
        <f t="shared" si="262"/>
        <v>12675.6</v>
      </c>
      <c r="L464" s="68">
        <f t="shared" si="262"/>
        <v>13226.699999999999</v>
      </c>
      <c r="M464" s="68">
        <f t="shared" si="262"/>
        <v>3062.2</v>
      </c>
      <c r="N464" s="4">
        <f t="shared" si="259"/>
        <v>23.151655363771763</v>
      </c>
    </row>
    <row r="465" spans="1:14" ht="15.75">
      <c r="A465" s="84" t="s">
        <v>443</v>
      </c>
      <c r="B465" s="42" t="s">
        <v>598</v>
      </c>
      <c r="C465" s="42" t="s">
        <v>286</v>
      </c>
      <c r="D465" s="42"/>
      <c r="E465" s="2"/>
      <c r="F465" s="2"/>
      <c r="G465" s="11">
        <f>G466</f>
        <v>8697.3</v>
      </c>
      <c r="H465" s="11">
        <f t="shared" si="262"/>
        <v>1853.4</v>
      </c>
      <c r="I465" s="11">
        <f t="shared" si="262"/>
        <v>11055.8</v>
      </c>
      <c r="J465" s="11">
        <f t="shared" si="262"/>
        <v>10998</v>
      </c>
      <c r="K465" s="11">
        <f t="shared" si="262"/>
        <v>12675.6</v>
      </c>
      <c r="L465" s="11">
        <f t="shared" si="262"/>
        <v>13226.699999999999</v>
      </c>
      <c r="M465" s="11">
        <f t="shared" si="262"/>
        <v>3062.2</v>
      </c>
      <c r="N465" s="7">
        <f t="shared" si="259"/>
        <v>23.151655363771763</v>
      </c>
    </row>
    <row r="466" spans="1:14" ht="15.75">
      <c r="A466" s="84" t="s">
        <v>594</v>
      </c>
      <c r="B466" s="42" t="s">
        <v>598</v>
      </c>
      <c r="C466" s="42" t="s">
        <v>286</v>
      </c>
      <c r="D466" s="42" t="s">
        <v>267</v>
      </c>
      <c r="E466" s="2"/>
      <c r="F466" s="2"/>
      <c r="G466" s="11">
        <f>G467+G470+G475</f>
        <v>8697.3</v>
      </c>
      <c r="H466" s="11">
        <f aca="true" t="shared" si="263" ref="H466:K466">H467+H470+H475</f>
        <v>1853.4</v>
      </c>
      <c r="I466" s="11">
        <f t="shared" si="263"/>
        <v>11055.8</v>
      </c>
      <c r="J466" s="11">
        <f t="shared" si="263"/>
        <v>10998</v>
      </c>
      <c r="K466" s="11">
        <f t="shared" si="263"/>
        <v>12675.6</v>
      </c>
      <c r="L466" s="11">
        <f>L467+L470+L475+L478</f>
        <v>13226.699999999999</v>
      </c>
      <c r="M466" s="11">
        <f>M467+M470+M475+M478</f>
        <v>3062.2</v>
      </c>
      <c r="N466" s="7">
        <f t="shared" si="259"/>
        <v>23.151655363771763</v>
      </c>
    </row>
    <row r="467" spans="1:14" ht="15.75">
      <c r="A467" s="26" t="s">
        <v>599</v>
      </c>
      <c r="B467" s="21" t="s">
        <v>600</v>
      </c>
      <c r="C467" s="42" t="s">
        <v>286</v>
      </c>
      <c r="D467" s="42" t="s">
        <v>267</v>
      </c>
      <c r="E467" s="2"/>
      <c r="F467" s="2"/>
      <c r="G467" s="11">
        <f>G468</f>
        <v>253.4</v>
      </c>
      <c r="H467" s="11">
        <f aca="true" t="shared" si="264" ref="H467:M468">H468</f>
        <v>253.4</v>
      </c>
      <c r="I467" s="11">
        <f t="shared" si="264"/>
        <v>356</v>
      </c>
      <c r="J467" s="11">
        <f t="shared" si="264"/>
        <v>371</v>
      </c>
      <c r="K467" s="11">
        <f t="shared" si="264"/>
        <v>378</v>
      </c>
      <c r="L467" s="11">
        <f t="shared" si="264"/>
        <v>356</v>
      </c>
      <c r="M467" s="11">
        <f t="shared" si="264"/>
        <v>0</v>
      </c>
      <c r="N467" s="7">
        <f t="shared" si="259"/>
        <v>0</v>
      </c>
    </row>
    <row r="468" spans="1:14" ht="51" customHeight="1">
      <c r="A468" s="26" t="s">
        <v>183</v>
      </c>
      <c r="B468" s="21" t="s">
        <v>600</v>
      </c>
      <c r="C468" s="42" t="s">
        <v>286</v>
      </c>
      <c r="D468" s="42" t="s">
        <v>267</v>
      </c>
      <c r="E468" s="2">
        <v>200</v>
      </c>
      <c r="F468" s="2"/>
      <c r="G468" s="11">
        <f>G469</f>
        <v>253.4</v>
      </c>
      <c r="H468" s="11">
        <f t="shared" si="264"/>
        <v>253.4</v>
      </c>
      <c r="I468" s="11">
        <f t="shared" si="264"/>
        <v>356</v>
      </c>
      <c r="J468" s="11">
        <f t="shared" si="264"/>
        <v>371</v>
      </c>
      <c r="K468" s="11">
        <f t="shared" si="264"/>
        <v>378</v>
      </c>
      <c r="L468" s="11">
        <f t="shared" si="264"/>
        <v>356</v>
      </c>
      <c r="M468" s="11">
        <f t="shared" si="264"/>
        <v>0</v>
      </c>
      <c r="N468" s="7">
        <f t="shared" si="259"/>
        <v>0</v>
      </c>
    </row>
    <row r="469" spans="1:14" ht="31.5">
      <c r="A469" s="26" t="s">
        <v>185</v>
      </c>
      <c r="B469" s="21" t="s">
        <v>600</v>
      </c>
      <c r="C469" s="42" t="s">
        <v>286</v>
      </c>
      <c r="D469" s="42" t="s">
        <v>267</v>
      </c>
      <c r="E469" s="2">
        <v>240</v>
      </c>
      <c r="F469" s="2"/>
      <c r="G469" s="11">
        <f>'Прил.№4 ведомств.'!G983</f>
        <v>253.4</v>
      </c>
      <c r="H469" s="11">
        <f>'Прил.№4 ведомств.'!I983</f>
        <v>253.4</v>
      </c>
      <c r="I469" s="11">
        <f>'Прил.№4 ведомств.'!J983</f>
        <v>356</v>
      </c>
      <c r="J469" s="11">
        <f>'Прил.№4 ведомств.'!K983</f>
        <v>371</v>
      </c>
      <c r="K469" s="11">
        <f>'Прил.№4 ведомств.'!L983</f>
        <v>378</v>
      </c>
      <c r="L469" s="11">
        <f>'Прил.№4 ведомств.'!M983</f>
        <v>356</v>
      </c>
      <c r="M469" s="11">
        <f>'Прил.№4 ведомств.'!N983</f>
        <v>0</v>
      </c>
      <c r="N469" s="7">
        <f t="shared" si="259"/>
        <v>0</v>
      </c>
    </row>
    <row r="470" spans="1:14" ht="31.5" customHeight="1">
      <c r="A470" s="26" t="s">
        <v>601</v>
      </c>
      <c r="B470" s="21" t="s">
        <v>602</v>
      </c>
      <c r="C470" s="42" t="s">
        <v>286</v>
      </c>
      <c r="D470" s="42" t="s">
        <v>267</v>
      </c>
      <c r="E470" s="2"/>
      <c r="F470" s="2"/>
      <c r="G470" s="11">
        <f>G471</f>
        <v>5258.6</v>
      </c>
      <c r="H470" s="11">
        <f aca="true" t="shared" si="265" ref="H470:M471">H471</f>
        <v>1500</v>
      </c>
      <c r="I470" s="11">
        <f t="shared" si="265"/>
        <v>6383</v>
      </c>
      <c r="J470" s="11">
        <f t="shared" si="265"/>
        <v>6266.6</v>
      </c>
      <c r="K470" s="11">
        <f t="shared" si="265"/>
        <v>6060</v>
      </c>
      <c r="L470" s="11">
        <f>L471+L473</f>
        <v>6383</v>
      </c>
      <c r="M470" s="11">
        <f>M471+M473</f>
        <v>891.3</v>
      </c>
      <c r="N470" s="7">
        <f t="shared" si="259"/>
        <v>13.963653454488483</v>
      </c>
    </row>
    <row r="471" spans="1:14" ht="31.5">
      <c r="A471" s="26" t="s">
        <v>183</v>
      </c>
      <c r="B471" s="21" t="s">
        <v>602</v>
      </c>
      <c r="C471" s="42" t="s">
        <v>286</v>
      </c>
      <c r="D471" s="42" t="s">
        <v>267</v>
      </c>
      <c r="E471" s="2">
        <v>200</v>
      </c>
      <c r="F471" s="2"/>
      <c r="G471" s="11">
        <f>G472</f>
        <v>5258.6</v>
      </c>
      <c r="H471" s="11">
        <f t="shared" si="265"/>
        <v>1500</v>
      </c>
      <c r="I471" s="11">
        <f t="shared" si="265"/>
        <v>6383</v>
      </c>
      <c r="J471" s="11">
        <f t="shared" si="265"/>
        <v>6266.6</v>
      </c>
      <c r="K471" s="11">
        <f t="shared" si="265"/>
        <v>6060</v>
      </c>
      <c r="L471" s="11">
        <f t="shared" si="265"/>
        <v>6342.1</v>
      </c>
      <c r="M471" s="11">
        <f t="shared" si="265"/>
        <v>853.8</v>
      </c>
      <c r="N471" s="7">
        <f t="shared" si="259"/>
        <v>13.462417811135111</v>
      </c>
    </row>
    <row r="472" spans="1:14" ht="31.5">
      <c r="A472" s="26" t="s">
        <v>185</v>
      </c>
      <c r="B472" s="21" t="s">
        <v>602</v>
      </c>
      <c r="C472" s="42" t="s">
        <v>286</v>
      </c>
      <c r="D472" s="42" t="s">
        <v>267</v>
      </c>
      <c r="E472" s="2">
        <v>240</v>
      </c>
      <c r="F472" s="2"/>
      <c r="G472" s="11">
        <f>'Прил.№4 ведомств.'!G986</f>
        <v>5258.6</v>
      </c>
      <c r="H472" s="11">
        <f>'Прил.№4 ведомств.'!I986</f>
        <v>1500</v>
      </c>
      <c r="I472" s="11">
        <f>'Прил.№4 ведомств.'!J986</f>
        <v>6383</v>
      </c>
      <c r="J472" s="11">
        <f>'Прил.№4 ведомств.'!K986</f>
        <v>6266.6</v>
      </c>
      <c r="K472" s="11">
        <f>'Прил.№4 ведомств.'!L986</f>
        <v>6060</v>
      </c>
      <c r="L472" s="11">
        <f>'Прил.№4 ведомств.'!M986</f>
        <v>6342.1</v>
      </c>
      <c r="M472" s="11">
        <f>'Прил.№4 ведомств.'!N986</f>
        <v>853.8</v>
      </c>
      <c r="N472" s="7">
        <f t="shared" si="259"/>
        <v>13.462417811135111</v>
      </c>
    </row>
    <row r="473" spans="1:14" ht="15.75">
      <c r="A473" s="26" t="s">
        <v>187</v>
      </c>
      <c r="B473" s="21" t="s">
        <v>602</v>
      </c>
      <c r="C473" s="42" t="s">
        <v>286</v>
      </c>
      <c r="D473" s="42" t="s">
        <v>267</v>
      </c>
      <c r="E473" s="2">
        <v>800</v>
      </c>
      <c r="F473" s="2"/>
      <c r="G473" s="11"/>
      <c r="H473" s="11"/>
      <c r="I473" s="11"/>
      <c r="J473" s="11"/>
      <c r="K473" s="11"/>
      <c r="L473" s="11">
        <f>L474</f>
        <v>40.9</v>
      </c>
      <c r="M473" s="11">
        <f>M474</f>
        <v>37.5</v>
      </c>
      <c r="N473" s="7">
        <f t="shared" si="259"/>
        <v>91.68704156479218</v>
      </c>
    </row>
    <row r="474" spans="1:14" ht="15.75">
      <c r="A474" s="26" t="s">
        <v>621</v>
      </c>
      <c r="B474" s="21" t="s">
        <v>602</v>
      </c>
      <c r="C474" s="42" t="s">
        <v>286</v>
      </c>
      <c r="D474" s="42" t="s">
        <v>267</v>
      </c>
      <c r="E474" s="2">
        <v>850</v>
      </c>
      <c r="F474" s="2"/>
      <c r="G474" s="11"/>
      <c r="H474" s="11"/>
      <c r="I474" s="11"/>
      <c r="J474" s="11"/>
      <c r="K474" s="11"/>
      <c r="L474" s="11">
        <f>'Прил.№4 ведомств.'!M988</f>
        <v>40.9</v>
      </c>
      <c r="M474" s="11">
        <f>'Прил.№4 ведомств.'!N988</f>
        <v>37.5</v>
      </c>
      <c r="N474" s="7">
        <f t="shared" si="259"/>
        <v>91.68704156479218</v>
      </c>
    </row>
    <row r="475" spans="1:14" ht="15.75">
      <c r="A475" s="26" t="s">
        <v>603</v>
      </c>
      <c r="B475" s="21" t="s">
        <v>604</v>
      </c>
      <c r="C475" s="42" t="s">
        <v>286</v>
      </c>
      <c r="D475" s="42" t="s">
        <v>267</v>
      </c>
      <c r="E475" s="2"/>
      <c r="F475" s="2"/>
      <c r="G475" s="11">
        <f>G476</f>
        <v>3185.3</v>
      </c>
      <c r="H475" s="11">
        <f aca="true" t="shared" si="266" ref="H475:M476">H476</f>
        <v>100</v>
      </c>
      <c r="I475" s="11">
        <f t="shared" si="266"/>
        <v>4316.8</v>
      </c>
      <c r="J475" s="11">
        <f t="shared" si="266"/>
        <v>4360.4</v>
      </c>
      <c r="K475" s="11">
        <f t="shared" si="266"/>
        <v>6237.6</v>
      </c>
      <c r="L475" s="11">
        <f t="shared" si="266"/>
        <v>4316.8</v>
      </c>
      <c r="M475" s="11">
        <f t="shared" si="266"/>
        <v>0</v>
      </c>
      <c r="N475" s="7">
        <f t="shared" si="259"/>
        <v>0</v>
      </c>
    </row>
    <row r="476" spans="1:14" ht="31.5">
      <c r="A476" s="26" t="s">
        <v>183</v>
      </c>
      <c r="B476" s="21" t="s">
        <v>604</v>
      </c>
      <c r="C476" s="42" t="s">
        <v>286</v>
      </c>
      <c r="D476" s="42" t="s">
        <v>267</v>
      </c>
      <c r="E476" s="2">
        <v>200</v>
      </c>
      <c r="F476" s="2"/>
      <c r="G476" s="11">
        <f>G477</f>
        <v>3185.3</v>
      </c>
      <c r="H476" s="11">
        <f t="shared" si="266"/>
        <v>100</v>
      </c>
      <c r="I476" s="11">
        <f t="shared" si="266"/>
        <v>4316.8</v>
      </c>
      <c r="J476" s="11">
        <f t="shared" si="266"/>
        <v>4360.4</v>
      </c>
      <c r="K476" s="11">
        <f t="shared" si="266"/>
        <v>6237.6</v>
      </c>
      <c r="L476" s="11">
        <f t="shared" si="266"/>
        <v>4316.8</v>
      </c>
      <c r="M476" s="11">
        <f t="shared" si="266"/>
        <v>0</v>
      </c>
      <c r="N476" s="7">
        <f t="shared" si="259"/>
        <v>0</v>
      </c>
    </row>
    <row r="477" spans="1:14" ht="31.5">
      <c r="A477" s="26" t="s">
        <v>185</v>
      </c>
      <c r="B477" s="21" t="s">
        <v>604</v>
      </c>
      <c r="C477" s="42" t="s">
        <v>286</v>
      </c>
      <c r="D477" s="42" t="s">
        <v>267</v>
      </c>
      <c r="E477" s="2">
        <v>240</v>
      </c>
      <c r="F477" s="2"/>
      <c r="G477" s="11">
        <f>'Прил.№4 ведомств.'!G991</f>
        <v>3185.3</v>
      </c>
      <c r="H477" s="11">
        <f>'Прил.№4 ведомств.'!I991</f>
        <v>100</v>
      </c>
      <c r="I477" s="11">
        <f>'Прил.№4 ведомств.'!J991</f>
        <v>4316.8</v>
      </c>
      <c r="J477" s="11">
        <f>'Прил.№4 ведомств.'!K991</f>
        <v>4360.4</v>
      </c>
      <c r="K477" s="11">
        <f>'Прил.№4 ведомств.'!L991</f>
        <v>6237.6</v>
      </c>
      <c r="L477" s="11">
        <f>'Прил.№4 ведомств.'!M991</f>
        <v>4316.8</v>
      </c>
      <c r="M477" s="11">
        <f>'Прил.№4 ведомств.'!N991</f>
        <v>0</v>
      </c>
      <c r="N477" s="7">
        <f t="shared" si="259"/>
        <v>0</v>
      </c>
    </row>
    <row r="478" spans="1:14" ht="31.5">
      <c r="A478" s="26" t="s">
        <v>614</v>
      </c>
      <c r="B478" s="21" t="s">
        <v>978</v>
      </c>
      <c r="C478" s="42" t="s">
        <v>928</v>
      </c>
      <c r="D478" s="42" t="s">
        <v>267</v>
      </c>
      <c r="E478" s="2"/>
      <c r="F478" s="2"/>
      <c r="G478" s="11"/>
      <c r="H478" s="11"/>
      <c r="I478" s="11"/>
      <c r="J478" s="11"/>
      <c r="K478" s="11"/>
      <c r="L478" s="11">
        <f>L479</f>
        <v>2170.9</v>
      </c>
      <c r="M478" s="11">
        <f>M479</f>
        <v>2170.9</v>
      </c>
      <c r="N478" s="7">
        <f t="shared" si="259"/>
        <v>100</v>
      </c>
    </row>
    <row r="479" spans="1:14" ht="31.5">
      <c r="A479" s="26" t="s">
        <v>183</v>
      </c>
      <c r="B479" s="21" t="s">
        <v>978</v>
      </c>
      <c r="C479" s="42" t="s">
        <v>928</v>
      </c>
      <c r="D479" s="42" t="s">
        <v>267</v>
      </c>
      <c r="E479" s="2">
        <v>200</v>
      </c>
      <c r="F479" s="2"/>
      <c r="G479" s="11"/>
      <c r="H479" s="11"/>
      <c r="I479" s="11"/>
      <c r="J479" s="11"/>
      <c r="K479" s="11"/>
      <c r="L479" s="11">
        <f>L480</f>
        <v>2170.9</v>
      </c>
      <c r="M479" s="11">
        <f>M480</f>
        <v>2170.9</v>
      </c>
      <c r="N479" s="7">
        <f t="shared" si="259"/>
        <v>100</v>
      </c>
    </row>
    <row r="480" spans="1:14" ht="31.5">
      <c r="A480" s="26" t="s">
        <v>185</v>
      </c>
      <c r="B480" s="21" t="s">
        <v>978</v>
      </c>
      <c r="C480" s="42" t="s">
        <v>928</v>
      </c>
      <c r="D480" s="42" t="s">
        <v>267</v>
      </c>
      <c r="E480" s="2">
        <v>240</v>
      </c>
      <c r="F480" s="2"/>
      <c r="G480" s="11"/>
      <c r="H480" s="11"/>
      <c r="I480" s="11"/>
      <c r="J480" s="11"/>
      <c r="K480" s="11"/>
      <c r="L480" s="11">
        <f>'Прил.№4 ведомств.'!M994</f>
        <v>2170.9</v>
      </c>
      <c r="M480" s="11">
        <f>'Прил.№4 ведомств.'!N994</f>
        <v>2170.9</v>
      </c>
      <c r="N480" s="7">
        <f t="shared" si="259"/>
        <v>100</v>
      </c>
    </row>
    <row r="481" spans="1:14" ht="31.5">
      <c r="A481" s="47" t="s">
        <v>701</v>
      </c>
      <c r="B481" s="42" t="s">
        <v>598</v>
      </c>
      <c r="C481" s="42" t="s">
        <v>286</v>
      </c>
      <c r="D481" s="42" t="s">
        <v>267</v>
      </c>
      <c r="E481" s="2"/>
      <c r="F481" s="2">
        <v>908</v>
      </c>
      <c r="G481" s="11">
        <f>G464</f>
        <v>8697.3</v>
      </c>
      <c r="H481" s="11">
        <f aca="true" t="shared" si="267" ref="H481:L481">H464</f>
        <v>1853.4</v>
      </c>
      <c r="I481" s="11">
        <f t="shared" si="267"/>
        <v>11055.8</v>
      </c>
      <c r="J481" s="11">
        <f t="shared" si="267"/>
        <v>10998</v>
      </c>
      <c r="K481" s="11">
        <f t="shared" si="267"/>
        <v>12675.6</v>
      </c>
      <c r="L481" s="11">
        <f t="shared" si="267"/>
        <v>13226.699999999999</v>
      </c>
      <c r="M481" s="11">
        <f aca="true" t="shared" si="268" ref="M481">M464</f>
        <v>3062.2</v>
      </c>
      <c r="N481" s="7">
        <f t="shared" si="259"/>
        <v>23.151655363771763</v>
      </c>
    </row>
    <row r="482" spans="1:14" ht="47.25">
      <c r="A482" s="24" t="s">
        <v>605</v>
      </c>
      <c r="B482" s="8" t="s">
        <v>606</v>
      </c>
      <c r="C482" s="8"/>
      <c r="D482" s="8"/>
      <c r="E482" s="3"/>
      <c r="F482" s="3"/>
      <c r="G482" s="68">
        <f>G483</f>
        <v>3678.1999999999994</v>
      </c>
      <c r="H482" s="68">
        <f aca="true" t="shared" si="269" ref="H482:M483">H483</f>
        <v>1541.4</v>
      </c>
      <c r="I482" s="68">
        <f t="shared" si="269"/>
        <v>5067.2</v>
      </c>
      <c r="J482" s="68">
        <f t="shared" si="269"/>
        <v>5293.599999999999</v>
      </c>
      <c r="K482" s="68">
        <f t="shared" si="269"/>
        <v>5530.099999999999</v>
      </c>
      <c r="L482" s="68">
        <f t="shared" si="269"/>
        <v>5067.2</v>
      </c>
      <c r="M482" s="68">
        <f t="shared" si="269"/>
        <v>15.1</v>
      </c>
      <c r="N482" s="4">
        <f t="shared" si="259"/>
        <v>0.297994947900221</v>
      </c>
    </row>
    <row r="483" spans="1:14" ht="15.75">
      <c r="A483" s="84" t="s">
        <v>443</v>
      </c>
      <c r="B483" s="42" t="s">
        <v>606</v>
      </c>
      <c r="C483" s="42" t="s">
        <v>286</v>
      </c>
      <c r="D483" s="42"/>
      <c r="E483" s="2"/>
      <c r="F483" s="2"/>
      <c r="G483" s="11">
        <f>G484</f>
        <v>3678.1999999999994</v>
      </c>
      <c r="H483" s="11">
        <f t="shared" si="269"/>
        <v>1541.4</v>
      </c>
      <c r="I483" s="11">
        <f t="shared" si="269"/>
        <v>5067.2</v>
      </c>
      <c r="J483" s="11">
        <f t="shared" si="269"/>
        <v>5293.599999999999</v>
      </c>
      <c r="K483" s="11">
        <f t="shared" si="269"/>
        <v>5530.099999999999</v>
      </c>
      <c r="L483" s="11">
        <f t="shared" si="269"/>
        <v>5067.2</v>
      </c>
      <c r="M483" s="11">
        <f t="shared" si="269"/>
        <v>15.1</v>
      </c>
      <c r="N483" s="7">
        <f t="shared" si="259"/>
        <v>0.297994947900221</v>
      </c>
    </row>
    <row r="484" spans="1:14" ht="15.75">
      <c r="A484" s="84" t="s">
        <v>594</v>
      </c>
      <c r="B484" s="42" t="s">
        <v>606</v>
      </c>
      <c r="C484" s="42" t="s">
        <v>286</v>
      </c>
      <c r="D484" s="42" t="s">
        <v>267</v>
      </c>
      <c r="E484" s="2"/>
      <c r="F484" s="2"/>
      <c r="G484" s="11">
        <f>G485+G490+G493+G496</f>
        <v>3678.1999999999994</v>
      </c>
      <c r="H484" s="11">
        <f aca="true" t="shared" si="270" ref="H484:L484">H485+H490+H493+H496</f>
        <v>1541.4</v>
      </c>
      <c r="I484" s="11">
        <f t="shared" si="270"/>
        <v>5067.2</v>
      </c>
      <c r="J484" s="11">
        <f t="shared" si="270"/>
        <v>5293.599999999999</v>
      </c>
      <c r="K484" s="11">
        <f t="shared" si="270"/>
        <v>5530.099999999999</v>
      </c>
      <c r="L484" s="11">
        <f t="shared" si="270"/>
        <v>5067.2</v>
      </c>
      <c r="M484" s="11">
        <f aca="true" t="shared" si="271" ref="M484">M485+M490+M493+M496</f>
        <v>15.1</v>
      </c>
      <c r="N484" s="7">
        <f t="shared" si="259"/>
        <v>0.297994947900221</v>
      </c>
    </row>
    <row r="485" spans="1:14" ht="15.75">
      <c r="A485" s="26" t="s">
        <v>603</v>
      </c>
      <c r="B485" s="21" t="s">
        <v>607</v>
      </c>
      <c r="C485" s="42" t="s">
        <v>286</v>
      </c>
      <c r="D485" s="42" t="s">
        <v>267</v>
      </c>
      <c r="E485" s="2"/>
      <c r="F485" s="2"/>
      <c r="G485" s="11">
        <f>G486+G488</f>
        <v>1112.3999999999999</v>
      </c>
      <c r="H485" s="11">
        <f aca="true" t="shared" si="272" ref="H485:L485">H486+H488</f>
        <v>992.8</v>
      </c>
      <c r="I485" s="11">
        <f t="shared" si="272"/>
        <v>1364</v>
      </c>
      <c r="J485" s="11">
        <f t="shared" si="272"/>
        <v>1430.3</v>
      </c>
      <c r="K485" s="11">
        <f t="shared" si="272"/>
        <v>1500</v>
      </c>
      <c r="L485" s="11">
        <f t="shared" si="272"/>
        <v>1364</v>
      </c>
      <c r="M485" s="11">
        <f aca="true" t="shared" si="273" ref="M485">M486+M488</f>
        <v>0</v>
      </c>
      <c r="N485" s="7">
        <f t="shared" si="259"/>
        <v>0</v>
      </c>
    </row>
    <row r="486" spans="1:14" ht="78.75" hidden="1">
      <c r="A486" s="26" t="s">
        <v>179</v>
      </c>
      <c r="B486" s="21" t="s">
        <v>607</v>
      </c>
      <c r="C486" s="42" t="s">
        <v>286</v>
      </c>
      <c r="D486" s="42" t="s">
        <v>267</v>
      </c>
      <c r="E486" s="2">
        <v>100</v>
      </c>
      <c r="F486" s="2"/>
      <c r="G486" s="11">
        <f>G487</f>
        <v>892.8</v>
      </c>
      <c r="H486" s="11">
        <f aca="true" t="shared" si="274" ref="H486:M486">H487</f>
        <v>892.8</v>
      </c>
      <c r="I486" s="11">
        <f t="shared" si="274"/>
        <v>0</v>
      </c>
      <c r="J486" s="11">
        <f t="shared" si="274"/>
        <v>0</v>
      </c>
      <c r="K486" s="11">
        <f t="shared" si="274"/>
        <v>0</v>
      </c>
      <c r="L486" s="11">
        <f t="shared" si="274"/>
        <v>0</v>
      </c>
      <c r="M486" s="11">
        <f t="shared" si="274"/>
        <v>0</v>
      </c>
      <c r="N486" s="7" t="e">
        <f t="shared" si="259"/>
        <v>#DIV/0!</v>
      </c>
    </row>
    <row r="487" spans="1:14" ht="15.75" hidden="1">
      <c r="A487" s="48" t="s">
        <v>394</v>
      </c>
      <c r="B487" s="21" t="s">
        <v>607</v>
      </c>
      <c r="C487" s="42" t="s">
        <v>286</v>
      </c>
      <c r="D487" s="42" t="s">
        <v>267</v>
      </c>
      <c r="E487" s="2">
        <v>110</v>
      </c>
      <c r="F487" s="2"/>
      <c r="G487" s="11">
        <f>'Прил.№4 ведомств.'!G998</f>
        <v>892.8</v>
      </c>
      <c r="H487" s="11">
        <f>'Прил.№4 ведомств.'!I998</f>
        <v>892.8</v>
      </c>
      <c r="I487" s="11">
        <f>'Прил.№4 ведомств.'!J998</f>
        <v>0</v>
      </c>
      <c r="J487" s="11">
        <f>'Прил.№4 ведомств.'!K998</f>
        <v>0</v>
      </c>
      <c r="K487" s="11">
        <f>'Прил.№4 ведомств.'!L998</f>
        <v>0</v>
      </c>
      <c r="L487" s="11">
        <f>'Прил.№4 ведомств.'!M998</f>
        <v>0</v>
      </c>
      <c r="M487" s="11">
        <f>'Прил.№4 ведомств.'!N998</f>
        <v>0</v>
      </c>
      <c r="N487" s="7" t="e">
        <f t="shared" si="259"/>
        <v>#DIV/0!</v>
      </c>
    </row>
    <row r="488" spans="1:14" ht="31.5">
      <c r="A488" s="26" t="s">
        <v>183</v>
      </c>
      <c r="B488" s="21" t="s">
        <v>607</v>
      </c>
      <c r="C488" s="42" t="s">
        <v>286</v>
      </c>
      <c r="D488" s="42" t="s">
        <v>267</v>
      </c>
      <c r="E488" s="2">
        <v>200</v>
      </c>
      <c r="F488" s="2"/>
      <c r="G488" s="11">
        <f>G489</f>
        <v>219.6</v>
      </c>
      <c r="H488" s="11">
        <f aca="true" t="shared" si="275" ref="H488:M488">H489</f>
        <v>100</v>
      </c>
      <c r="I488" s="11">
        <f t="shared" si="275"/>
        <v>1364</v>
      </c>
      <c r="J488" s="11">
        <f t="shared" si="275"/>
        <v>1430.3</v>
      </c>
      <c r="K488" s="11">
        <f t="shared" si="275"/>
        <v>1500</v>
      </c>
      <c r="L488" s="11">
        <f t="shared" si="275"/>
        <v>1364</v>
      </c>
      <c r="M488" s="11">
        <f t="shared" si="275"/>
        <v>0</v>
      </c>
      <c r="N488" s="7">
        <f t="shared" si="259"/>
        <v>0</v>
      </c>
    </row>
    <row r="489" spans="1:14" ht="31.5">
      <c r="A489" s="26" t="s">
        <v>185</v>
      </c>
      <c r="B489" s="21" t="s">
        <v>607</v>
      </c>
      <c r="C489" s="42" t="s">
        <v>286</v>
      </c>
      <c r="D489" s="42" t="s">
        <v>267</v>
      </c>
      <c r="E489" s="2">
        <v>240</v>
      </c>
      <c r="F489" s="2"/>
      <c r="G489" s="11">
        <f>'Прил.№4 ведомств.'!G1000</f>
        <v>219.6</v>
      </c>
      <c r="H489" s="11">
        <f>'Прил.№4 ведомств.'!I1000</f>
        <v>100</v>
      </c>
      <c r="I489" s="11">
        <f>'Прил.№4 ведомств.'!J1000</f>
        <v>1364</v>
      </c>
      <c r="J489" s="11">
        <f>'Прил.№4 ведомств.'!K1000</f>
        <v>1430.3</v>
      </c>
      <c r="K489" s="11">
        <f>'Прил.№4 ведомств.'!L1000</f>
        <v>1500</v>
      </c>
      <c r="L489" s="11">
        <f>'Прил.№4 ведомств.'!M1000</f>
        <v>1364</v>
      </c>
      <c r="M489" s="11">
        <f>'Прил.№4 ведомств.'!N1000</f>
        <v>0</v>
      </c>
      <c r="N489" s="7">
        <f t="shared" si="259"/>
        <v>0</v>
      </c>
    </row>
    <row r="490" spans="1:14" ht="15.75">
      <c r="A490" s="26" t="s">
        <v>608</v>
      </c>
      <c r="B490" s="21" t="s">
        <v>609</v>
      </c>
      <c r="C490" s="42" t="s">
        <v>286</v>
      </c>
      <c r="D490" s="42" t="s">
        <v>267</v>
      </c>
      <c r="E490" s="2"/>
      <c r="F490" s="2"/>
      <c r="G490" s="11">
        <f>G491</f>
        <v>86.6</v>
      </c>
      <c r="H490" s="11">
        <f aca="true" t="shared" si="276" ref="H490:M491">H491</f>
        <v>0</v>
      </c>
      <c r="I490" s="11">
        <f t="shared" si="276"/>
        <v>115.8</v>
      </c>
      <c r="J490" s="11">
        <f t="shared" si="276"/>
        <v>121.6</v>
      </c>
      <c r="K490" s="11">
        <f t="shared" si="276"/>
        <v>127.6</v>
      </c>
      <c r="L490" s="11">
        <f t="shared" si="276"/>
        <v>115.8</v>
      </c>
      <c r="M490" s="11">
        <f t="shared" si="276"/>
        <v>0</v>
      </c>
      <c r="N490" s="7">
        <f t="shared" si="259"/>
        <v>0</v>
      </c>
    </row>
    <row r="491" spans="1:14" ht="31.5">
      <c r="A491" s="26" t="s">
        <v>183</v>
      </c>
      <c r="B491" s="21" t="s">
        <v>609</v>
      </c>
      <c r="C491" s="42" t="s">
        <v>286</v>
      </c>
      <c r="D491" s="42" t="s">
        <v>267</v>
      </c>
      <c r="E491" s="2">
        <v>200</v>
      </c>
      <c r="F491" s="2"/>
      <c r="G491" s="11">
        <f>G492</f>
        <v>86.6</v>
      </c>
      <c r="H491" s="11">
        <f t="shared" si="276"/>
        <v>0</v>
      </c>
      <c r="I491" s="11">
        <f t="shared" si="276"/>
        <v>115.8</v>
      </c>
      <c r="J491" s="11">
        <f t="shared" si="276"/>
        <v>121.6</v>
      </c>
      <c r="K491" s="11">
        <f t="shared" si="276"/>
        <v>127.6</v>
      </c>
      <c r="L491" s="11">
        <f t="shared" si="276"/>
        <v>115.8</v>
      </c>
      <c r="M491" s="11">
        <f t="shared" si="276"/>
        <v>0</v>
      </c>
      <c r="N491" s="7">
        <f t="shared" si="259"/>
        <v>0</v>
      </c>
    </row>
    <row r="492" spans="1:14" ht="31.5">
      <c r="A492" s="26" t="s">
        <v>185</v>
      </c>
      <c r="B492" s="21" t="s">
        <v>609</v>
      </c>
      <c r="C492" s="42" t="s">
        <v>286</v>
      </c>
      <c r="D492" s="42" t="s">
        <v>267</v>
      </c>
      <c r="E492" s="2">
        <v>240</v>
      </c>
      <c r="F492" s="2"/>
      <c r="G492" s="11">
        <f>'Прил.№4 ведомств.'!G1003</f>
        <v>86.6</v>
      </c>
      <c r="H492" s="11">
        <f>'Прил.№4 ведомств.'!I1003</f>
        <v>0</v>
      </c>
      <c r="I492" s="11">
        <f>'Прил.№4 ведомств.'!J1003</f>
        <v>115.8</v>
      </c>
      <c r="J492" s="11">
        <f>'Прил.№4 ведомств.'!K1003</f>
        <v>121.6</v>
      </c>
      <c r="K492" s="11">
        <f>'Прил.№4 ведомств.'!L1003</f>
        <v>127.6</v>
      </c>
      <c r="L492" s="11">
        <f>'Прил.№4 ведомств.'!M1003</f>
        <v>115.8</v>
      </c>
      <c r="M492" s="11">
        <f>'Прил.№4 ведомств.'!N1003</f>
        <v>0</v>
      </c>
      <c r="N492" s="7">
        <f t="shared" si="259"/>
        <v>0</v>
      </c>
    </row>
    <row r="493" spans="1:14" ht="47.25">
      <c r="A493" s="47" t="s">
        <v>610</v>
      </c>
      <c r="B493" s="21" t="s">
        <v>611</v>
      </c>
      <c r="C493" s="42" t="s">
        <v>286</v>
      </c>
      <c r="D493" s="42" t="s">
        <v>267</v>
      </c>
      <c r="E493" s="2"/>
      <c r="F493" s="2"/>
      <c r="G493" s="11">
        <f>G494</f>
        <v>2130.6</v>
      </c>
      <c r="H493" s="11">
        <f aca="true" t="shared" si="277" ref="H493:M494">H494</f>
        <v>200</v>
      </c>
      <c r="I493" s="11">
        <f t="shared" si="277"/>
        <v>3124.2</v>
      </c>
      <c r="J493" s="11">
        <f t="shared" si="277"/>
        <v>3258.5</v>
      </c>
      <c r="K493" s="11">
        <f t="shared" si="277"/>
        <v>3398.6</v>
      </c>
      <c r="L493" s="11">
        <f t="shared" si="277"/>
        <v>3124.2</v>
      </c>
      <c r="M493" s="11">
        <f t="shared" si="277"/>
        <v>0</v>
      </c>
      <c r="N493" s="7">
        <f t="shared" si="259"/>
        <v>0</v>
      </c>
    </row>
    <row r="494" spans="1:14" ht="31.5">
      <c r="A494" s="26" t="s">
        <v>183</v>
      </c>
      <c r="B494" s="21" t="s">
        <v>611</v>
      </c>
      <c r="C494" s="42" t="s">
        <v>286</v>
      </c>
      <c r="D494" s="42" t="s">
        <v>267</v>
      </c>
      <c r="E494" s="2">
        <v>200</v>
      </c>
      <c r="F494" s="2"/>
      <c r="G494" s="11">
        <f>G495</f>
        <v>2130.6</v>
      </c>
      <c r="H494" s="11">
        <f t="shared" si="277"/>
        <v>200</v>
      </c>
      <c r="I494" s="11">
        <f t="shared" si="277"/>
        <v>3124.2</v>
      </c>
      <c r="J494" s="11">
        <f t="shared" si="277"/>
        <v>3258.5</v>
      </c>
      <c r="K494" s="11">
        <f t="shared" si="277"/>
        <v>3398.6</v>
      </c>
      <c r="L494" s="11">
        <f t="shared" si="277"/>
        <v>3124.2</v>
      </c>
      <c r="M494" s="11">
        <f t="shared" si="277"/>
        <v>0</v>
      </c>
      <c r="N494" s="7">
        <f t="shared" si="259"/>
        <v>0</v>
      </c>
    </row>
    <row r="495" spans="1:14" ht="31.5">
      <c r="A495" s="26" t="s">
        <v>185</v>
      </c>
      <c r="B495" s="21" t="s">
        <v>611</v>
      </c>
      <c r="C495" s="42" t="s">
        <v>286</v>
      </c>
      <c r="D495" s="42" t="s">
        <v>267</v>
      </c>
      <c r="E495" s="2">
        <v>240</v>
      </c>
      <c r="F495" s="2"/>
      <c r="G495" s="11">
        <f>'Прил.№4 ведомств.'!G1006</f>
        <v>2130.6</v>
      </c>
      <c r="H495" s="11">
        <f>'Прил.№4 ведомств.'!I1006</f>
        <v>200</v>
      </c>
      <c r="I495" s="11">
        <f>'Прил.№4 ведомств.'!J1006</f>
        <v>3124.2</v>
      </c>
      <c r="J495" s="11">
        <f>'Прил.№4 ведомств.'!K1006</f>
        <v>3258.5</v>
      </c>
      <c r="K495" s="11">
        <f>'Прил.№4 ведомств.'!L1006</f>
        <v>3398.6</v>
      </c>
      <c r="L495" s="11">
        <f>'Прил.№4 ведомств.'!M1006</f>
        <v>3124.2</v>
      </c>
      <c r="M495" s="11">
        <f>'Прил.№4 ведомств.'!N1006</f>
        <v>0</v>
      </c>
      <c r="N495" s="7">
        <f t="shared" si="259"/>
        <v>0</v>
      </c>
    </row>
    <row r="496" spans="1:14" ht="15.75">
      <c r="A496" s="47" t="s">
        <v>612</v>
      </c>
      <c r="B496" s="21" t="s">
        <v>613</v>
      </c>
      <c r="C496" s="42" t="s">
        <v>286</v>
      </c>
      <c r="D496" s="42" t="s">
        <v>267</v>
      </c>
      <c r="E496" s="2"/>
      <c r="F496" s="2"/>
      <c r="G496" s="11">
        <f>G497</f>
        <v>348.6</v>
      </c>
      <c r="H496" s="11">
        <f aca="true" t="shared" si="278" ref="H496:M497">H497</f>
        <v>348.6</v>
      </c>
      <c r="I496" s="11">
        <f t="shared" si="278"/>
        <v>463.2</v>
      </c>
      <c r="J496" s="11">
        <f t="shared" si="278"/>
        <v>483.2</v>
      </c>
      <c r="K496" s="11">
        <f t="shared" si="278"/>
        <v>503.9</v>
      </c>
      <c r="L496" s="11">
        <f t="shared" si="278"/>
        <v>463.2</v>
      </c>
      <c r="M496" s="11">
        <f t="shared" si="278"/>
        <v>15.1</v>
      </c>
      <c r="N496" s="7">
        <f t="shared" si="259"/>
        <v>3.25993091537133</v>
      </c>
    </row>
    <row r="497" spans="1:14" ht="31.5">
      <c r="A497" s="26" t="s">
        <v>183</v>
      </c>
      <c r="B497" s="21" t="s">
        <v>613</v>
      </c>
      <c r="C497" s="42" t="s">
        <v>286</v>
      </c>
      <c r="D497" s="42" t="s">
        <v>267</v>
      </c>
      <c r="E497" s="2">
        <v>200</v>
      </c>
      <c r="F497" s="2"/>
      <c r="G497" s="11">
        <f>G498</f>
        <v>348.6</v>
      </c>
      <c r="H497" s="11">
        <f t="shared" si="278"/>
        <v>348.6</v>
      </c>
      <c r="I497" s="11">
        <f t="shared" si="278"/>
        <v>463.2</v>
      </c>
      <c r="J497" s="11">
        <f t="shared" si="278"/>
        <v>483.2</v>
      </c>
      <c r="K497" s="11">
        <f t="shared" si="278"/>
        <v>503.9</v>
      </c>
      <c r="L497" s="11">
        <f t="shared" si="278"/>
        <v>463.2</v>
      </c>
      <c r="M497" s="11">
        <f t="shared" si="278"/>
        <v>15.1</v>
      </c>
      <c r="N497" s="7">
        <f t="shared" si="259"/>
        <v>3.25993091537133</v>
      </c>
    </row>
    <row r="498" spans="1:14" ht="31.5">
      <c r="A498" s="26" t="s">
        <v>185</v>
      </c>
      <c r="B498" s="21" t="s">
        <v>613</v>
      </c>
      <c r="C498" s="42" t="s">
        <v>286</v>
      </c>
      <c r="D498" s="42" t="s">
        <v>267</v>
      </c>
      <c r="E498" s="2">
        <v>240</v>
      </c>
      <c r="F498" s="2"/>
      <c r="G498" s="11">
        <f>'Прил.№4 ведомств.'!G1009</f>
        <v>348.6</v>
      </c>
      <c r="H498" s="11">
        <f>'Прил.№4 ведомств.'!I1009</f>
        <v>348.6</v>
      </c>
      <c r="I498" s="11">
        <f>'Прил.№4 ведомств.'!J1009</f>
        <v>463.2</v>
      </c>
      <c r="J498" s="11">
        <f>'Прил.№4 ведомств.'!K1009</f>
        <v>483.2</v>
      </c>
      <c r="K498" s="11">
        <f>'Прил.№4 ведомств.'!L1009</f>
        <v>503.9</v>
      </c>
      <c r="L498" s="11">
        <f>'Прил.№4 ведомств.'!M1009</f>
        <v>463.2</v>
      </c>
      <c r="M498" s="11">
        <f>'Прил.№4 ведомств.'!N1009</f>
        <v>15.1</v>
      </c>
      <c r="N498" s="7">
        <f t="shared" si="259"/>
        <v>3.25993091537133</v>
      </c>
    </row>
    <row r="499" spans="1:14" ht="31.5">
      <c r="A499" s="47" t="s">
        <v>701</v>
      </c>
      <c r="B499" s="21" t="s">
        <v>606</v>
      </c>
      <c r="C499" s="42" t="s">
        <v>286</v>
      </c>
      <c r="D499" s="42" t="s">
        <v>267</v>
      </c>
      <c r="E499" s="2"/>
      <c r="F499" s="2">
        <v>908</v>
      </c>
      <c r="G499" s="11">
        <f>G482</f>
        <v>3678.1999999999994</v>
      </c>
      <c r="H499" s="11">
        <f aca="true" t="shared" si="279" ref="H499:L499">H482</f>
        <v>1541.4</v>
      </c>
      <c r="I499" s="11">
        <f t="shared" si="279"/>
        <v>5067.2</v>
      </c>
      <c r="J499" s="11">
        <f t="shared" si="279"/>
        <v>5293.599999999999</v>
      </c>
      <c r="K499" s="11">
        <f t="shared" si="279"/>
        <v>5530.099999999999</v>
      </c>
      <c r="L499" s="11">
        <f t="shared" si="279"/>
        <v>5067.2</v>
      </c>
      <c r="M499" s="11">
        <f aca="true" t="shared" si="280" ref="M499">M482</f>
        <v>15.1</v>
      </c>
      <c r="N499" s="7">
        <f t="shared" si="259"/>
        <v>0.297994947900221</v>
      </c>
    </row>
    <row r="500" spans="1:14" ht="47.25">
      <c r="A500" s="36" t="s">
        <v>233</v>
      </c>
      <c r="B500" s="269" t="s">
        <v>234</v>
      </c>
      <c r="C500" s="8"/>
      <c r="D500" s="8"/>
      <c r="E500" s="8"/>
      <c r="F500" s="3"/>
      <c r="G500" s="68">
        <f>G501+G507</f>
        <v>120</v>
      </c>
      <c r="H500" s="68">
        <f aca="true" t="shared" si="281" ref="H500:L500">H501+H507</f>
        <v>120</v>
      </c>
      <c r="I500" s="68">
        <f t="shared" si="281"/>
        <v>100</v>
      </c>
      <c r="J500" s="68">
        <f t="shared" si="281"/>
        <v>100</v>
      </c>
      <c r="K500" s="68">
        <f t="shared" si="281"/>
        <v>100</v>
      </c>
      <c r="L500" s="68">
        <f t="shared" si="281"/>
        <v>120</v>
      </c>
      <c r="M500" s="68">
        <f aca="true" t="shared" si="282" ref="M500">M501+M507</f>
        <v>11</v>
      </c>
      <c r="N500" s="4">
        <f t="shared" si="259"/>
        <v>9.166666666666666</v>
      </c>
    </row>
    <row r="501" spans="1:14" ht="15.75" hidden="1">
      <c r="A501" s="26" t="s">
        <v>169</v>
      </c>
      <c r="B501" s="6" t="s">
        <v>234</v>
      </c>
      <c r="C501" s="42" t="s">
        <v>170</v>
      </c>
      <c r="D501" s="42"/>
      <c r="E501" s="42"/>
      <c r="F501" s="2"/>
      <c r="G501" s="11">
        <f>G502</f>
        <v>120</v>
      </c>
      <c r="H501" s="11">
        <f aca="true" t="shared" si="283" ref="H501:M504">H502</f>
        <v>120</v>
      </c>
      <c r="I501" s="11">
        <f t="shared" si="283"/>
        <v>0</v>
      </c>
      <c r="J501" s="11">
        <f t="shared" si="283"/>
        <v>0</v>
      </c>
      <c r="K501" s="11">
        <f t="shared" si="283"/>
        <v>0</v>
      </c>
      <c r="L501" s="11">
        <f t="shared" si="283"/>
        <v>0</v>
      </c>
      <c r="M501" s="11">
        <f t="shared" si="283"/>
        <v>0</v>
      </c>
      <c r="N501" s="4" t="e">
        <f t="shared" si="259"/>
        <v>#DIV/0!</v>
      </c>
    </row>
    <row r="502" spans="1:14" ht="15.75" hidden="1">
      <c r="A502" s="26" t="s">
        <v>191</v>
      </c>
      <c r="B502" s="32" t="s">
        <v>234</v>
      </c>
      <c r="C502" s="42" t="s">
        <v>170</v>
      </c>
      <c r="D502" s="42" t="s">
        <v>192</v>
      </c>
      <c r="E502" s="42"/>
      <c r="F502" s="2"/>
      <c r="G502" s="11">
        <f>G503</f>
        <v>120</v>
      </c>
      <c r="H502" s="11">
        <f t="shared" si="283"/>
        <v>120</v>
      </c>
      <c r="I502" s="11">
        <f t="shared" si="283"/>
        <v>0</v>
      </c>
      <c r="J502" s="11">
        <f t="shared" si="283"/>
        <v>0</v>
      </c>
      <c r="K502" s="11">
        <f t="shared" si="283"/>
        <v>0</v>
      </c>
      <c r="L502" s="11">
        <f t="shared" si="283"/>
        <v>0</v>
      </c>
      <c r="M502" s="11">
        <f t="shared" si="283"/>
        <v>0</v>
      </c>
      <c r="N502" s="4" t="e">
        <f t="shared" si="259"/>
        <v>#DIV/0!</v>
      </c>
    </row>
    <row r="503" spans="1:14" ht="31.5" hidden="1">
      <c r="A503" s="31" t="s">
        <v>209</v>
      </c>
      <c r="B503" s="21" t="s">
        <v>235</v>
      </c>
      <c r="C503" s="42" t="s">
        <v>170</v>
      </c>
      <c r="D503" s="42" t="s">
        <v>192</v>
      </c>
      <c r="E503" s="42"/>
      <c r="F503" s="2"/>
      <c r="G503" s="11">
        <f>G504</f>
        <v>120</v>
      </c>
      <c r="H503" s="11">
        <f t="shared" si="283"/>
        <v>120</v>
      </c>
      <c r="I503" s="11">
        <f t="shared" si="283"/>
        <v>0</v>
      </c>
      <c r="J503" s="11">
        <f t="shared" si="283"/>
        <v>0</v>
      </c>
      <c r="K503" s="11">
        <f t="shared" si="283"/>
        <v>0</v>
      </c>
      <c r="L503" s="11">
        <f t="shared" si="283"/>
        <v>0</v>
      </c>
      <c r="M503" s="11">
        <f t="shared" si="283"/>
        <v>0</v>
      </c>
      <c r="N503" s="4" t="e">
        <f t="shared" si="259"/>
        <v>#DIV/0!</v>
      </c>
    </row>
    <row r="504" spans="1:14" ht="31.5" hidden="1">
      <c r="A504" s="31" t="s">
        <v>183</v>
      </c>
      <c r="B504" s="21" t="s">
        <v>235</v>
      </c>
      <c r="C504" s="42" t="s">
        <v>170</v>
      </c>
      <c r="D504" s="42" t="s">
        <v>192</v>
      </c>
      <c r="E504" s="42" t="s">
        <v>197</v>
      </c>
      <c r="F504" s="2"/>
      <c r="G504" s="11">
        <f>G505</f>
        <v>120</v>
      </c>
      <c r="H504" s="11">
        <f t="shared" si="283"/>
        <v>120</v>
      </c>
      <c r="I504" s="11">
        <f t="shared" si="283"/>
        <v>0</v>
      </c>
      <c r="J504" s="11">
        <f t="shared" si="283"/>
        <v>0</v>
      </c>
      <c r="K504" s="11">
        <f t="shared" si="283"/>
        <v>0</v>
      </c>
      <c r="L504" s="11">
        <f t="shared" si="283"/>
        <v>0</v>
      </c>
      <c r="M504" s="11">
        <f t="shared" si="283"/>
        <v>0</v>
      </c>
      <c r="N504" s="4" t="e">
        <f t="shared" si="259"/>
        <v>#DIV/0!</v>
      </c>
    </row>
    <row r="505" spans="1:14" ht="47.25" hidden="1">
      <c r="A505" s="31" t="s">
        <v>236</v>
      </c>
      <c r="B505" s="21" t="s">
        <v>235</v>
      </c>
      <c r="C505" s="42" t="s">
        <v>170</v>
      </c>
      <c r="D505" s="42" t="s">
        <v>192</v>
      </c>
      <c r="E505" s="42" t="s">
        <v>212</v>
      </c>
      <c r="F505" s="2"/>
      <c r="G505" s="11">
        <f>'Прил.№4 ведомств.'!G96</f>
        <v>120</v>
      </c>
      <c r="H505" s="11">
        <f>'Прил.№4 ведомств.'!I96</f>
        <v>120</v>
      </c>
      <c r="I505" s="11">
        <f>'Прил.№4 ведомств.'!J96</f>
        <v>0</v>
      </c>
      <c r="J505" s="11">
        <f>'Прил.№4 ведомств.'!K96</f>
        <v>0</v>
      </c>
      <c r="K505" s="11">
        <f>'Прил.№4 ведомств.'!L96</f>
        <v>0</v>
      </c>
      <c r="L505" s="11">
        <f>'Прил.№4 ведомств.'!M96</f>
        <v>0</v>
      </c>
      <c r="M505" s="11">
        <f>'Прил.№4 ведомств.'!N96</f>
        <v>0</v>
      </c>
      <c r="N505" s="4" t="e">
        <f t="shared" si="259"/>
        <v>#DIV/0!</v>
      </c>
    </row>
    <row r="506" spans="1:14" ht="15.75" hidden="1">
      <c r="A506" s="31" t="s">
        <v>200</v>
      </c>
      <c r="B506" s="32" t="s">
        <v>234</v>
      </c>
      <c r="C506" s="42" t="s">
        <v>170</v>
      </c>
      <c r="D506" s="42" t="s">
        <v>192</v>
      </c>
      <c r="E506" s="42"/>
      <c r="F506" s="2">
        <v>902</v>
      </c>
      <c r="G506" s="11">
        <f>G500</f>
        <v>120</v>
      </c>
      <c r="H506" s="11">
        <f aca="true" t="shared" si="284" ref="H506:K506">H500</f>
        <v>120</v>
      </c>
      <c r="I506" s="11">
        <f t="shared" si="284"/>
        <v>100</v>
      </c>
      <c r="J506" s="11">
        <f t="shared" si="284"/>
        <v>100</v>
      </c>
      <c r="K506" s="11">
        <f t="shared" si="284"/>
        <v>100</v>
      </c>
      <c r="L506" s="11">
        <f>L501</f>
        <v>0</v>
      </c>
      <c r="M506" s="11">
        <f>M501</f>
        <v>0</v>
      </c>
      <c r="N506" s="4" t="e">
        <f t="shared" si="259"/>
        <v>#DIV/0!</v>
      </c>
    </row>
    <row r="507" spans="1:14" ht="15.75">
      <c r="A507" s="31" t="s">
        <v>284</v>
      </c>
      <c r="B507" s="6" t="s">
        <v>234</v>
      </c>
      <c r="C507" s="42" t="s">
        <v>202</v>
      </c>
      <c r="D507" s="42"/>
      <c r="E507" s="42"/>
      <c r="F507" s="2"/>
      <c r="G507" s="11">
        <f>G508</f>
        <v>0</v>
      </c>
      <c r="H507" s="11">
        <f aca="true" t="shared" si="285" ref="H507:M510">H508</f>
        <v>0</v>
      </c>
      <c r="I507" s="11">
        <f t="shared" si="285"/>
        <v>100</v>
      </c>
      <c r="J507" s="11">
        <f t="shared" si="285"/>
        <v>100</v>
      </c>
      <c r="K507" s="11">
        <f t="shared" si="285"/>
        <v>100</v>
      </c>
      <c r="L507" s="11">
        <f t="shared" si="285"/>
        <v>120</v>
      </c>
      <c r="M507" s="11">
        <f t="shared" si="285"/>
        <v>11</v>
      </c>
      <c r="N507" s="7">
        <f t="shared" si="259"/>
        <v>9.166666666666666</v>
      </c>
    </row>
    <row r="508" spans="1:14" ht="15.75">
      <c r="A508" s="31" t="s">
        <v>285</v>
      </c>
      <c r="B508" s="32" t="s">
        <v>234</v>
      </c>
      <c r="C508" s="42" t="s">
        <v>202</v>
      </c>
      <c r="D508" s="42" t="s">
        <v>286</v>
      </c>
      <c r="E508" s="42"/>
      <c r="F508" s="2"/>
      <c r="G508" s="11">
        <f>G509</f>
        <v>0</v>
      </c>
      <c r="H508" s="11">
        <f t="shared" si="285"/>
        <v>0</v>
      </c>
      <c r="I508" s="11">
        <f t="shared" si="285"/>
        <v>100</v>
      </c>
      <c r="J508" s="11">
        <f t="shared" si="285"/>
        <v>100</v>
      </c>
      <c r="K508" s="11">
        <f t="shared" si="285"/>
        <v>100</v>
      </c>
      <c r="L508" s="11">
        <f>L509+L512</f>
        <v>120</v>
      </c>
      <c r="M508" s="11">
        <f>M509+M512</f>
        <v>11</v>
      </c>
      <c r="N508" s="7">
        <f t="shared" si="259"/>
        <v>9.166666666666666</v>
      </c>
    </row>
    <row r="509" spans="1:14" ht="31.5">
      <c r="A509" s="31" t="s">
        <v>209</v>
      </c>
      <c r="B509" s="21" t="s">
        <v>235</v>
      </c>
      <c r="C509" s="42" t="s">
        <v>202</v>
      </c>
      <c r="D509" s="42" t="s">
        <v>286</v>
      </c>
      <c r="E509" s="42"/>
      <c r="F509" s="2"/>
      <c r="G509" s="11">
        <f>G510</f>
        <v>0</v>
      </c>
      <c r="H509" s="11">
        <f t="shared" si="285"/>
        <v>0</v>
      </c>
      <c r="I509" s="11">
        <f t="shared" si="285"/>
        <v>100</v>
      </c>
      <c r="J509" s="11">
        <f t="shared" si="285"/>
        <v>100</v>
      </c>
      <c r="K509" s="11">
        <f t="shared" si="285"/>
        <v>100</v>
      </c>
      <c r="L509" s="11">
        <f t="shared" si="285"/>
        <v>119</v>
      </c>
      <c r="M509" s="11">
        <f t="shared" si="285"/>
        <v>10</v>
      </c>
      <c r="N509" s="7">
        <f t="shared" si="259"/>
        <v>8.403361344537815</v>
      </c>
    </row>
    <row r="510" spans="1:14" ht="31.5">
      <c r="A510" s="31" t="s">
        <v>183</v>
      </c>
      <c r="B510" s="21" t="s">
        <v>235</v>
      </c>
      <c r="C510" s="42" t="s">
        <v>202</v>
      </c>
      <c r="D510" s="42" t="s">
        <v>286</v>
      </c>
      <c r="E510" s="42" t="s">
        <v>197</v>
      </c>
      <c r="F510" s="2"/>
      <c r="G510" s="11">
        <f>G511</f>
        <v>0</v>
      </c>
      <c r="H510" s="11">
        <f t="shared" si="285"/>
        <v>0</v>
      </c>
      <c r="I510" s="11">
        <f t="shared" si="285"/>
        <v>100</v>
      </c>
      <c r="J510" s="11">
        <f t="shared" si="285"/>
        <v>100</v>
      </c>
      <c r="K510" s="11">
        <f t="shared" si="285"/>
        <v>100</v>
      </c>
      <c r="L510" s="11">
        <f t="shared" si="285"/>
        <v>119</v>
      </c>
      <c r="M510" s="11">
        <f t="shared" si="285"/>
        <v>10</v>
      </c>
      <c r="N510" s="7">
        <f t="shared" si="259"/>
        <v>8.403361344537815</v>
      </c>
    </row>
    <row r="511" spans="1:14" ht="47.25">
      <c r="A511" s="31" t="s">
        <v>236</v>
      </c>
      <c r="B511" s="21" t="s">
        <v>235</v>
      </c>
      <c r="C511" s="42" t="s">
        <v>202</v>
      </c>
      <c r="D511" s="42" t="s">
        <v>286</v>
      </c>
      <c r="E511" s="42" t="s">
        <v>212</v>
      </c>
      <c r="F511" s="2"/>
      <c r="G511" s="11">
        <v>0</v>
      </c>
      <c r="H511" s="11">
        <v>0</v>
      </c>
      <c r="I511" s="11">
        <v>100</v>
      </c>
      <c r="J511" s="11">
        <v>100</v>
      </c>
      <c r="K511" s="11">
        <v>100</v>
      </c>
      <c r="L511" s="11">
        <f>'Прил.№4 ведомств.'!M191</f>
        <v>119</v>
      </c>
      <c r="M511" s="11">
        <f>'Прил.№4 ведомств.'!N191</f>
        <v>10</v>
      </c>
      <c r="N511" s="7">
        <f t="shared" si="259"/>
        <v>8.403361344537815</v>
      </c>
    </row>
    <row r="512" spans="1:14" ht="31.5">
      <c r="A512" s="26" t="s">
        <v>974</v>
      </c>
      <c r="B512" s="21" t="s">
        <v>976</v>
      </c>
      <c r="C512" s="42" t="s">
        <v>202</v>
      </c>
      <c r="D512" s="42" t="s">
        <v>286</v>
      </c>
      <c r="E512" s="42"/>
      <c r="F512" s="2"/>
      <c r="G512" s="11"/>
      <c r="H512" s="11"/>
      <c r="I512" s="11"/>
      <c r="J512" s="11"/>
      <c r="K512" s="11"/>
      <c r="L512" s="11">
        <f>L513</f>
        <v>1</v>
      </c>
      <c r="M512" s="11">
        <f>M513</f>
        <v>1</v>
      </c>
      <c r="N512" s="7">
        <f t="shared" si="259"/>
        <v>100</v>
      </c>
    </row>
    <row r="513" spans="1:14" ht="15.75">
      <c r="A513" s="31" t="s">
        <v>187</v>
      </c>
      <c r="B513" s="21" t="s">
        <v>976</v>
      </c>
      <c r="C513" s="42" t="s">
        <v>202</v>
      </c>
      <c r="D513" s="42" t="s">
        <v>286</v>
      </c>
      <c r="E513" s="42" t="s">
        <v>197</v>
      </c>
      <c r="F513" s="2"/>
      <c r="G513" s="11"/>
      <c r="H513" s="11"/>
      <c r="I513" s="11"/>
      <c r="J513" s="11"/>
      <c r="K513" s="11"/>
      <c r="L513" s="11">
        <f>L514</f>
        <v>1</v>
      </c>
      <c r="M513" s="11">
        <f>M514</f>
        <v>1</v>
      </c>
      <c r="N513" s="7">
        <f t="shared" si="259"/>
        <v>100</v>
      </c>
    </row>
    <row r="514" spans="1:14" ht="47.25">
      <c r="A514" s="31" t="s">
        <v>236</v>
      </c>
      <c r="B514" s="21" t="s">
        <v>976</v>
      </c>
      <c r="C514" s="42" t="s">
        <v>202</v>
      </c>
      <c r="D514" s="42" t="s">
        <v>286</v>
      </c>
      <c r="E514" s="42" t="s">
        <v>212</v>
      </c>
      <c r="F514" s="2"/>
      <c r="G514" s="11"/>
      <c r="H514" s="11"/>
      <c r="I514" s="11"/>
      <c r="J514" s="11"/>
      <c r="K514" s="11"/>
      <c r="L514" s="11">
        <f>'Прил.№4 ведомств.'!M194</f>
        <v>1</v>
      </c>
      <c r="M514" s="11">
        <f>'Прил.№4 ведомств.'!N194</f>
        <v>1</v>
      </c>
      <c r="N514" s="7">
        <f t="shared" si="259"/>
        <v>100</v>
      </c>
    </row>
    <row r="515" spans="1:14" ht="15.75">
      <c r="A515" s="31" t="s">
        <v>200</v>
      </c>
      <c r="B515" s="32" t="s">
        <v>234</v>
      </c>
      <c r="C515" s="42" t="s">
        <v>202</v>
      </c>
      <c r="D515" s="42" t="s">
        <v>286</v>
      </c>
      <c r="E515" s="42"/>
      <c r="F515" s="2">
        <v>902</v>
      </c>
      <c r="G515" s="11">
        <f>G507</f>
        <v>0</v>
      </c>
      <c r="H515" s="11">
        <f aca="true" t="shared" si="286" ref="H515:L515">H507</f>
        <v>0</v>
      </c>
      <c r="I515" s="11">
        <f t="shared" si="286"/>
        <v>100</v>
      </c>
      <c r="J515" s="11">
        <f t="shared" si="286"/>
        <v>100</v>
      </c>
      <c r="K515" s="11">
        <f t="shared" si="286"/>
        <v>100</v>
      </c>
      <c r="L515" s="11">
        <f t="shared" si="286"/>
        <v>120</v>
      </c>
      <c r="M515" s="11">
        <f aca="true" t="shared" si="287" ref="M515">M507</f>
        <v>11</v>
      </c>
      <c r="N515" s="7">
        <f t="shared" si="259"/>
        <v>9.166666666666666</v>
      </c>
    </row>
    <row r="516" spans="1:14" ht="63">
      <c r="A516" s="43" t="s">
        <v>734</v>
      </c>
      <c r="B516" s="8" t="s">
        <v>571</v>
      </c>
      <c r="C516" s="8"/>
      <c r="D516" s="8"/>
      <c r="E516" s="83"/>
      <c r="F516" s="3"/>
      <c r="G516" s="68">
        <f>G517</f>
        <v>5427.9</v>
      </c>
      <c r="H516" s="68">
        <f aca="true" t="shared" si="288" ref="H516:M517">H517</f>
        <v>5427.9</v>
      </c>
      <c r="I516" s="68">
        <f t="shared" si="288"/>
        <v>967</v>
      </c>
      <c r="J516" s="68">
        <f t="shared" si="288"/>
        <v>967</v>
      </c>
      <c r="K516" s="68">
        <f t="shared" si="288"/>
        <v>967</v>
      </c>
      <c r="L516" s="68">
        <f t="shared" si="288"/>
        <v>5125.1</v>
      </c>
      <c r="M516" s="68">
        <f t="shared" si="288"/>
        <v>2009.2999999999997</v>
      </c>
      <c r="N516" s="4">
        <f t="shared" si="259"/>
        <v>39.20508868119646</v>
      </c>
    </row>
    <row r="517" spans="1:14" ht="15.75">
      <c r="A517" s="31" t="s">
        <v>443</v>
      </c>
      <c r="B517" s="42" t="s">
        <v>571</v>
      </c>
      <c r="C517" s="42" t="s">
        <v>286</v>
      </c>
      <c r="D517" s="42"/>
      <c r="E517" s="84"/>
      <c r="F517" s="2"/>
      <c r="G517" s="11">
        <f>G518</f>
        <v>5427.9</v>
      </c>
      <c r="H517" s="11">
        <f t="shared" si="288"/>
        <v>5427.9</v>
      </c>
      <c r="I517" s="11">
        <f t="shared" si="288"/>
        <v>967</v>
      </c>
      <c r="J517" s="11">
        <f t="shared" si="288"/>
        <v>967</v>
      </c>
      <c r="K517" s="11">
        <f t="shared" si="288"/>
        <v>967</v>
      </c>
      <c r="L517" s="11">
        <f t="shared" si="288"/>
        <v>5125.1</v>
      </c>
      <c r="M517" s="11">
        <f t="shared" si="288"/>
        <v>2009.2999999999997</v>
      </c>
      <c r="N517" s="7">
        <f t="shared" si="259"/>
        <v>39.20508868119646</v>
      </c>
    </row>
    <row r="518" spans="1:14" ht="15.75">
      <c r="A518" s="31" t="s">
        <v>570</v>
      </c>
      <c r="B518" s="42" t="s">
        <v>571</v>
      </c>
      <c r="C518" s="42" t="s">
        <v>286</v>
      </c>
      <c r="D518" s="42" t="s">
        <v>265</v>
      </c>
      <c r="E518" s="84"/>
      <c r="F518" s="2"/>
      <c r="G518" s="11">
        <f>G523+G526+G531+G536+G539+G542+G545</f>
        <v>5427.9</v>
      </c>
      <c r="H518" s="11">
        <f aca="true" t="shared" si="289" ref="H518:L518">H523+H526+H531+H536+H539+H542+H545</f>
        <v>5427.9</v>
      </c>
      <c r="I518" s="11">
        <f t="shared" si="289"/>
        <v>967</v>
      </c>
      <c r="J518" s="11">
        <f t="shared" si="289"/>
        <v>967</v>
      </c>
      <c r="K518" s="11">
        <f t="shared" si="289"/>
        <v>967</v>
      </c>
      <c r="L518" s="11">
        <f t="shared" si="289"/>
        <v>5125.1</v>
      </c>
      <c r="M518" s="11">
        <f aca="true" t="shared" si="290" ref="M518">M523+M526+M531+M536+M539+M542+M545</f>
        <v>2009.2999999999997</v>
      </c>
      <c r="N518" s="7">
        <f t="shared" si="259"/>
        <v>39.20508868119646</v>
      </c>
    </row>
    <row r="519" spans="1:14" ht="31.5" hidden="1">
      <c r="A519" s="37" t="s">
        <v>572</v>
      </c>
      <c r="B519" s="21" t="s">
        <v>573</v>
      </c>
      <c r="C519" s="42" t="s">
        <v>286</v>
      </c>
      <c r="D519" s="42" t="s">
        <v>265</v>
      </c>
      <c r="E519" s="84"/>
      <c r="F519" s="2"/>
      <c r="G519" s="11">
        <f>G520</f>
        <v>0</v>
      </c>
      <c r="H519" s="11">
        <f aca="true" t="shared" si="291" ref="H519:M520">H520</f>
        <v>0</v>
      </c>
      <c r="I519" s="11">
        <f t="shared" si="291"/>
        <v>0</v>
      </c>
      <c r="J519" s="11">
        <f t="shared" si="291"/>
        <v>0</v>
      </c>
      <c r="K519" s="11">
        <f t="shared" si="291"/>
        <v>0</v>
      </c>
      <c r="L519" s="11">
        <f t="shared" si="291"/>
        <v>0</v>
      </c>
      <c r="M519" s="11">
        <f t="shared" si="291"/>
        <v>0</v>
      </c>
      <c r="N519" s="7" t="e">
        <f t="shared" si="259"/>
        <v>#DIV/0!</v>
      </c>
    </row>
    <row r="520" spans="1:14" ht="31.5" hidden="1">
      <c r="A520" s="31" t="s">
        <v>183</v>
      </c>
      <c r="B520" s="21" t="s">
        <v>573</v>
      </c>
      <c r="C520" s="42" t="s">
        <v>286</v>
      </c>
      <c r="D520" s="42" t="s">
        <v>265</v>
      </c>
      <c r="E520" s="42" t="s">
        <v>184</v>
      </c>
      <c r="F520" s="2"/>
      <c r="G520" s="11">
        <f>G521</f>
        <v>0</v>
      </c>
      <c r="H520" s="11">
        <f t="shared" si="291"/>
        <v>0</v>
      </c>
      <c r="I520" s="11">
        <f t="shared" si="291"/>
        <v>0</v>
      </c>
      <c r="J520" s="11">
        <f t="shared" si="291"/>
        <v>0</v>
      </c>
      <c r="K520" s="11">
        <f t="shared" si="291"/>
        <v>0</v>
      </c>
      <c r="L520" s="11">
        <f t="shared" si="291"/>
        <v>0</v>
      </c>
      <c r="M520" s="11">
        <f t="shared" si="291"/>
        <v>0</v>
      </c>
      <c r="N520" s="7" t="e">
        <f t="shared" si="259"/>
        <v>#DIV/0!</v>
      </c>
    </row>
    <row r="521" spans="1:14" ht="31.5" hidden="1">
      <c r="A521" s="31" t="s">
        <v>185</v>
      </c>
      <c r="B521" s="21" t="s">
        <v>573</v>
      </c>
      <c r="C521" s="42" t="s">
        <v>286</v>
      </c>
      <c r="D521" s="42" t="s">
        <v>265</v>
      </c>
      <c r="E521" s="42" t="s">
        <v>186</v>
      </c>
      <c r="F521" s="2"/>
      <c r="G521" s="11"/>
      <c r="H521" s="11"/>
      <c r="I521" s="11"/>
      <c r="J521" s="11"/>
      <c r="K521" s="11"/>
      <c r="L521" s="11"/>
      <c r="M521" s="11"/>
      <c r="N521" s="7" t="e">
        <f t="shared" si="259"/>
        <v>#DIV/0!</v>
      </c>
    </row>
    <row r="522" spans="1:14" ht="31.5" hidden="1">
      <c r="A522" s="47" t="s">
        <v>701</v>
      </c>
      <c r="B522" s="21" t="s">
        <v>573</v>
      </c>
      <c r="C522" s="42"/>
      <c r="D522" s="42"/>
      <c r="E522" s="42"/>
      <c r="F522" s="2">
        <v>908</v>
      </c>
      <c r="G522" s="11">
        <f>G519</f>
        <v>0</v>
      </c>
      <c r="H522" s="11">
        <f aca="true" t="shared" si="292" ref="H522:L522">H519</f>
        <v>0</v>
      </c>
      <c r="I522" s="11">
        <f t="shared" si="292"/>
        <v>0</v>
      </c>
      <c r="J522" s="11">
        <f t="shared" si="292"/>
        <v>0</v>
      </c>
      <c r="K522" s="11">
        <f t="shared" si="292"/>
        <v>0</v>
      </c>
      <c r="L522" s="11">
        <f t="shared" si="292"/>
        <v>0</v>
      </c>
      <c r="M522" s="11">
        <f aca="true" t="shared" si="293" ref="M522">M519</f>
        <v>0</v>
      </c>
      <c r="N522" s="7" t="e">
        <f t="shared" si="259"/>
        <v>#DIV/0!</v>
      </c>
    </row>
    <row r="523" spans="1:14" ht="15.75">
      <c r="A523" s="47" t="s">
        <v>574</v>
      </c>
      <c r="B523" s="21" t="s">
        <v>575</v>
      </c>
      <c r="C523" s="42" t="s">
        <v>286</v>
      </c>
      <c r="D523" s="42" t="s">
        <v>265</v>
      </c>
      <c r="E523" s="42"/>
      <c r="F523" s="2"/>
      <c r="G523" s="11">
        <f>G524</f>
        <v>450</v>
      </c>
      <c r="H523" s="11">
        <f aca="true" t="shared" si="294" ref="H523:M524">H524</f>
        <v>450</v>
      </c>
      <c r="I523" s="11">
        <f t="shared" si="294"/>
        <v>450</v>
      </c>
      <c r="J523" s="11">
        <f t="shared" si="294"/>
        <v>450</v>
      </c>
      <c r="K523" s="11">
        <f t="shared" si="294"/>
        <v>450</v>
      </c>
      <c r="L523" s="11">
        <f t="shared" si="294"/>
        <v>1588.5</v>
      </c>
      <c r="M523" s="11">
        <f t="shared" si="294"/>
        <v>1548.3</v>
      </c>
      <c r="N523" s="7">
        <f t="shared" si="259"/>
        <v>97.4693106704438</v>
      </c>
    </row>
    <row r="524" spans="1:14" ht="31.5">
      <c r="A524" s="33" t="s">
        <v>183</v>
      </c>
      <c r="B524" s="21" t="s">
        <v>575</v>
      </c>
      <c r="C524" s="42" t="s">
        <v>286</v>
      </c>
      <c r="D524" s="42" t="s">
        <v>265</v>
      </c>
      <c r="E524" s="42" t="s">
        <v>184</v>
      </c>
      <c r="F524" s="2"/>
      <c r="G524" s="11">
        <f>G525</f>
        <v>450</v>
      </c>
      <c r="H524" s="11">
        <f t="shared" si="294"/>
        <v>450</v>
      </c>
      <c r="I524" s="11">
        <f t="shared" si="294"/>
        <v>450</v>
      </c>
      <c r="J524" s="11">
        <f t="shared" si="294"/>
        <v>450</v>
      </c>
      <c r="K524" s="11">
        <f t="shared" si="294"/>
        <v>450</v>
      </c>
      <c r="L524" s="11">
        <f t="shared" si="294"/>
        <v>1588.5</v>
      </c>
      <c r="M524" s="11">
        <f t="shared" si="294"/>
        <v>1548.3</v>
      </c>
      <c r="N524" s="7">
        <f aca="true" t="shared" si="295" ref="N524:N587">M524/L524*100</f>
        <v>97.4693106704438</v>
      </c>
    </row>
    <row r="525" spans="1:14" ht="31.5">
      <c r="A525" s="33" t="s">
        <v>185</v>
      </c>
      <c r="B525" s="21" t="s">
        <v>575</v>
      </c>
      <c r="C525" s="42" t="s">
        <v>286</v>
      </c>
      <c r="D525" s="42" t="s">
        <v>265</v>
      </c>
      <c r="E525" s="42" t="s">
        <v>186</v>
      </c>
      <c r="F525" s="2"/>
      <c r="G525" s="11">
        <f>'Прил.№4 ведомств.'!G924</f>
        <v>450</v>
      </c>
      <c r="H525" s="11">
        <f>'Прил.№4 ведомств.'!I924</f>
        <v>450</v>
      </c>
      <c r="I525" s="11">
        <f>'Прил.№4 ведомств.'!J924</f>
        <v>450</v>
      </c>
      <c r="J525" s="11">
        <f>'Прил.№4 ведомств.'!K924</f>
        <v>450</v>
      </c>
      <c r="K525" s="11">
        <f>'Прил.№4 ведомств.'!L924</f>
        <v>450</v>
      </c>
      <c r="L525" s="11">
        <f>'Прил.№4 ведомств.'!M924</f>
        <v>1588.5</v>
      </c>
      <c r="M525" s="11">
        <f>'Прил.№4 ведомств.'!N924</f>
        <v>1548.3</v>
      </c>
      <c r="N525" s="7">
        <f t="shared" si="295"/>
        <v>97.4693106704438</v>
      </c>
    </row>
    <row r="526" spans="1:14" ht="15.75">
      <c r="A526" s="47" t="s">
        <v>576</v>
      </c>
      <c r="B526" s="21" t="s">
        <v>577</v>
      </c>
      <c r="C526" s="42" t="s">
        <v>286</v>
      </c>
      <c r="D526" s="42" t="s">
        <v>265</v>
      </c>
      <c r="E526" s="42"/>
      <c r="F526" s="2"/>
      <c r="G526" s="11">
        <f>G527</f>
        <v>3107</v>
      </c>
      <c r="H526" s="11">
        <f aca="true" t="shared" si="296" ref="H526:M527">H527</f>
        <v>3107</v>
      </c>
      <c r="I526" s="11">
        <f t="shared" si="296"/>
        <v>160</v>
      </c>
      <c r="J526" s="11">
        <f t="shared" si="296"/>
        <v>160</v>
      </c>
      <c r="K526" s="11">
        <f t="shared" si="296"/>
        <v>160</v>
      </c>
      <c r="L526" s="11">
        <f>L527+L529</f>
        <v>40.6</v>
      </c>
      <c r="M526" s="11">
        <f>M527+M529</f>
        <v>40.6</v>
      </c>
      <c r="N526" s="7">
        <f t="shared" si="295"/>
        <v>100</v>
      </c>
    </row>
    <row r="527" spans="1:14" ht="31.5" hidden="1">
      <c r="A527" s="33" t="s">
        <v>183</v>
      </c>
      <c r="B527" s="21" t="s">
        <v>577</v>
      </c>
      <c r="C527" s="42" t="s">
        <v>286</v>
      </c>
      <c r="D527" s="42" t="s">
        <v>265</v>
      </c>
      <c r="E527" s="42" t="s">
        <v>184</v>
      </c>
      <c r="F527" s="2"/>
      <c r="G527" s="11">
        <f>G528</f>
        <v>3107</v>
      </c>
      <c r="H527" s="11">
        <f t="shared" si="296"/>
        <v>3107</v>
      </c>
      <c r="I527" s="11">
        <f t="shared" si="296"/>
        <v>160</v>
      </c>
      <c r="J527" s="11">
        <f t="shared" si="296"/>
        <v>160</v>
      </c>
      <c r="K527" s="11">
        <f t="shared" si="296"/>
        <v>160</v>
      </c>
      <c r="L527" s="11">
        <f t="shared" si="296"/>
        <v>0</v>
      </c>
      <c r="M527" s="11">
        <f t="shared" si="296"/>
        <v>0</v>
      </c>
      <c r="N527" s="7" t="e">
        <f t="shared" si="295"/>
        <v>#DIV/0!</v>
      </c>
    </row>
    <row r="528" spans="1:14" ht="31.5" hidden="1">
      <c r="A528" s="33" t="s">
        <v>185</v>
      </c>
      <c r="B528" s="21" t="s">
        <v>577</v>
      </c>
      <c r="C528" s="42" t="s">
        <v>286</v>
      </c>
      <c r="D528" s="42" t="s">
        <v>265</v>
      </c>
      <c r="E528" s="42" t="s">
        <v>186</v>
      </c>
      <c r="F528" s="2"/>
      <c r="G528" s="11">
        <f>'Прил.№4 ведомств.'!G927</f>
        <v>3107</v>
      </c>
      <c r="H528" s="11">
        <f>'Прил.№4 ведомств.'!I927</f>
        <v>3107</v>
      </c>
      <c r="I528" s="11">
        <f>'Прил.№4 ведомств.'!J927</f>
        <v>160</v>
      </c>
      <c r="J528" s="11">
        <f>'Прил.№4 ведомств.'!K927</f>
        <v>160</v>
      </c>
      <c r="K528" s="11">
        <f>'Прил.№4 ведомств.'!L927</f>
        <v>160</v>
      </c>
      <c r="L528" s="11">
        <f>'Прил.№4 ведомств.'!M927</f>
        <v>0</v>
      </c>
      <c r="M528" s="11">
        <f>'Прил.№4 ведомств.'!N927</f>
        <v>0</v>
      </c>
      <c r="N528" s="7" t="e">
        <f t="shared" si="295"/>
        <v>#DIV/0!</v>
      </c>
    </row>
    <row r="529" spans="1:14" ht="15.75">
      <c r="A529" s="31" t="s">
        <v>187</v>
      </c>
      <c r="B529" s="21" t="s">
        <v>577</v>
      </c>
      <c r="C529" s="42" t="s">
        <v>286</v>
      </c>
      <c r="D529" s="42" t="s">
        <v>265</v>
      </c>
      <c r="E529" s="42" t="s">
        <v>197</v>
      </c>
      <c r="F529" s="2"/>
      <c r="G529" s="11"/>
      <c r="H529" s="11"/>
      <c r="I529" s="11"/>
      <c r="J529" s="11"/>
      <c r="K529" s="11"/>
      <c r="L529" s="11">
        <f>L530</f>
        <v>40.6</v>
      </c>
      <c r="M529" s="11">
        <f>M530</f>
        <v>40.6</v>
      </c>
      <c r="N529" s="7">
        <f t="shared" si="295"/>
        <v>100</v>
      </c>
    </row>
    <row r="530" spans="1:14" ht="15.75">
      <c r="A530" s="26" t="s">
        <v>198</v>
      </c>
      <c r="B530" s="21" t="s">
        <v>577</v>
      </c>
      <c r="C530" s="42" t="s">
        <v>286</v>
      </c>
      <c r="D530" s="42" t="s">
        <v>265</v>
      </c>
      <c r="E530" s="42" t="s">
        <v>199</v>
      </c>
      <c r="F530" s="2"/>
      <c r="G530" s="11"/>
      <c r="H530" s="11"/>
      <c r="I530" s="11"/>
      <c r="J530" s="11"/>
      <c r="K530" s="11"/>
      <c r="L530" s="11">
        <f>'Прил.№4 ведомств.'!M929</f>
        <v>40.6</v>
      </c>
      <c r="M530" s="11">
        <f>'Прил.№4 ведомств.'!N929</f>
        <v>40.6</v>
      </c>
      <c r="N530" s="7">
        <f t="shared" si="295"/>
        <v>100</v>
      </c>
    </row>
    <row r="531" spans="1:14" ht="15.75">
      <c r="A531" s="47" t="s">
        <v>578</v>
      </c>
      <c r="B531" s="21" t="s">
        <v>579</v>
      </c>
      <c r="C531" s="42" t="s">
        <v>286</v>
      </c>
      <c r="D531" s="42" t="s">
        <v>265</v>
      </c>
      <c r="E531" s="42"/>
      <c r="F531" s="2"/>
      <c r="G531" s="11">
        <f>G532</f>
        <v>1389.8999999999999</v>
      </c>
      <c r="H531" s="11">
        <f aca="true" t="shared" si="297" ref="H531:M532">H532</f>
        <v>1389.8999999999999</v>
      </c>
      <c r="I531" s="11">
        <f t="shared" si="297"/>
        <v>40</v>
      </c>
      <c r="J531" s="11">
        <f t="shared" si="297"/>
        <v>40</v>
      </c>
      <c r="K531" s="11">
        <f t="shared" si="297"/>
        <v>40</v>
      </c>
      <c r="L531" s="11">
        <f>L532+L534</f>
        <v>1434.7</v>
      </c>
      <c r="M531" s="11">
        <f>M532+M534</f>
        <v>420.4</v>
      </c>
      <c r="N531" s="7">
        <f t="shared" si="295"/>
        <v>29.302293162333587</v>
      </c>
    </row>
    <row r="532" spans="1:14" ht="31.5">
      <c r="A532" s="33" t="s">
        <v>183</v>
      </c>
      <c r="B532" s="21" t="s">
        <v>579</v>
      </c>
      <c r="C532" s="42" t="s">
        <v>286</v>
      </c>
      <c r="D532" s="42" t="s">
        <v>265</v>
      </c>
      <c r="E532" s="42" t="s">
        <v>184</v>
      </c>
      <c r="F532" s="2"/>
      <c r="G532" s="11">
        <f>G533</f>
        <v>1389.8999999999999</v>
      </c>
      <c r="H532" s="11">
        <f t="shared" si="297"/>
        <v>1389.8999999999999</v>
      </c>
      <c r="I532" s="11">
        <f t="shared" si="297"/>
        <v>40</v>
      </c>
      <c r="J532" s="11">
        <f t="shared" si="297"/>
        <v>40</v>
      </c>
      <c r="K532" s="11">
        <f t="shared" si="297"/>
        <v>40</v>
      </c>
      <c r="L532" s="11">
        <f t="shared" si="297"/>
        <v>1433.9</v>
      </c>
      <c r="M532" s="11">
        <f t="shared" si="297"/>
        <v>419.7</v>
      </c>
      <c r="N532" s="7">
        <f t="shared" si="295"/>
        <v>29.269823558128177</v>
      </c>
    </row>
    <row r="533" spans="1:14" ht="31.5">
      <c r="A533" s="33" t="s">
        <v>185</v>
      </c>
      <c r="B533" s="21" t="s">
        <v>579</v>
      </c>
      <c r="C533" s="42" t="s">
        <v>286</v>
      </c>
      <c r="D533" s="42" t="s">
        <v>265</v>
      </c>
      <c r="E533" s="42" t="s">
        <v>186</v>
      </c>
      <c r="F533" s="2"/>
      <c r="G533" s="11">
        <f>'Прил.№4 ведомств.'!G932</f>
        <v>1389.8999999999999</v>
      </c>
      <c r="H533" s="11">
        <f>'Прил.№4 ведомств.'!I932</f>
        <v>1389.8999999999999</v>
      </c>
      <c r="I533" s="11">
        <f>'Прил.№4 ведомств.'!J932</f>
        <v>40</v>
      </c>
      <c r="J533" s="11">
        <f>'Прил.№4 ведомств.'!K932</f>
        <v>40</v>
      </c>
      <c r="K533" s="11">
        <f>'Прил.№4 ведомств.'!L932</f>
        <v>40</v>
      </c>
      <c r="L533" s="11">
        <f>'Прил.№4 ведомств.'!M932</f>
        <v>1433.9</v>
      </c>
      <c r="M533" s="11">
        <f>'Прил.№4 ведомств.'!N932</f>
        <v>419.7</v>
      </c>
      <c r="N533" s="7">
        <f t="shared" si="295"/>
        <v>29.269823558128177</v>
      </c>
    </row>
    <row r="534" spans="1:14" ht="15.75">
      <c r="A534" s="31" t="s">
        <v>187</v>
      </c>
      <c r="B534" s="21" t="s">
        <v>579</v>
      </c>
      <c r="C534" s="42" t="s">
        <v>286</v>
      </c>
      <c r="D534" s="42" t="s">
        <v>265</v>
      </c>
      <c r="E534" s="42" t="s">
        <v>197</v>
      </c>
      <c r="F534" s="2"/>
      <c r="G534" s="11"/>
      <c r="H534" s="11"/>
      <c r="I534" s="11"/>
      <c r="J534" s="11"/>
      <c r="K534" s="11"/>
      <c r="L534" s="11">
        <f>L535</f>
        <v>0.8</v>
      </c>
      <c r="M534" s="11">
        <f>M535</f>
        <v>0.7</v>
      </c>
      <c r="N534" s="7">
        <f t="shared" si="295"/>
        <v>87.49999999999999</v>
      </c>
    </row>
    <row r="535" spans="1:14" ht="15.75">
      <c r="A535" s="26" t="s">
        <v>801</v>
      </c>
      <c r="B535" s="21" t="s">
        <v>579</v>
      </c>
      <c r="C535" s="42" t="s">
        <v>286</v>
      </c>
      <c r="D535" s="42" t="s">
        <v>265</v>
      </c>
      <c r="E535" s="42" t="s">
        <v>190</v>
      </c>
      <c r="F535" s="2"/>
      <c r="G535" s="11"/>
      <c r="H535" s="11"/>
      <c r="I535" s="11"/>
      <c r="J535" s="11"/>
      <c r="K535" s="11"/>
      <c r="L535" s="11">
        <f>'Прил.№4 ведомств.'!M934</f>
        <v>0.8</v>
      </c>
      <c r="M535" s="11">
        <f>'Прил.№4 ведомств.'!N934</f>
        <v>0.7</v>
      </c>
      <c r="N535" s="7">
        <f t="shared" si="295"/>
        <v>87.49999999999999</v>
      </c>
    </row>
    <row r="536" spans="1:14" ht="15.75">
      <c r="A536" s="47" t="s">
        <v>580</v>
      </c>
      <c r="B536" s="21" t="s">
        <v>581</v>
      </c>
      <c r="C536" s="42" t="s">
        <v>286</v>
      </c>
      <c r="D536" s="42" t="s">
        <v>265</v>
      </c>
      <c r="E536" s="42"/>
      <c r="F536" s="2"/>
      <c r="G536" s="11">
        <f>G537</f>
        <v>159.10000000000002</v>
      </c>
      <c r="H536" s="11">
        <f aca="true" t="shared" si="298" ref="H536:M537">H537</f>
        <v>159.10000000000002</v>
      </c>
      <c r="I536" s="11">
        <f t="shared" si="298"/>
        <v>305</v>
      </c>
      <c r="J536" s="11">
        <f t="shared" si="298"/>
        <v>305</v>
      </c>
      <c r="K536" s="11">
        <f t="shared" si="298"/>
        <v>305</v>
      </c>
      <c r="L536" s="11">
        <f t="shared" si="298"/>
        <v>1930.3</v>
      </c>
      <c r="M536" s="11">
        <f t="shared" si="298"/>
        <v>0</v>
      </c>
      <c r="N536" s="7">
        <f t="shared" si="295"/>
        <v>0</v>
      </c>
    </row>
    <row r="537" spans="1:14" ht="31.5">
      <c r="A537" s="33" t="s">
        <v>183</v>
      </c>
      <c r="B537" s="21" t="s">
        <v>581</v>
      </c>
      <c r="C537" s="42" t="s">
        <v>286</v>
      </c>
      <c r="D537" s="42" t="s">
        <v>265</v>
      </c>
      <c r="E537" s="42" t="s">
        <v>184</v>
      </c>
      <c r="F537" s="2"/>
      <c r="G537" s="11">
        <f>G538</f>
        <v>159.10000000000002</v>
      </c>
      <c r="H537" s="11">
        <f t="shared" si="298"/>
        <v>159.10000000000002</v>
      </c>
      <c r="I537" s="11">
        <f t="shared" si="298"/>
        <v>305</v>
      </c>
      <c r="J537" s="11">
        <f t="shared" si="298"/>
        <v>305</v>
      </c>
      <c r="K537" s="11">
        <f t="shared" si="298"/>
        <v>305</v>
      </c>
      <c r="L537" s="11">
        <f t="shared" si="298"/>
        <v>1930.3</v>
      </c>
      <c r="M537" s="11">
        <f t="shared" si="298"/>
        <v>0</v>
      </c>
      <c r="N537" s="7">
        <f t="shared" si="295"/>
        <v>0</v>
      </c>
    </row>
    <row r="538" spans="1:14" ht="31.5">
      <c r="A538" s="33" t="s">
        <v>185</v>
      </c>
      <c r="B538" s="21" t="s">
        <v>581</v>
      </c>
      <c r="C538" s="42" t="s">
        <v>286</v>
      </c>
      <c r="D538" s="42" t="s">
        <v>265</v>
      </c>
      <c r="E538" s="42" t="s">
        <v>186</v>
      </c>
      <c r="F538" s="2"/>
      <c r="G538" s="11">
        <f>'Прил.№4 ведомств.'!G937</f>
        <v>159.10000000000002</v>
      </c>
      <c r="H538" s="11">
        <f>'Прил.№4 ведомств.'!I937</f>
        <v>159.10000000000002</v>
      </c>
      <c r="I538" s="11">
        <f>'Прил.№4 ведомств.'!J937</f>
        <v>305</v>
      </c>
      <c r="J538" s="11">
        <f>'Прил.№4 ведомств.'!K937</f>
        <v>305</v>
      </c>
      <c r="K538" s="11">
        <f>'Прил.№4 ведомств.'!L937</f>
        <v>305</v>
      </c>
      <c r="L538" s="11">
        <f>'Прил.№4 ведомств.'!M937</f>
        <v>1930.3</v>
      </c>
      <c r="M538" s="11">
        <f>'Прил.№4 ведомств.'!N937</f>
        <v>0</v>
      </c>
      <c r="N538" s="7">
        <f t="shared" si="295"/>
        <v>0</v>
      </c>
    </row>
    <row r="539" spans="1:14" ht="15.75" hidden="1">
      <c r="A539" s="47" t="s">
        <v>582</v>
      </c>
      <c r="B539" s="21" t="s">
        <v>583</v>
      </c>
      <c r="C539" s="42" t="s">
        <v>286</v>
      </c>
      <c r="D539" s="42" t="s">
        <v>265</v>
      </c>
      <c r="E539" s="42"/>
      <c r="F539" s="2"/>
      <c r="G539" s="11">
        <f>G540</f>
        <v>272.9</v>
      </c>
      <c r="H539" s="11">
        <f aca="true" t="shared" si="299" ref="H539:M540">H540</f>
        <v>272.9</v>
      </c>
      <c r="I539" s="11">
        <f t="shared" si="299"/>
        <v>2</v>
      </c>
      <c r="J539" s="11">
        <f t="shared" si="299"/>
        <v>2</v>
      </c>
      <c r="K539" s="11">
        <f t="shared" si="299"/>
        <v>2</v>
      </c>
      <c r="L539" s="11">
        <f t="shared" si="299"/>
        <v>131</v>
      </c>
      <c r="M539" s="11">
        <f t="shared" si="299"/>
        <v>0</v>
      </c>
      <c r="N539" s="7">
        <f t="shared" si="295"/>
        <v>0</v>
      </c>
    </row>
    <row r="540" spans="1:14" ht="31.5" hidden="1">
      <c r="A540" s="33" t="s">
        <v>183</v>
      </c>
      <c r="B540" s="21" t="s">
        <v>583</v>
      </c>
      <c r="C540" s="42" t="s">
        <v>286</v>
      </c>
      <c r="D540" s="42" t="s">
        <v>265</v>
      </c>
      <c r="E540" s="42" t="s">
        <v>184</v>
      </c>
      <c r="F540" s="2"/>
      <c r="G540" s="11">
        <f>G541</f>
        <v>272.9</v>
      </c>
      <c r="H540" s="11">
        <f t="shared" si="299"/>
        <v>272.9</v>
      </c>
      <c r="I540" s="11">
        <f t="shared" si="299"/>
        <v>2</v>
      </c>
      <c r="J540" s="11">
        <f t="shared" si="299"/>
        <v>2</v>
      </c>
      <c r="K540" s="11">
        <f t="shared" si="299"/>
        <v>2</v>
      </c>
      <c r="L540" s="11">
        <f t="shared" si="299"/>
        <v>131</v>
      </c>
      <c r="M540" s="11">
        <f t="shared" si="299"/>
        <v>0</v>
      </c>
      <c r="N540" s="7">
        <f t="shared" si="295"/>
        <v>0</v>
      </c>
    </row>
    <row r="541" spans="1:14" ht="31.5" hidden="1">
      <c r="A541" s="33" t="s">
        <v>185</v>
      </c>
      <c r="B541" s="21" t="s">
        <v>583</v>
      </c>
      <c r="C541" s="42" t="s">
        <v>286</v>
      </c>
      <c r="D541" s="42" t="s">
        <v>265</v>
      </c>
      <c r="E541" s="42" t="s">
        <v>186</v>
      </c>
      <c r="F541" s="2"/>
      <c r="G541" s="11">
        <f>'Прил.№4 ведомств.'!G940</f>
        <v>272.9</v>
      </c>
      <c r="H541" s="11">
        <f>'Прил.№4 ведомств.'!I940</f>
        <v>272.9</v>
      </c>
      <c r="I541" s="11">
        <f>'Прил.№4 ведомств.'!J940</f>
        <v>2</v>
      </c>
      <c r="J541" s="11">
        <f>'Прил.№4 ведомств.'!K940</f>
        <v>2</v>
      </c>
      <c r="K541" s="11">
        <f>'Прил.№4 ведомств.'!L940</f>
        <v>2</v>
      </c>
      <c r="L541" s="11">
        <f>'Прил.№4 ведомств.'!M940</f>
        <v>131</v>
      </c>
      <c r="M541" s="11">
        <f>'Прил.№4 ведомств.'!N940</f>
        <v>0</v>
      </c>
      <c r="N541" s="7">
        <f t="shared" si="295"/>
        <v>0</v>
      </c>
    </row>
    <row r="542" spans="1:14" ht="31.5" hidden="1">
      <c r="A542" s="205" t="s">
        <v>584</v>
      </c>
      <c r="B542" s="21" t="s">
        <v>585</v>
      </c>
      <c r="C542" s="42" t="s">
        <v>286</v>
      </c>
      <c r="D542" s="42" t="s">
        <v>265</v>
      </c>
      <c r="E542" s="42"/>
      <c r="F542" s="2"/>
      <c r="G542" s="11">
        <f>G543</f>
        <v>0</v>
      </c>
      <c r="H542" s="11">
        <f aca="true" t="shared" si="300" ref="H542:M543">H543</f>
        <v>0</v>
      </c>
      <c r="I542" s="11">
        <f t="shared" si="300"/>
        <v>0</v>
      </c>
      <c r="J542" s="11">
        <f t="shared" si="300"/>
        <v>0</v>
      </c>
      <c r="K542" s="11">
        <f t="shared" si="300"/>
        <v>0</v>
      </c>
      <c r="L542" s="11">
        <f t="shared" si="300"/>
        <v>0</v>
      </c>
      <c r="M542" s="11">
        <f t="shared" si="300"/>
        <v>0</v>
      </c>
      <c r="N542" s="7" t="e">
        <f t="shared" si="295"/>
        <v>#DIV/0!</v>
      </c>
    </row>
    <row r="543" spans="1:14" ht="31.5" hidden="1">
      <c r="A543" s="33" t="s">
        <v>183</v>
      </c>
      <c r="B543" s="21" t="s">
        <v>585</v>
      </c>
      <c r="C543" s="42" t="s">
        <v>286</v>
      </c>
      <c r="D543" s="42" t="s">
        <v>265</v>
      </c>
      <c r="E543" s="42"/>
      <c r="F543" s="2"/>
      <c r="G543" s="11">
        <f>G544</f>
        <v>0</v>
      </c>
      <c r="H543" s="11">
        <f t="shared" si="300"/>
        <v>0</v>
      </c>
      <c r="I543" s="11">
        <f t="shared" si="300"/>
        <v>0</v>
      </c>
      <c r="J543" s="11">
        <f t="shared" si="300"/>
        <v>0</v>
      </c>
      <c r="K543" s="11">
        <f t="shared" si="300"/>
        <v>0</v>
      </c>
      <c r="L543" s="11">
        <f t="shared" si="300"/>
        <v>0</v>
      </c>
      <c r="M543" s="11">
        <f t="shared" si="300"/>
        <v>0</v>
      </c>
      <c r="N543" s="7" t="e">
        <f t="shared" si="295"/>
        <v>#DIV/0!</v>
      </c>
    </row>
    <row r="544" spans="1:14" ht="31.5" hidden="1">
      <c r="A544" s="33" t="s">
        <v>185</v>
      </c>
      <c r="B544" s="21" t="s">
        <v>585</v>
      </c>
      <c r="C544" s="42" t="s">
        <v>286</v>
      </c>
      <c r="D544" s="42" t="s">
        <v>265</v>
      </c>
      <c r="E544" s="42"/>
      <c r="F544" s="2"/>
      <c r="G544" s="11"/>
      <c r="H544" s="11"/>
      <c r="I544" s="11"/>
      <c r="J544" s="11"/>
      <c r="K544" s="11"/>
      <c r="L544" s="11"/>
      <c r="M544" s="11"/>
      <c r="N544" s="7" t="e">
        <f t="shared" si="295"/>
        <v>#DIV/0!</v>
      </c>
    </row>
    <row r="545" spans="1:14" ht="15.75" hidden="1">
      <c r="A545" s="205" t="s">
        <v>586</v>
      </c>
      <c r="B545" s="21" t="s">
        <v>587</v>
      </c>
      <c r="C545" s="42" t="s">
        <v>286</v>
      </c>
      <c r="D545" s="42" t="s">
        <v>265</v>
      </c>
      <c r="E545" s="42"/>
      <c r="F545" s="2"/>
      <c r="G545" s="11">
        <f>G546</f>
        <v>49</v>
      </c>
      <c r="H545" s="11">
        <f aca="true" t="shared" si="301" ref="H545:M546">H546</f>
        <v>49</v>
      </c>
      <c r="I545" s="11">
        <f t="shared" si="301"/>
        <v>10</v>
      </c>
      <c r="J545" s="11">
        <f t="shared" si="301"/>
        <v>10</v>
      </c>
      <c r="K545" s="11">
        <f t="shared" si="301"/>
        <v>10</v>
      </c>
      <c r="L545" s="11">
        <f t="shared" si="301"/>
        <v>0</v>
      </c>
      <c r="M545" s="11">
        <f t="shared" si="301"/>
        <v>0</v>
      </c>
      <c r="N545" s="7" t="e">
        <f t="shared" si="295"/>
        <v>#DIV/0!</v>
      </c>
    </row>
    <row r="546" spans="1:14" ht="31.5" hidden="1">
      <c r="A546" s="26" t="s">
        <v>183</v>
      </c>
      <c r="B546" s="21" t="s">
        <v>587</v>
      </c>
      <c r="C546" s="42" t="s">
        <v>286</v>
      </c>
      <c r="D546" s="42" t="s">
        <v>265</v>
      </c>
      <c r="E546" s="2">
        <v>200</v>
      </c>
      <c r="F546" s="88"/>
      <c r="G546" s="7">
        <f>G547</f>
        <v>49</v>
      </c>
      <c r="H546" s="7">
        <f t="shared" si="301"/>
        <v>49</v>
      </c>
      <c r="I546" s="7">
        <f t="shared" si="301"/>
        <v>10</v>
      </c>
      <c r="J546" s="7">
        <f t="shared" si="301"/>
        <v>10</v>
      </c>
      <c r="K546" s="7">
        <f t="shared" si="301"/>
        <v>10</v>
      </c>
      <c r="L546" s="7">
        <f t="shared" si="301"/>
        <v>0</v>
      </c>
      <c r="M546" s="7">
        <f t="shared" si="301"/>
        <v>0</v>
      </c>
      <c r="N546" s="7" t="e">
        <f t="shared" si="295"/>
        <v>#DIV/0!</v>
      </c>
    </row>
    <row r="547" spans="1:14" ht="31.5" hidden="1">
      <c r="A547" s="26" t="s">
        <v>185</v>
      </c>
      <c r="B547" s="21" t="s">
        <v>587</v>
      </c>
      <c r="C547" s="42" t="s">
        <v>286</v>
      </c>
      <c r="D547" s="42" t="s">
        <v>265</v>
      </c>
      <c r="E547" s="2">
        <v>240</v>
      </c>
      <c r="F547" s="88"/>
      <c r="G547" s="7">
        <f>'Прил.№4 ведомств.'!G946</f>
        <v>49</v>
      </c>
      <c r="H547" s="7">
        <f>'Прил.№4 ведомств.'!I946</f>
        <v>49</v>
      </c>
      <c r="I547" s="7">
        <f>'Прил.№4 ведомств.'!J946</f>
        <v>10</v>
      </c>
      <c r="J547" s="7">
        <f>'Прил.№4 ведомств.'!K946</f>
        <v>10</v>
      </c>
      <c r="K547" s="7">
        <f>'Прил.№4 ведомств.'!L946</f>
        <v>10</v>
      </c>
      <c r="L547" s="7">
        <f>'Прил.№4 ведомств.'!M946</f>
        <v>0</v>
      </c>
      <c r="M547" s="7">
        <f>'Прил.№4 ведомств.'!N946</f>
        <v>0</v>
      </c>
      <c r="N547" s="7" t="e">
        <f t="shared" si="295"/>
        <v>#DIV/0!</v>
      </c>
    </row>
    <row r="548" spans="1:14" ht="31.5">
      <c r="A548" s="47" t="s">
        <v>701</v>
      </c>
      <c r="B548" s="21" t="s">
        <v>571</v>
      </c>
      <c r="C548" s="42"/>
      <c r="D548" s="42"/>
      <c r="E548" s="2"/>
      <c r="F548" s="2">
        <v>908</v>
      </c>
      <c r="G548" s="7">
        <f>G516</f>
        <v>5427.9</v>
      </c>
      <c r="H548" s="7">
        <f aca="true" t="shared" si="302" ref="H548:L548">H516</f>
        <v>5427.9</v>
      </c>
      <c r="I548" s="7">
        <f t="shared" si="302"/>
        <v>967</v>
      </c>
      <c r="J548" s="7">
        <f t="shared" si="302"/>
        <v>967</v>
      </c>
      <c r="K548" s="7">
        <f t="shared" si="302"/>
        <v>967</v>
      </c>
      <c r="L548" s="7">
        <f t="shared" si="302"/>
        <v>5125.1</v>
      </c>
      <c r="M548" s="7">
        <f aca="true" t="shared" si="303" ref="M548">M516</f>
        <v>2009.2999999999997</v>
      </c>
      <c r="N548" s="7">
        <f t="shared" si="295"/>
        <v>39.20508868119646</v>
      </c>
    </row>
    <row r="549" spans="1:14" ht="47.25">
      <c r="A549" s="24" t="s">
        <v>386</v>
      </c>
      <c r="B549" s="25" t="s">
        <v>387</v>
      </c>
      <c r="C549" s="8"/>
      <c r="D549" s="8"/>
      <c r="E549" s="3"/>
      <c r="F549" s="3"/>
      <c r="G549" s="4">
        <f>G550</f>
        <v>145</v>
      </c>
      <c r="H549" s="4">
        <f aca="true" t="shared" si="304" ref="H549:M549">H550</f>
        <v>145</v>
      </c>
      <c r="I549" s="4">
        <f t="shared" si="304"/>
        <v>155</v>
      </c>
      <c r="J549" s="4">
        <f t="shared" si="304"/>
        <v>155</v>
      </c>
      <c r="K549" s="4">
        <f t="shared" si="304"/>
        <v>155</v>
      </c>
      <c r="L549" s="4">
        <f t="shared" si="304"/>
        <v>155</v>
      </c>
      <c r="M549" s="4">
        <f t="shared" si="304"/>
        <v>0</v>
      </c>
      <c r="N549" s="4">
        <f t="shared" si="295"/>
        <v>0</v>
      </c>
    </row>
    <row r="550" spans="1:14" ht="15.75">
      <c r="A550" s="31" t="s">
        <v>169</v>
      </c>
      <c r="B550" s="21" t="s">
        <v>387</v>
      </c>
      <c r="C550" s="42" t="s">
        <v>170</v>
      </c>
      <c r="D550" s="42"/>
      <c r="E550" s="2"/>
      <c r="F550" s="2"/>
      <c r="G550" s="7">
        <f>G551+G591</f>
        <v>145</v>
      </c>
      <c r="H550" s="7">
        <f aca="true" t="shared" si="305" ref="H550:L550">H551+H591</f>
        <v>145</v>
      </c>
      <c r="I550" s="7">
        <f t="shared" si="305"/>
        <v>155</v>
      </c>
      <c r="J550" s="7">
        <f t="shared" si="305"/>
        <v>155</v>
      </c>
      <c r="K550" s="7">
        <f t="shared" si="305"/>
        <v>155</v>
      </c>
      <c r="L550" s="7">
        <f t="shared" si="305"/>
        <v>155</v>
      </c>
      <c r="M550" s="7">
        <f aca="true" t="shared" si="306" ref="M550">M551+M591</f>
        <v>0</v>
      </c>
      <c r="N550" s="7">
        <f t="shared" si="295"/>
        <v>0</v>
      </c>
    </row>
    <row r="551" spans="1:14" ht="15.75">
      <c r="A551" s="31" t="s">
        <v>191</v>
      </c>
      <c r="B551" s="21" t="s">
        <v>387</v>
      </c>
      <c r="C551" s="42" t="s">
        <v>170</v>
      </c>
      <c r="D551" s="42" t="s">
        <v>192</v>
      </c>
      <c r="E551" s="2"/>
      <c r="F551" s="2"/>
      <c r="G551" s="7">
        <f>G552+G555+G560+G563+G566+G569</f>
        <v>125</v>
      </c>
      <c r="H551" s="7">
        <f aca="true" t="shared" si="307" ref="H551:K551">H552+H555+H560+H563+H566+H569</f>
        <v>125</v>
      </c>
      <c r="I551" s="7">
        <f t="shared" si="307"/>
        <v>95</v>
      </c>
      <c r="J551" s="7">
        <f t="shared" si="307"/>
        <v>95</v>
      </c>
      <c r="K551" s="7">
        <f t="shared" si="307"/>
        <v>95</v>
      </c>
      <c r="L551" s="7">
        <f>L552+L555+L560+L563+L566+L569</f>
        <v>95</v>
      </c>
      <c r="M551" s="7">
        <f>M552+M555+M560+M563+M566+M569</f>
        <v>0</v>
      </c>
      <c r="N551" s="7">
        <f t="shared" si="295"/>
        <v>0</v>
      </c>
    </row>
    <row r="552" spans="1:14" ht="31.5">
      <c r="A552" s="26" t="s">
        <v>388</v>
      </c>
      <c r="B552" s="21" t="s">
        <v>389</v>
      </c>
      <c r="C552" s="42" t="s">
        <v>170</v>
      </c>
      <c r="D552" s="42" t="s">
        <v>192</v>
      </c>
      <c r="E552" s="2"/>
      <c r="F552" s="2"/>
      <c r="G552" s="7">
        <f>G553</f>
        <v>0</v>
      </c>
      <c r="H552" s="7">
        <f aca="true" t="shared" si="308" ref="H552:M553">H553</f>
        <v>0</v>
      </c>
      <c r="I552" s="7">
        <f t="shared" si="308"/>
        <v>50</v>
      </c>
      <c r="J552" s="7">
        <f t="shared" si="308"/>
        <v>50</v>
      </c>
      <c r="K552" s="7">
        <f t="shared" si="308"/>
        <v>50</v>
      </c>
      <c r="L552" s="7">
        <f t="shared" si="308"/>
        <v>50</v>
      </c>
      <c r="M552" s="7">
        <f t="shared" si="308"/>
        <v>0</v>
      </c>
      <c r="N552" s="7">
        <f t="shared" si="295"/>
        <v>0</v>
      </c>
    </row>
    <row r="553" spans="1:14" ht="31.5">
      <c r="A553" s="26" t="s">
        <v>183</v>
      </c>
      <c r="B553" s="21" t="s">
        <v>389</v>
      </c>
      <c r="C553" s="42" t="s">
        <v>170</v>
      </c>
      <c r="D553" s="42" t="s">
        <v>192</v>
      </c>
      <c r="E553" s="2">
        <v>200</v>
      </c>
      <c r="F553" s="2"/>
      <c r="G553" s="7">
        <f>G554</f>
        <v>0</v>
      </c>
      <c r="H553" s="7">
        <f t="shared" si="308"/>
        <v>0</v>
      </c>
      <c r="I553" s="7">
        <f t="shared" si="308"/>
        <v>50</v>
      </c>
      <c r="J553" s="7">
        <f t="shared" si="308"/>
        <v>50</v>
      </c>
      <c r="K553" s="7">
        <f t="shared" si="308"/>
        <v>50</v>
      </c>
      <c r="L553" s="7">
        <f t="shared" si="308"/>
        <v>50</v>
      </c>
      <c r="M553" s="7">
        <f t="shared" si="308"/>
        <v>0</v>
      </c>
      <c r="N553" s="7">
        <f t="shared" si="295"/>
        <v>0</v>
      </c>
    </row>
    <row r="554" spans="1:14" ht="31.5">
      <c r="A554" s="26" t="s">
        <v>185</v>
      </c>
      <c r="B554" s="21" t="s">
        <v>389</v>
      </c>
      <c r="C554" s="42" t="s">
        <v>170</v>
      </c>
      <c r="D554" s="42" t="s">
        <v>192</v>
      </c>
      <c r="E554" s="2">
        <v>240</v>
      </c>
      <c r="F554" s="2"/>
      <c r="G554" s="7">
        <f>'Прил.№4 ведомств.'!G749</f>
        <v>0</v>
      </c>
      <c r="H554" s="7">
        <f>'Прил.№4 ведомств.'!I749</f>
        <v>0</v>
      </c>
      <c r="I554" s="7">
        <f>'Прил.№4 ведомств.'!J254</f>
        <v>50</v>
      </c>
      <c r="J554" s="7">
        <f>'Прил.№4 ведомств.'!K254</f>
        <v>50</v>
      </c>
      <c r="K554" s="7">
        <f>'Прил.№4 ведомств.'!L254</f>
        <v>50</v>
      </c>
      <c r="L554" s="7">
        <f>'Прил.№4 ведомств.'!M254</f>
        <v>50</v>
      </c>
      <c r="M554" s="7">
        <f>'Прил.№4 ведомств.'!N254</f>
        <v>0</v>
      </c>
      <c r="N554" s="7">
        <f t="shared" si="295"/>
        <v>0</v>
      </c>
    </row>
    <row r="555" spans="1:14" ht="47.25" hidden="1">
      <c r="A555" s="26" t="s">
        <v>529</v>
      </c>
      <c r="B555" s="21" t="s">
        <v>530</v>
      </c>
      <c r="C555" s="42" t="s">
        <v>170</v>
      </c>
      <c r="D555" s="42" t="s">
        <v>192</v>
      </c>
      <c r="E555" s="2"/>
      <c r="F555" s="2"/>
      <c r="G555" s="7">
        <f>G556+G558</f>
        <v>0</v>
      </c>
      <c r="H555" s="7">
        <f aca="true" t="shared" si="309" ref="H555:L555">H556+H558</f>
        <v>0</v>
      </c>
      <c r="I555" s="7">
        <f t="shared" si="309"/>
        <v>0</v>
      </c>
      <c r="J555" s="7">
        <f t="shared" si="309"/>
        <v>0</v>
      </c>
      <c r="K555" s="7">
        <f t="shared" si="309"/>
        <v>0</v>
      </c>
      <c r="L555" s="7">
        <f t="shared" si="309"/>
        <v>0</v>
      </c>
      <c r="M555" s="7">
        <f aca="true" t="shared" si="310" ref="M555">M556+M558</f>
        <v>0</v>
      </c>
      <c r="N555" s="7" t="e">
        <f t="shared" si="295"/>
        <v>#DIV/0!</v>
      </c>
    </row>
    <row r="556" spans="1:14" ht="78.75" hidden="1">
      <c r="A556" s="26" t="s">
        <v>179</v>
      </c>
      <c r="B556" s="21" t="s">
        <v>530</v>
      </c>
      <c r="C556" s="42" t="s">
        <v>170</v>
      </c>
      <c r="D556" s="42" t="s">
        <v>192</v>
      </c>
      <c r="E556" s="2">
        <v>100</v>
      </c>
      <c r="F556" s="2"/>
      <c r="G556" s="7">
        <f>G557</f>
        <v>0</v>
      </c>
      <c r="H556" s="7">
        <f aca="true" t="shared" si="311" ref="H556:M556">H557</f>
        <v>0</v>
      </c>
      <c r="I556" s="7">
        <f t="shared" si="311"/>
        <v>0</v>
      </c>
      <c r="J556" s="7">
        <f t="shared" si="311"/>
        <v>0</v>
      </c>
      <c r="K556" s="7">
        <f t="shared" si="311"/>
        <v>0</v>
      </c>
      <c r="L556" s="7">
        <f t="shared" si="311"/>
        <v>0</v>
      </c>
      <c r="M556" s="7">
        <f t="shared" si="311"/>
        <v>0</v>
      </c>
      <c r="N556" s="7" t="e">
        <f t="shared" si="295"/>
        <v>#DIV/0!</v>
      </c>
    </row>
    <row r="557" spans="1:14" ht="15.75" hidden="1">
      <c r="A557" s="26" t="s">
        <v>394</v>
      </c>
      <c r="B557" s="21" t="s">
        <v>530</v>
      </c>
      <c r="C557" s="42" t="s">
        <v>170</v>
      </c>
      <c r="D557" s="42" t="s">
        <v>192</v>
      </c>
      <c r="E557" s="2">
        <v>110</v>
      </c>
      <c r="F557" s="2"/>
      <c r="G557" s="7">
        <v>0</v>
      </c>
      <c r="H557" s="7">
        <v>0</v>
      </c>
      <c r="I557" s="7">
        <v>0</v>
      </c>
      <c r="J557" s="7">
        <f>'Прил.№4 ведомств.'!K752</f>
        <v>0</v>
      </c>
      <c r="K557" s="7">
        <f>'Прил.№4 ведомств.'!L752</f>
        <v>0</v>
      </c>
      <c r="L557" s="7">
        <f>'Прил.№4 ведомств.'!M752</f>
        <v>0</v>
      </c>
      <c r="M557" s="7">
        <f>'Прил.№4 ведомств.'!N752</f>
        <v>0</v>
      </c>
      <c r="N557" s="7" t="e">
        <f t="shared" si="295"/>
        <v>#DIV/0!</v>
      </c>
    </row>
    <row r="558" spans="1:14" ht="31.5" hidden="1">
      <c r="A558" s="26" t="s">
        <v>183</v>
      </c>
      <c r="B558" s="21" t="s">
        <v>530</v>
      </c>
      <c r="C558" s="42" t="s">
        <v>170</v>
      </c>
      <c r="D558" s="42" t="s">
        <v>192</v>
      </c>
      <c r="E558" s="2">
        <v>200</v>
      </c>
      <c r="F558" s="2"/>
      <c r="G558" s="7">
        <f>G559</f>
        <v>0</v>
      </c>
      <c r="H558" s="7">
        <f aca="true" t="shared" si="312" ref="H558:M558">H559</f>
        <v>0</v>
      </c>
      <c r="I558" s="7">
        <f t="shared" si="312"/>
        <v>0</v>
      </c>
      <c r="J558" s="7">
        <f t="shared" si="312"/>
        <v>0</v>
      </c>
      <c r="K558" s="7">
        <f t="shared" si="312"/>
        <v>0</v>
      </c>
      <c r="L558" s="7">
        <f t="shared" si="312"/>
        <v>0</v>
      </c>
      <c r="M558" s="7">
        <f t="shared" si="312"/>
        <v>0</v>
      </c>
      <c r="N558" s="7" t="e">
        <f t="shared" si="295"/>
        <v>#DIV/0!</v>
      </c>
    </row>
    <row r="559" spans="1:14" ht="31.5" hidden="1">
      <c r="A559" s="26" t="s">
        <v>185</v>
      </c>
      <c r="B559" s="21" t="s">
        <v>530</v>
      </c>
      <c r="C559" s="42" t="s">
        <v>170</v>
      </c>
      <c r="D559" s="42" t="s">
        <v>192</v>
      </c>
      <c r="E559" s="2">
        <v>240</v>
      </c>
      <c r="F559" s="2"/>
      <c r="G559" s="7">
        <v>0</v>
      </c>
      <c r="H559" s="7">
        <v>0</v>
      </c>
      <c r="I559" s="7">
        <f>'Прил.№4 ведомств.'!J754</f>
        <v>0</v>
      </c>
      <c r="J559" s="7">
        <f>'Прил.№4 ведомств.'!K754</f>
        <v>0</v>
      </c>
      <c r="K559" s="7">
        <f>'Прил.№4 ведомств.'!L754</f>
        <v>0</v>
      </c>
      <c r="L559" s="7">
        <f>'Прил.№4 ведомств.'!M754</f>
        <v>0</v>
      </c>
      <c r="M559" s="7">
        <f>'Прил.№4 ведомств.'!N754</f>
        <v>0</v>
      </c>
      <c r="N559" s="7" t="e">
        <f t="shared" si="295"/>
        <v>#DIV/0!</v>
      </c>
    </row>
    <row r="560" spans="1:14" ht="31.5">
      <c r="A560" s="26" t="s">
        <v>390</v>
      </c>
      <c r="B560" s="21" t="s">
        <v>391</v>
      </c>
      <c r="C560" s="42" t="s">
        <v>170</v>
      </c>
      <c r="D560" s="42" t="s">
        <v>192</v>
      </c>
      <c r="E560" s="2"/>
      <c r="F560" s="2"/>
      <c r="G560" s="7">
        <f>G561</f>
        <v>20</v>
      </c>
      <c r="H560" s="7">
        <f aca="true" t="shared" si="313" ref="H560:M561">H561</f>
        <v>20</v>
      </c>
      <c r="I560" s="7">
        <f t="shared" si="313"/>
        <v>20</v>
      </c>
      <c r="J560" s="7">
        <f t="shared" si="313"/>
        <v>20</v>
      </c>
      <c r="K560" s="7">
        <f t="shared" si="313"/>
        <v>20</v>
      </c>
      <c r="L560" s="7">
        <f t="shared" si="313"/>
        <v>20</v>
      </c>
      <c r="M560" s="7">
        <f t="shared" si="313"/>
        <v>0</v>
      </c>
      <c r="N560" s="7">
        <f t="shared" si="295"/>
        <v>0</v>
      </c>
    </row>
    <row r="561" spans="1:14" ht="31.5">
      <c r="A561" s="26" t="s">
        <v>183</v>
      </c>
      <c r="B561" s="21" t="s">
        <v>391</v>
      </c>
      <c r="C561" s="42" t="s">
        <v>170</v>
      </c>
      <c r="D561" s="42" t="s">
        <v>192</v>
      </c>
      <c r="E561" s="2">
        <v>200</v>
      </c>
      <c r="F561" s="2"/>
      <c r="G561" s="7">
        <f>G562</f>
        <v>20</v>
      </c>
      <c r="H561" s="7">
        <f t="shared" si="313"/>
        <v>20</v>
      </c>
      <c r="I561" s="7">
        <f t="shared" si="313"/>
        <v>20</v>
      </c>
      <c r="J561" s="7">
        <f t="shared" si="313"/>
        <v>20</v>
      </c>
      <c r="K561" s="7">
        <f t="shared" si="313"/>
        <v>20</v>
      </c>
      <c r="L561" s="7">
        <f t="shared" si="313"/>
        <v>20</v>
      </c>
      <c r="M561" s="7">
        <f t="shared" si="313"/>
        <v>0</v>
      </c>
      <c r="N561" s="7">
        <f t="shared" si="295"/>
        <v>0</v>
      </c>
    </row>
    <row r="562" spans="1:14" ht="31.5">
      <c r="A562" s="26" t="s">
        <v>185</v>
      </c>
      <c r="B562" s="21" t="s">
        <v>391</v>
      </c>
      <c r="C562" s="42" t="s">
        <v>170</v>
      </c>
      <c r="D562" s="42" t="s">
        <v>192</v>
      </c>
      <c r="E562" s="2">
        <v>240</v>
      </c>
      <c r="F562" s="2"/>
      <c r="G562" s="7">
        <v>20</v>
      </c>
      <c r="H562" s="7">
        <v>20</v>
      </c>
      <c r="I562" s="7">
        <f>'Прил.№4 ведомств.'!J257</f>
        <v>20</v>
      </c>
      <c r="J562" s="7">
        <f>'Прил.№4 ведомств.'!K257</f>
        <v>20</v>
      </c>
      <c r="K562" s="7">
        <f>'Прил.№4 ведомств.'!L257</f>
        <v>20</v>
      </c>
      <c r="L562" s="7">
        <f>'Прил.№4 ведомств.'!M257</f>
        <v>20</v>
      </c>
      <c r="M562" s="7">
        <f>'Прил.№4 ведомств.'!N257</f>
        <v>0</v>
      </c>
      <c r="N562" s="7">
        <f t="shared" si="295"/>
        <v>0</v>
      </c>
    </row>
    <row r="563" spans="1:14" ht="47.25">
      <c r="A563" s="33" t="s">
        <v>923</v>
      </c>
      <c r="B563" s="21" t="s">
        <v>920</v>
      </c>
      <c r="C563" s="42" t="s">
        <v>170</v>
      </c>
      <c r="D563" s="42" t="s">
        <v>192</v>
      </c>
      <c r="E563" s="2"/>
      <c r="F563" s="2"/>
      <c r="G563" s="7">
        <f>G564</f>
        <v>0</v>
      </c>
      <c r="H563" s="7">
        <f aca="true" t="shared" si="314" ref="H563:M564">H564</f>
        <v>0</v>
      </c>
      <c r="I563" s="7">
        <f t="shared" si="314"/>
        <v>5</v>
      </c>
      <c r="J563" s="7">
        <f t="shared" si="314"/>
        <v>5</v>
      </c>
      <c r="K563" s="7">
        <f t="shared" si="314"/>
        <v>5</v>
      </c>
      <c r="L563" s="7">
        <f t="shared" si="314"/>
        <v>5</v>
      </c>
      <c r="M563" s="7">
        <f t="shared" si="314"/>
        <v>0</v>
      </c>
      <c r="N563" s="7">
        <f t="shared" si="295"/>
        <v>0</v>
      </c>
    </row>
    <row r="564" spans="1:14" ht="31.5">
      <c r="A564" s="26" t="s">
        <v>183</v>
      </c>
      <c r="B564" s="21" t="s">
        <v>920</v>
      </c>
      <c r="C564" s="21" t="s">
        <v>170</v>
      </c>
      <c r="D564" s="21" t="s">
        <v>192</v>
      </c>
      <c r="E564" s="21" t="s">
        <v>184</v>
      </c>
      <c r="F564" s="213"/>
      <c r="G564" s="7">
        <f>G565</f>
        <v>0</v>
      </c>
      <c r="H564" s="7">
        <f t="shared" si="314"/>
        <v>0</v>
      </c>
      <c r="I564" s="7">
        <f t="shared" si="314"/>
        <v>5</v>
      </c>
      <c r="J564" s="7">
        <f t="shared" si="314"/>
        <v>5</v>
      </c>
      <c r="K564" s="7">
        <f t="shared" si="314"/>
        <v>5</v>
      </c>
      <c r="L564" s="7">
        <f t="shared" si="314"/>
        <v>5</v>
      </c>
      <c r="M564" s="7">
        <f t="shared" si="314"/>
        <v>0</v>
      </c>
      <c r="N564" s="7">
        <f t="shared" si="295"/>
        <v>0</v>
      </c>
    </row>
    <row r="565" spans="1:14" ht="31.5">
      <c r="A565" s="26" t="s">
        <v>185</v>
      </c>
      <c r="B565" s="21" t="s">
        <v>920</v>
      </c>
      <c r="C565" s="21" t="s">
        <v>170</v>
      </c>
      <c r="D565" s="21" t="s">
        <v>192</v>
      </c>
      <c r="E565" s="21" t="s">
        <v>186</v>
      </c>
      <c r="F565" s="213"/>
      <c r="G565" s="7">
        <v>0</v>
      </c>
      <c r="H565" s="7">
        <v>0</v>
      </c>
      <c r="I565" s="7">
        <f>'Прил.№4 ведомств.'!J260</f>
        <v>5</v>
      </c>
      <c r="J565" s="7">
        <f>'Прил.№4 ведомств.'!K260</f>
        <v>5</v>
      </c>
      <c r="K565" s="7">
        <f>'Прил.№4 ведомств.'!L260</f>
        <v>5</v>
      </c>
      <c r="L565" s="7">
        <f>'Прил.№4 ведомств.'!M260</f>
        <v>5</v>
      </c>
      <c r="M565" s="7">
        <f>'Прил.№4 ведомств.'!N260</f>
        <v>0</v>
      </c>
      <c r="N565" s="7">
        <f t="shared" si="295"/>
        <v>0</v>
      </c>
    </row>
    <row r="566" spans="1:14" ht="31.5" hidden="1">
      <c r="A566" s="26" t="s">
        <v>762</v>
      </c>
      <c r="B566" s="21" t="s">
        <v>925</v>
      </c>
      <c r="C566" s="42" t="s">
        <v>170</v>
      </c>
      <c r="D566" s="42" t="s">
        <v>192</v>
      </c>
      <c r="E566" s="2"/>
      <c r="F566" s="213"/>
      <c r="G566" s="7">
        <f>G567</f>
        <v>105</v>
      </c>
      <c r="H566" s="7">
        <f aca="true" t="shared" si="315" ref="H566:M567">H567</f>
        <v>105</v>
      </c>
      <c r="I566" s="7">
        <f t="shared" si="315"/>
        <v>0</v>
      </c>
      <c r="J566" s="7">
        <f t="shared" si="315"/>
        <v>0</v>
      </c>
      <c r="K566" s="7">
        <f t="shared" si="315"/>
        <v>0</v>
      </c>
      <c r="L566" s="7">
        <f t="shared" si="315"/>
        <v>0</v>
      </c>
      <c r="M566" s="7">
        <f t="shared" si="315"/>
        <v>0</v>
      </c>
      <c r="N566" s="7" t="e">
        <f t="shared" si="295"/>
        <v>#DIV/0!</v>
      </c>
    </row>
    <row r="567" spans="1:14" ht="31.5" hidden="1">
      <c r="A567" s="26" t="s">
        <v>183</v>
      </c>
      <c r="B567" s="21" t="s">
        <v>925</v>
      </c>
      <c r="C567" s="42" t="s">
        <v>170</v>
      </c>
      <c r="D567" s="42" t="s">
        <v>192</v>
      </c>
      <c r="E567" s="2">
        <v>200</v>
      </c>
      <c r="F567" s="213"/>
      <c r="G567" s="7">
        <f>G568</f>
        <v>105</v>
      </c>
      <c r="H567" s="7">
        <f t="shared" si="315"/>
        <v>105</v>
      </c>
      <c r="I567" s="7">
        <f t="shared" si="315"/>
        <v>0</v>
      </c>
      <c r="J567" s="7">
        <f t="shared" si="315"/>
        <v>0</v>
      </c>
      <c r="K567" s="7">
        <f t="shared" si="315"/>
        <v>0</v>
      </c>
      <c r="L567" s="7">
        <f t="shared" si="315"/>
        <v>0</v>
      </c>
      <c r="M567" s="7">
        <f t="shared" si="315"/>
        <v>0</v>
      </c>
      <c r="N567" s="7" t="e">
        <f t="shared" si="295"/>
        <v>#DIV/0!</v>
      </c>
    </row>
    <row r="568" spans="1:14" ht="31.5" hidden="1">
      <c r="A568" s="26" t="s">
        <v>185</v>
      </c>
      <c r="B568" s="21" t="s">
        <v>925</v>
      </c>
      <c r="C568" s="42" t="s">
        <v>170</v>
      </c>
      <c r="D568" s="42" t="s">
        <v>192</v>
      </c>
      <c r="E568" s="2">
        <v>240</v>
      </c>
      <c r="F568" s="213"/>
      <c r="G568" s="7">
        <v>105</v>
      </c>
      <c r="H568" s="7">
        <v>105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 t="e">
        <f t="shared" si="295"/>
        <v>#DIV/0!</v>
      </c>
    </row>
    <row r="569" spans="1:14" ht="31.5">
      <c r="A569" s="33" t="s">
        <v>924</v>
      </c>
      <c r="B569" s="21" t="s">
        <v>921</v>
      </c>
      <c r="C569" s="21" t="s">
        <v>170</v>
      </c>
      <c r="D569" s="21" t="s">
        <v>192</v>
      </c>
      <c r="E569" s="21"/>
      <c r="F569" s="213"/>
      <c r="G569" s="7">
        <f>G570</f>
        <v>0</v>
      </c>
      <c r="H569" s="7">
        <f aca="true" t="shared" si="316" ref="H569:M570">H570</f>
        <v>0</v>
      </c>
      <c r="I569" s="7">
        <f t="shared" si="316"/>
        <v>20</v>
      </c>
      <c r="J569" s="7">
        <f t="shared" si="316"/>
        <v>20</v>
      </c>
      <c r="K569" s="7">
        <f t="shared" si="316"/>
        <v>20</v>
      </c>
      <c r="L569" s="7">
        <f t="shared" si="316"/>
        <v>20</v>
      </c>
      <c r="M569" s="7">
        <f t="shared" si="316"/>
        <v>0</v>
      </c>
      <c r="N569" s="7">
        <f t="shared" si="295"/>
        <v>0</v>
      </c>
    </row>
    <row r="570" spans="1:14" ht="31.5">
      <c r="A570" s="26" t="s">
        <v>183</v>
      </c>
      <c r="B570" s="21" t="s">
        <v>921</v>
      </c>
      <c r="C570" s="21" t="s">
        <v>170</v>
      </c>
      <c r="D570" s="21" t="s">
        <v>192</v>
      </c>
      <c r="E570" s="21" t="s">
        <v>184</v>
      </c>
      <c r="F570" s="213"/>
      <c r="G570" s="7">
        <f>G571</f>
        <v>0</v>
      </c>
      <c r="H570" s="7">
        <f t="shared" si="316"/>
        <v>0</v>
      </c>
      <c r="I570" s="7">
        <f t="shared" si="316"/>
        <v>20</v>
      </c>
      <c r="J570" s="7">
        <f t="shared" si="316"/>
        <v>20</v>
      </c>
      <c r="K570" s="7">
        <f t="shared" si="316"/>
        <v>20</v>
      </c>
      <c r="L570" s="7">
        <f t="shared" si="316"/>
        <v>20</v>
      </c>
      <c r="M570" s="7">
        <f t="shared" si="316"/>
        <v>0</v>
      </c>
      <c r="N570" s="7">
        <f t="shared" si="295"/>
        <v>0</v>
      </c>
    </row>
    <row r="571" spans="1:14" ht="31.5">
      <c r="A571" s="26" t="s">
        <v>185</v>
      </c>
      <c r="B571" s="21" t="s">
        <v>921</v>
      </c>
      <c r="C571" s="21" t="s">
        <v>170</v>
      </c>
      <c r="D571" s="21" t="s">
        <v>192</v>
      </c>
      <c r="E571" s="21" t="s">
        <v>186</v>
      </c>
      <c r="F571" s="213"/>
      <c r="G571" s="7">
        <v>0</v>
      </c>
      <c r="H571" s="7">
        <v>0</v>
      </c>
      <c r="I571" s="7">
        <f>'Прил.№4 ведомств.'!J266</f>
        <v>20</v>
      </c>
      <c r="J571" s="7">
        <f>'Прил.№4 ведомств.'!K266</f>
        <v>20</v>
      </c>
      <c r="K571" s="7">
        <f>'Прил.№4 ведомств.'!L266</f>
        <v>20</v>
      </c>
      <c r="L571" s="7">
        <f>'Прил.№4 ведомств.'!M266</f>
        <v>20</v>
      </c>
      <c r="M571" s="7">
        <f>'Прил.№4 ведомств.'!N266</f>
        <v>0</v>
      </c>
      <c r="N571" s="7">
        <f t="shared" si="295"/>
        <v>0</v>
      </c>
    </row>
    <row r="572" spans="1:14" ht="47.25">
      <c r="A572" s="47" t="s">
        <v>313</v>
      </c>
      <c r="B572" s="21" t="s">
        <v>387</v>
      </c>
      <c r="C572" s="42" t="s">
        <v>170</v>
      </c>
      <c r="D572" s="42" t="s">
        <v>192</v>
      </c>
      <c r="E572" s="2"/>
      <c r="F572" s="2">
        <v>903</v>
      </c>
      <c r="G572" s="7">
        <f>G552+G560+G563+G566+G569</f>
        <v>125</v>
      </c>
      <c r="H572" s="7">
        <f aca="true" t="shared" si="317" ref="H572:L572">H552+H560+H563+H566+H569</f>
        <v>125</v>
      </c>
      <c r="I572" s="7">
        <f t="shared" si="317"/>
        <v>95</v>
      </c>
      <c r="J572" s="7">
        <f t="shared" si="317"/>
        <v>95</v>
      </c>
      <c r="K572" s="7">
        <f t="shared" si="317"/>
        <v>95</v>
      </c>
      <c r="L572" s="7">
        <f t="shared" si="317"/>
        <v>95</v>
      </c>
      <c r="M572" s="7">
        <f aca="true" t="shared" si="318" ref="M572">M552+M560+M563+M566+M569</f>
        <v>0</v>
      </c>
      <c r="N572" s="7">
        <f t="shared" si="295"/>
        <v>0</v>
      </c>
    </row>
    <row r="573" spans="1:14" ht="15.75">
      <c r="A573" s="31" t="s">
        <v>191</v>
      </c>
      <c r="B573" s="21" t="s">
        <v>387</v>
      </c>
      <c r="C573" s="42" t="s">
        <v>170</v>
      </c>
      <c r="D573" s="42" t="s">
        <v>192</v>
      </c>
      <c r="E573" s="2"/>
      <c r="F573" s="2"/>
      <c r="G573" s="7">
        <f>G577+G582+G585</f>
        <v>20</v>
      </c>
      <c r="H573" s="7">
        <f aca="true" t="shared" si="319" ref="H573:K573">H577+H582+H585</f>
        <v>20</v>
      </c>
      <c r="I573" s="7">
        <f t="shared" si="319"/>
        <v>0</v>
      </c>
      <c r="J573" s="7">
        <f t="shared" si="319"/>
        <v>0</v>
      </c>
      <c r="K573" s="7">
        <f t="shared" si="319"/>
        <v>0</v>
      </c>
      <c r="L573" s="7">
        <f>L577+L582+L585+L574+L588</f>
        <v>60</v>
      </c>
      <c r="M573" s="7">
        <f>M577+M582+M585+M574+M588</f>
        <v>0</v>
      </c>
      <c r="N573" s="7">
        <f t="shared" si="295"/>
        <v>0</v>
      </c>
    </row>
    <row r="574" spans="1:14" ht="31.5">
      <c r="A574" s="26" t="s">
        <v>388</v>
      </c>
      <c r="B574" s="21" t="s">
        <v>389</v>
      </c>
      <c r="C574" s="42" t="s">
        <v>170</v>
      </c>
      <c r="D574" s="42" t="s">
        <v>192</v>
      </c>
      <c r="E574" s="2"/>
      <c r="F574" s="2"/>
      <c r="G574" s="7">
        <f>G575</f>
        <v>0</v>
      </c>
      <c r="H574" s="7">
        <f aca="true" t="shared" si="320" ref="H574:M575">H575</f>
        <v>0</v>
      </c>
      <c r="I574" s="7">
        <f t="shared" si="320"/>
        <v>50</v>
      </c>
      <c r="J574" s="7">
        <f t="shared" si="320"/>
        <v>50</v>
      </c>
      <c r="K574" s="7">
        <f t="shared" si="320"/>
        <v>50</v>
      </c>
      <c r="L574" s="7">
        <f t="shared" si="320"/>
        <v>50</v>
      </c>
      <c r="M574" s="7">
        <f t="shared" si="320"/>
        <v>0</v>
      </c>
      <c r="N574" s="7">
        <f t="shared" si="295"/>
        <v>0</v>
      </c>
    </row>
    <row r="575" spans="1:14" ht="31.5">
      <c r="A575" s="26" t="s">
        <v>183</v>
      </c>
      <c r="B575" s="21" t="s">
        <v>389</v>
      </c>
      <c r="C575" s="42" t="s">
        <v>170</v>
      </c>
      <c r="D575" s="42" t="s">
        <v>192</v>
      </c>
      <c r="E575" s="2">
        <v>200</v>
      </c>
      <c r="F575" s="2"/>
      <c r="G575" s="7">
        <f>G576</f>
        <v>0</v>
      </c>
      <c r="H575" s="7">
        <f t="shared" si="320"/>
        <v>0</v>
      </c>
      <c r="I575" s="7">
        <f t="shared" si="320"/>
        <v>50</v>
      </c>
      <c r="J575" s="7">
        <f t="shared" si="320"/>
        <v>50</v>
      </c>
      <c r="K575" s="7">
        <f t="shared" si="320"/>
        <v>50</v>
      </c>
      <c r="L575" s="7">
        <f t="shared" si="320"/>
        <v>50</v>
      </c>
      <c r="M575" s="7">
        <f t="shared" si="320"/>
        <v>0</v>
      </c>
      <c r="N575" s="7">
        <f t="shared" si="295"/>
        <v>0</v>
      </c>
    </row>
    <row r="576" spans="1:14" ht="31.5">
      <c r="A576" s="26" t="s">
        <v>185</v>
      </c>
      <c r="B576" s="21" t="s">
        <v>389</v>
      </c>
      <c r="C576" s="42" t="s">
        <v>170</v>
      </c>
      <c r="D576" s="42" t="s">
        <v>192</v>
      </c>
      <c r="E576" s="2">
        <v>240</v>
      </c>
      <c r="F576" s="2"/>
      <c r="G576" s="7">
        <v>0</v>
      </c>
      <c r="H576" s="7">
        <v>0</v>
      </c>
      <c r="I576" s="7">
        <f>'Прил.№4 ведомств.'!J581</f>
        <v>50</v>
      </c>
      <c r="J576" s="7">
        <f>'Прил.№4 ведомств.'!K581</f>
        <v>50</v>
      </c>
      <c r="K576" s="7">
        <f>'Прил.№4 ведомств.'!L581</f>
        <v>50</v>
      </c>
      <c r="L576" s="7">
        <f>'Прил.№4 ведомств.'!M581</f>
        <v>50</v>
      </c>
      <c r="M576" s="7">
        <f>'Прил.№4 ведомств.'!N581</f>
        <v>0</v>
      </c>
      <c r="N576" s="7">
        <f t="shared" si="295"/>
        <v>0</v>
      </c>
    </row>
    <row r="577" spans="1:14" ht="31.5" hidden="1">
      <c r="A577" s="26" t="s">
        <v>388</v>
      </c>
      <c r="B577" s="21" t="s">
        <v>530</v>
      </c>
      <c r="C577" s="42" t="s">
        <v>170</v>
      </c>
      <c r="D577" s="42" t="s">
        <v>192</v>
      </c>
      <c r="E577" s="2"/>
      <c r="F577" s="2"/>
      <c r="G577" s="7">
        <f>G580+G578</f>
        <v>20</v>
      </c>
      <c r="H577" s="7">
        <f aca="true" t="shared" si="321" ref="H577:L577">H580+H578</f>
        <v>20</v>
      </c>
      <c r="I577" s="7">
        <f t="shared" si="321"/>
        <v>0</v>
      </c>
      <c r="J577" s="7">
        <f t="shared" si="321"/>
        <v>0</v>
      </c>
      <c r="K577" s="7">
        <f t="shared" si="321"/>
        <v>0</v>
      </c>
      <c r="L577" s="7">
        <f t="shared" si="321"/>
        <v>0</v>
      </c>
      <c r="M577" s="7">
        <f aca="true" t="shared" si="322" ref="M577">M580+M578</f>
        <v>0</v>
      </c>
      <c r="N577" s="7" t="e">
        <f t="shared" si="295"/>
        <v>#DIV/0!</v>
      </c>
    </row>
    <row r="578" spans="1:14" ht="78.75" hidden="1">
      <c r="A578" s="26" t="s">
        <v>179</v>
      </c>
      <c r="B578" s="21" t="s">
        <v>530</v>
      </c>
      <c r="C578" s="42" t="s">
        <v>170</v>
      </c>
      <c r="D578" s="42" t="s">
        <v>192</v>
      </c>
      <c r="E578" s="2">
        <v>100</v>
      </c>
      <c r="F578" s="2"/>
      <c r="G578" s="7">
        <f>G579</f>
        <v>5</v>
      </c>
      <c r="H578" s="7">
        <f aca="true" t="shared" si="323" ref="H578:M578">H579</f>
        <v>5</v>
      </c>
      <c r="I578" s="7">
        <f t="shared" si="323"/>
        <v>0</v>
      </c>
      <c r="J578" s="7">
        <f t="shared" si="323"/>
        <v>0</v>
      </c>
      <c r="K578" s="7">
        <f t="shared" si="323"/>
        <v>0</v>
      </c>
      <c r="L578" s="7">
        <f t="shared" si="323"/>
        <v>0</v>
      </c>
      <c r="M578" s="7">
        <f t="shared" si="323"/>
        <v>0</v>
      </c>
      <c r="N578" s="7" t="e">
        <f t="shared" si="295"/>
        <v>#DIV/0!</v>
      </c>
    </row>
    <row r="579" spans="1:14" ht="15.75" hidden="1">
      <c r="A579" s="26" t="s">
        <v>394</v>
      </c>
      <c r="B579" s="21" t="s">
        <v>530</v>
      </c>
      <c r="C579" s="42" t="s">
        <v>170</v>
      </c>
      <c r="D579" s="42" t="s">
        <v>192</v>
      </c>
      <c r="E579" s="2">
        <v>110</v>
      </c>
      <c r="F579" s="2"/>
      <c r="G579" s="7">
        <v>5</v>
      </c>
      <c r="H579" s="7">
        <v>5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 t="e">
        <f t="shared" si="295"/>
        <v>#DIV/0!</v>
      </c>
    </row>
    <row r="580" spans="1:14" ht="31.5" hidden="1">
      <c r="A580" s="26" t="s">
        <v>183</v>
      </c>
      <c r="B580" s="21" t="s">
        <v>530</v>
      </c>
      <c r="C580" s="42" t="s">
        <v>170</v>
      </c>
      <c r="D580" s="42" t="s">
        <v>192</v>
      </c>
      <c r="E580" s="2">
        <v>200</v>
      </c>
      <c r="F580" s="2"/>
      <c r="G580" s="7">
        <f>G581</f>
        <v>15</v>
      </c>
      <c r="H580" s="7">
        <f aca="true" t="shared" si="324" ref="H580:M580">H581</f>
        <v>15</v>
      </c>
      <c r="I580" s="7">
        <f t="shared" si="324"/>
        <v>0</v>
      </c>
      <c r="J580" s="7">
        <f t="shared" si="324"/>
        <v>0</v>
      </c>
      <c r="K580" s="7">
        <f t="shared" si="324"/>
        <v>0</v>
      </c>
      <c r="L580" s="7">
        <f t="shared" si="324"/>
        <v>0</v>
      </c>
      <c r="M580" s="7">
        <f t="shared" si="324"/>
        <v>0</v>
      </c>
      <c r="N580" s="7" t="e">
        <f t="shared" si="295"/>
        <v>#DIV/0!</v>
      </c>
    </row>
    <row r="581" spans="1:14" ht="31.5" hidden="1">
      <c r="A581" s="26" t="s">
        <v>185</v>
      </c>
      <c r="B581" s="21" t="s">
        <v>530</v>
      </c>
      <c r="C581" s="42" t="s">
        <v>170</v>
      </c>
      <c r="D581" s="42" t="s">
        <v>192</v>
      </c>
      <c r="E581" s="2">
        <v>240</v>
      </c>
      <c r="F581" s="2"/>
      <c r="G581" s="7">
        <v>15</v>
      </c>
      <c r="H581" s="7">
        <v>15</v>
      </c>
      <c r="I581" s="7">
        <f>'Прил.№4 ведомств.'!J419</f>
        <v>0</v>
      </c>
      <c r="J581" s="7">
        <f>'Прил.№4 ведомств.'!K419</f>
        <v>0</v>
      </c>
      <c r="K581" s="7">
        <f>'Прил.№4 ведомств.'!L419</f>
        <v>0</v>
      </c>
      <c r="L581" s="7">
        <f>'Прил.№4 ведомств.'!M419</f>
        <v>0</v>
      </c>
      <c r="M581" s="7">
        <f>'Прил.№4 ведомств.'!N419</f>
        <v>0</v>
      </c>
      <c r="N581" s="7" t="e">
        <f t="shared" si="295"/>
        <v>#DIV/0!</v>
      </c>
    </row>
    <row r="582" spans="1:14" ht="31.5" hidden="1">
      <c r="A582" s="26" t="s">
        <v>390</v>
      </c>
      <c r="B582" s="21" t="s">
        <v>391</v>
      </c>
      <c r="C582" s="42" t="s">
        <v>170</v>
      </c>
      <c r="D582" s="42" t="s">
        <v>192</v>
      </c>
      <c r="E582" s="2"/>
      <c r="F582" s="2"/>
      <c r="G582" s="7">
        <f>G583</f>
        <v>0</v>
      </c>
      <c r="H582" s="7">
        <f aca="true" t="shared" si="325" ref="H582:M583">H583</f>
        <v>0</v>
      </c>
      <c r="I582" s="7">
        <f t="shared" si="325"/>
        <v>0</v>
      </c>
      <c r="J582" s="7">
        <f t="shared" si="325"/>
        <v>0</v>
      </c>
      <c r="K582" s="7">
        <f t="shared" si="325"/>
        <v>0</v>
      </c>
      <c r="L582" s="7">
        <f t="shared" si="325"/>
        <v>0</v>
      </c>
      <c r="M582" s="7">
        <f t="shared" si="325"/>
        <v>0</v>
      </c>
      <c r="N582" s="7" t="e">
        <f t="shared" si="295"/>
        <v>#DIV/0!</v>
      </c>
    </row>
    <row r="583" spans="1:14" ht="31.5" hidden="1">
      <c r="A583" s="26" t="s">
        <v>183</v>
      </c>
      <c r="B583" s="21" t="s">
        <v>391</v>
      </c>
      <c r="C583" s="42" t="s">
        <v>170</v>
      </c>
      <c r="D583" s="42" t="s">
        <v>192</v>
      </c>
      <c r="E583" s="2">
        <v>200</v>
      </c>
      <c r="F583" s="2"/>
      <c r="G583" s="7">
        <f>G584</f>
        <v>0</v>
      </c>
      <c r="H583" s="7">
        <f t="shared" si="325"/>
        <v>0</v>
      </c>
      <c r="I583" s="7">
        <f t="shared" si="325"/>
        <v>0</v>
      </c>
      <c r="J583" s="7">
        <f t="shared" si="325"/>
        <v>0</v>
      </c>
      <c r="K583" s="7">
        <f t="shared" si="325"/>
        <v>0</v>
      </c>
      <c r="L583" s="7">
        <f t="shared" si="325"/>
        <v>0</v>
      </c>
      <c r="M583" s="7">
        <f t="shared" si="325"/>
        <v>0</v>
      </c>
      <c r="N583" s="7" t="e">
        <f t="shared" si="295"/>
        <v>#DIV/0!</v>
      </c>
    </row>
    <row r="584" spans="1:14" ht="31.5" hidden="1">
      <c r="A584" s="26" t="s">
        <v>185</v>
      </c>
      <c r="B584" s="21" t="s">
        <v>391</v>
      </c>
      <c r="C584" s="42" t="s">
        <v>170</v>
      </c>
      <c r="D584" s="42" t="s">
        <v>192</v>
      </c>
      <c r="E584" s="2">
        <v>240</v>
      </c>
      <c r="F584" s="2"/>
      <c r="G584" s="7">
        <v>0</v>
      </c>
      <c r="H584" s="7">
        <v>0</v>
      </c>
      <c r="I584" s="7">
        <f>'Прил.№4 ведомств.'!J425</f>
        <v>0</v>
      </c>
      <c r="J584" s="7">
        <f>'Прил.№4 ведомств.'!K425</f>
        <v>0</v>
      </c>
      <c r="K584" s="7">
        <f>'Прил.№4 ведомств.'!L425</f>
        <v>0</v>
      </c>
      <c r="L584" s="7">
        <f>'Прил.№4 ведомств.'!M425</f>
        <v>0</v>
      </c>
      <c r="M584" s="7">
        <f>'Прил.№4 ведомств.'!N425</f>
        <v>0</v>
      </c>
      <c r="N584" s="7" t="e">
        <f t="shared" si="295"/>
        <v>#DIV/0!</v>
      </c>
    </row>
    <row r="585" spans="1:14" ht="31.5" hidden="1">
      <c r="A585" s="26" t="s">
        <v>762</v>
      </c>
      <c r="B585" s="21" t="s">
        <v>763</v>
      </c>
      <c r="C585" s="42" t="s">
        <v>170</v>
      </c>
      <c r="D585" s="42" t="s">
        <v>192</v>
      </c>
      <c r="E585" s="2"/>
      <c r="F585" s="2"/>
      <c r="G585" s="7">
        <f>G586</f>
        <v>0</v>
      </c>
      <c r="H585" s="7">
        <f aca="true" t="shared" si="326" ref="H585:M586">H586</f>
        <v>0</v>
      </c>
      <c r="I585" s="7">
        <f t="shared" si="326"/>
        <v>0</v>
      </c>
      <c r="J585" s="7">
        <f t="shared" si="326"/>
        <v>0</v>
      </c>
      <c r="K585" s="7">
        <f t="shared" si="326"/>
        <v>0</v>
      </c>
      <c r="L585" s="7">
        <f t="shared" si="326"/>
        <v>0</v>
      </c>
      <c r="M585" s="7">
        <f t="shared" si="326"/>
        <v>0</v>
      </c>
      <c r="N585" s="7" t="e">
        <f t="shared" si="295"/>
        <v>#DIV/0!</v>
      </c>
    </row>
    <row r="586" spans="1:14" ht="31.5" hidden="1">
      <c r="A586" s="26" t="s">
        <v>183</v>
      </c>
      <c r="B586" s="21" t="s">
        <v>763</v>
      </c>
      <c r="C586" s="42" t="s">
        <v>170</v>
      </c>
      <c r="D586" s="42" t="s">
        <v>192</v>
      </c>
      <c r="E586" s="2">
        <v>200</v>
      </c>
      <c r="F586" s="2"/>
      <c r="G586" s="7">
        <f>G587</f>
        <v>0</v>
      </c>
      <c r="H586" s="7">
        <f t="shared" si="326"/>
        <v>0</v>
      </c>
      <c r="I586" s="7">
        <f t="shared" si="326"/>
        <v>0</v>
      </c>
      <c r="J586" s="7">
        <f t="shared" si="326"/>
        <v>0</v>
      </c>
      <c r="K586" s="7">
        <f t="shared" si="326"/>
        <v>0</v>
      </c>
      <c r="L586" s="7">
        <f t="shared" si="326"/>
        <v>0</v>
      </c>
      <c r="M586" s="7">
        <f t="shared" si="326"/>
        <v>0</v>
      </c>
      <c r="N586" s="7" t="e">
        <f t="shared" si="295"/>
        <v>#DIV/0!</v>
      </c>
    </row>
    <row r="587" spans="1:14" ht="31.5" hidden="1">
      <c r="A587" s="26" t="s">
        <v>185</v>
      </c>
      <c r="B587" s="21" t="s">
        <v>763</v>
      </c>
      <c r="C587" s="42" t="s">
        <v>170</v>
      </c>
      <c r="D587" s="42" t="s">
        <v>192</v>
      </c>
      <c r="E587" s="2">
        <v>240</v>
      </c>
      <c r="F587" s="2"/>
      <c r="G587" s="7">
        <v>0</v>
      </c>
      <c r="H587" s="7">
        <v>0</v>
      </c>
      <c r="I587" s="7">
        <f>'Прил.№4 ведомств.'!J431</f>
        <v>0</v>
      </c>
      <c r="J587" s="7">
        <f>'Прил.№4 ведомств.'!K431</f>
        <v>0</v>
      </c>
      <c r="K587" s="7">
        <f>'Прил.№4 ведомств.'!L431</f>
        <v>0</v>
      </c>
      <c r="L587" s="7">
        <f>'Прил.№4 ведомств.'!M431</f>
        <v>0</v>
      </c>
      <c r="M587" s="7">
        <f>'Прил.№4 ведомств.'!N431</f>
        <v>0</v>
      </c>
      <c r="N587" s="7" t="e">
        <f t="shared" si="295"/>
        <v>#DIV/0!</v>
      </c>
    </row>
    <row r="588" spans="1:14" ht="15.75">
      <c r="A588" s="33" t="s">
        <v>927</v>
      </c>
      <c r="B588" s="21" t="s">
        <v>926</v>
      </c>
      <c r="C588" s="42" t="s">
        <v>170</v>
      </c>
      <c r="D588" s="42" t="s">
        <v>192</v>
      </c>
      <c r="E588" s="2"/>
      <c r="F588" s="2"/>
      <c r="G588" s="7">
        <f>G589</f>
        <v>0</v>
      </c>
      <c r="H588" s="7">
        <f aca="true" t="shared" si="327" ref="H588:M589">H589</f>
        <v>0</v>
      </c>
      <c r="I588" s="7">
        <f t="shared" si="327"/>
        <v>10</v>
      </c>
      <c r="J588" s="7">
        <f t="shared" si="327"/>
        <v>10</v>
      </c>
      <c r="K588" s="7">
        <f t="shared" si="327"/>
        <v>10</v>
      </c>
      <c r="L588" s="7">
        <f t="shared" si="327"/>
        <v>10</v>
      </c>
      <c r="M588" s="7">
        <f t="shared" si="327"/>
        <v>0</v>
      </c>
      <c r="N588" s="7">
        <f aca="true" t="shared" si="328" ref="N588:N631">M588/L588*100</f>
        <v>0</v>
      </c>
    </row>
    <row r="589" spans="1:14" ht="31.5">
      <c r="A589" s="26" t="s">
        <v>183</v>
      </c>
      <c r="B589" s="21" t="s">
        <v>926</v>
      </c>
      <c r="C589" s="42" t="s">
        <v>170</v>
      </c>
      <c r="D589" s="42" t="s">
        <v>192</v>
      </c>
      <c r="E589" s="2">
        <v>200</v>
      </c>
      <c r="F589" s="2"/>
      <c r="G589" s="7">
        <f>G590</f>
        <v>0</v>
      </c>
      <c r="H589" s="7">
        <f t="shared" si="327"/>
        <v>0</v>
      </c>
      <c r="I589" s="7">
        <f t="shared" si="327"/>
        <v>10</v>
      </c>
      <c r="J589" s="7">
        <f t="shared" si="327"/>
        <v>10</v>
      </c>
      <c r="K589" s="7">
        <f t="shared" si="327"/>
        <v>10</v>
      </c>
      <c r="L589" s="7">
        <f t="shared" si="327"/>
        <v>10</v>
      </c>
      <c r="M589" s="7">
        <f t="shared" si="327"/>
        <v>0</v>
      </c>
      <c r="N589" s="7">
        <f t="shared" si="328"/>
        <v>0</v>
      </c>
    </row>
    <row r="590" spans="1:14" ht="31.5">
      <c r="A590" s="26" t="s">
        <v>185</v>
      </c>
      <c r="B590" s="21" t="s">
        <v>926</v>
      </c>
      <c r="C590" s="42" t="s">
        <v>170</v>
      </c>
      <c r="D590" s="42" t="s">
        <v>192</v>
      </c>
      <c r="E590" s="2">
        <v>240</v>
      </c>
      <c r="F590" s="2"/>
      <c r="G590" s="7">
        <v>0</v>
      </c>
      <c r="H590" s="7">
        <v>0</v>
      </c>
      <c r="I590" s="7">
        <f>'Прил.№4 ведомств.'!J584</f>
        <v>10</v>
      </c>
      <c r="J590" s="7">
        <f>'Прил.№4 ведомств.'!K584</f>
        <v>10</v>
      </c>
      <c r="K590" s="7">
        <f>'Прил.№4 ведомств.'!L584</f>
        <v>10</v>
      </c>
      <c r="L590" s="7">
        <f>'Прил.№4 ведомств.'!M584</f>
        <v>10</v>
      </c>
      <c r="M590" s="7">
        <f>'Прил.№4 ведомств.'!N584</f>
        <v>0</v>
      </c>
      <c r="N590" s="7">
        <f t="shared" si="328"/>
        <v>0</v>
      </c>
    </row>
    <row r="591" spans="1:14" ht="31.5">
      <c r="A591" s="47" t="s">
        <v>456</v>
      </c>
      <c r="B591" s="21" t="s">
        <v>387</v>
      </c>
      <c r="C591" s="42" t="s">
        <v>170</v>
      </c>
      <c r="D591" s="42" t="s">
        <v>192</v>
      </c>
      <c r="E591" s="2"/>
      <c r="F591" s="2">
        <v>906</v>
      </c>
      <c r="G591" s="7">
        <f>G577+G582+G585+G574+G588</f>
        <v>20</v>
      </c>
      <c r="H591" s="7">
        <f aca="true" t="shared" si="329" ref="H591:K591">H577+H582+H585+H574+H588</f>
        <v>20</v>
      </c>
      <c r="I591" s="7">
        <f t="shared" si="329"/>
        <v>60</v>
      </c>
      <c r="J591" s="7">
        <f t="shared" si="329"/>
        <v>60</v>
      </c>
      <c r="K591" s="7">
        <f t="shared" si="329"/>
        <v>60</v>
      </c>
      <c r="L591" s="7">
        <f>L573</f>
        <v>60</v>
      </c>
      <c r="M591" s="7">
        <f>M573</f>
        <v>0</v>
      </c>
      <c r="N591" s="7">
        <f t="shared" si="328"/>
        <v>0</v>
      </c>
    </row>
    <row r="592" spans="1:14" ht="63">
      <c r="A592" s="43" t="s">
        <v>805</v>
      </c>
      <c r="B592" s="25" t="s">
        <v>803</v>
      </c>
      <c r="C592" s="8"/>
      <c r="D592" s="8"/>
      <c r="E592" s="3"/>
      <c r="F592" s="3"/>
      <c r="G592" s="4" t="e">
        <f>G593+#REF!</f>
        <v>#REF!</v>
      </c>
      <c r="H592" s="4" t="e">
        <f>H593+#REF!</f>
        <v>#REF!</v>
      </c>
      <c r="I592" s="4" t="e">
        <f>I593+#REF!</f>
        <v>#REF!</v>
      </c>
      <c r="J592" s="4" t="e">
        <f>J593+#REF!</f>
        <v>#REF!</v>
      </c>
      <c r="K592" s="4" t="e">
        <f>K593+#REF!</f>
        <v>#REF!</v>
      </c>
      <c r="L592" s="4">
        <f>L593</f>
        <v>3957.2</v>
      </c>
      <c r="M592" s="4">
        <f>M593</f>
        <v>2491.5</v>
      </c>
      <c r="N592" s="4">
        <f t="shared" si="328"/>
        <v>62.96118467603357</v>
      </c>
    </row>
    <row r="593" spans="1:14" s="145" customFormat="1" ht="15.75">
      <c r="A593" s="31" t="s">
        <v>169</v>
      </c>
      <c r="B593" s="21" t="s">
        <v>803</v>
      </c>
      <c r="C593" s="42" t="s">
        <v>170</v>
      </c>
      <c r="D593" s="42"/>
      <c r="E593" s="2"/>
      <c r="F593" s="2"/>
      <c r="G593" s="7" t="e">
        <f>G594</f>
        <v>#REF!</v>
      </c>
      <c r="H593" s="7" t="e">
        <f aca="true" t="shared" si="330" ref="H593:K593">H594</f>
        <v>#REF!</v>
      </c>
      <c r="I593" s="7" t="e">
        <f t="shared" si="330"/>
        <v>#REF!</v>
      </c>
      <c r="J593" s="7" t="e">
        <f t="shared" si="330"/>
        <v>#REF!</v>
      </c>
      <c r="K593" s="7" t="e">
        <f t="shared" si="330"/>
        <v>#REF!</v>
      </c>
      <c r="L593" s="7">
        <f>L594</f>
        <v>3957.2</v>
      </c>
      <c r="M593" s="7">
        <f>M594</f>
        <v>2491.5</v>
      </c>
      <c r="N593" s="7">
        <f t="shared" si="328"/>
        <v>62.96118467603357</v>
      </c>
    </row>
    <row r="594" spans="1:14" s="145" customFormat="1" ht="15.75">
      <c r="A594" s="31" t="s">
        <v>191</v>
      </c>
      <c r="B594" s="21" t="s">
        <v>803</v>
      </c>
      <c r="C594" s="42" t="s">
        <v>170</v>
      </c>
      <c r="D594" s="42" t="s">
        <v>192</v>
      </c>
      <c r="E594" s="2"/>
      <c r="F594" s="2"/>
      <c r="G594" s="7" t="e">
        <f>G595+#REF!</f>
        <v>#REF!</v>
      </c>
      <c r="H594" s="7" t="e">
        <f>H595+#REF!</f>
        <v>#REF!</v>
      </c>
      <c r="I594" s="7" t="e">
        <f>I595+#REF!</f>
        <v>#REF!</v>
      </c>
      <c r="J594" s="7" t="e">
        <f>J595+#REF!</f>
        <v>#REF!</v>
      </c>
      <c r="K594" s="7" t="e">
        <f>K595+#REF!</f>
        <v>#REF!</v>
      </c>
      <c r="L594" s="7">
        <f>L601+L605+L610+L614+L615+L616</f>
        <v>3957.2</v>
      </c>
      <c r="M594" s="7">
        <f>M601+M605+M610+M614+M615+M616</f>
        <v>2491.5</v>
      </c>
      <c r="N594" s="7">
        <f t="shared" si="328"/>
        <v>62.96118467603357</v>
      </c>
    </row>
    <row r="595" spans="1:14" ht="31.5">
      <c r="A595" s="33" t="s">
        <v>209</v>
      </c>
      <c r="B595" s="21" t="s">
        <v>930</v>
      </c>
      <c r="C595" s="42" t="s">
        <v>170</v>
      </c>
      <c r="D595" s="42" t="s">
        <v>192</v>
      </c>
      <c r="E595" s="2"/>
      <c r="F595" s="2"/>
      <c r="G595" s="7">
        <f>G596</f>
        <v>29</v>
      </c>
      <c r="H595" s="7">
        <f aca="true" t="shared" si="331" ref="H595:M596">H596</f>
        <v>29</v>
      </c>
      <c r="I595" s="7">
        <f t="shared" si="331"/>
        <v>0</v>
      </c>
      <c r="J595" s="7">
        <f t="shared" si="331"/>
        <v>0</v>
      </c>
      <c r="K595" s="7">
        <f t="shared" si="331"/>
        <v>0</v>
      </c>
      <c r="L595" s="7">
        <f t="shared" si="331"/>
        <v>23</v>
      </c>
      <c r="M595" s="7">
        <f t="shared" si="331"/>
        <v>0</v>
      </c>
      <c r="N595" s="7">
        <f t="shared" si="328"/>
        <v>0</v>
      </c>
    </row>
    <row r="596" spans="1:14" ht="31.5">
      <c r="A596" s="26" t="s">
        <v>183</v>
      </c>
      <c r="B596" s="21" t="s">
        <v>930</v>
      </c>
      <c r="C596" s="42" t="s">
        <v>170</v>
      </c>
      <c r="D596" s="42" t="s">
        <v>192</v>
      </c>
      <c r="E596" s="2">
        <v>200</v>
      </c>
      <c r="F596" s="2"/>
      <c r="G596" s="7">
        <f>G597</f>
        <v>29</v>
      </c>
      <c r="H596" s="7">
        <f t="shared" si="331"/>
        <v>29</v>
      </c>
      <c r="I596" s="7">
        <f t="shared" si="331"/>
        <v>0</v>
      </c>
      <c r="J596" s="7">
        <f t="shared" si="331"/>
        <v>0</v>
      </c>
      <c r="K596" s="7">
        <f t="shared" si="331"/>
        <v>0</v>
      </c>
      <c r="L596" s="7">
        <f t="shared" si="331"/>
        <v>23</v>
      </c>
      <c r="M596" s="7">
        <f t="shared" si="331"/>
        <v>0</v>
      </c>
      <c r="N596" s="7">
        <f t="shared" si="328"/>
        <v>0</v>
      </c>
    </row>
    <row r="597" spans="1:14" ht="31.5">
      <c r="A597" s="26" t="s">
        <v>185</v>
      </c>
      <c r="B597" s="21" t="s">
        <v>930</v>
      </c>
      <c r="C597" s="42" t="s">
        <v>170</v>
      </c>
      <c r="D597" s="42" t="s">
        <v>192</v>
      </c>
      <c r="E597" s="2">
        <v>240</v>
      </c>
      <c r="F597" s="2"/>
      <c r="G597" s="7">
        <f>'Прил.№4 ведомств.'!G100</f>
        <v>29</v>
      </c>
      <c r="H597" s="7">
        <f>'Прил.№4 ведомств.'!I100</f>
        <v>29</v>
      </c>
      <c r="I597" s="7">
        <f>'Прил.№4 ведомств.'!J100</f>
        <v>0</v>
      </c>
      <c r="J597" s="7">
        <f>'Прил.№4 ведомств.'!K100</f>
        <v>0</v>
      </c>
      <c r="K597" s="7">
        <f>'Прил.№4 ведомств.'!L100</f>
        <v>0</v>
      </c>
      <c r="L597" s="7">
        <f>'Прил.№4 ведомств.'!M100</f>
        <v>23</v>
      </c>
      <c r="M597" s="7">
        <f>'Прил.№4 ведомств.'!N100</f>
        <v>0</v>
      </c>
      <c r="N597" s="7">
        <f t="shared" si="328"/>
        <v>0</v>
      </c>
    </row>
    <row r="598" spans="1:14" ht="31.5">
      <c r="A598" s="302" t="s">
        <v>933</v>
      </c>
      <c r="B598" s="21" t="s">
        <v>932</v>
      </c>
      <c r="C598" s="42" t="s">
        <v>170</v>
      </c>
      <c r="D598" s="42" t="s">
        <v>192</v>
      </c>
      <c r="E598" s="2"/>
      <c r="F598" s="2"/>
      <c r="G598" s="7">
        <f>G599</f>
        <v>29</v>
      </c>
      <c r="H598" s="7">
        <f aca="true" t="shared" si="332" ref="H598:M599">H599</f>
        <v>29</v>
      </c>
      <c r="I598" s="7">
        <f t="shared" si="332"/>
        <v>0</v>
      </c>
      <c r="J598" s="7">
        <f t="shared" si="332"/>
        <v>0</v>
      </c>
      <c r="K598" s="7">
        <f t="shared" si="332"/>
        <v>0</v>
      </c>
      <c r="L598" s="7">
        <f t="shared" si="332"/>
        <v>15</v>
      </c>
      <c r="M598" s="7">
        <f t="shared" si="332"/>
        <v>11</v>
      </c>
      <c r="N598" s="7">
        <f t="shared" si="328"/>
        <v>73.33333333333333</v>
      </c>
    </row>
    <row r="599" spans="1:14" ht="31.5">
      <c r="A599" s="26" t="s">
        <v>183</v>
      </c>
      <c r="B599" s="21" t="s">
        <v>932</v>
      </c>
      <c r="C599" s="42" t="s">
        <v>170</v>
      </c>
      <c r="D599" s="42" t="s">
        <v>192</v>
      </c>
      <c r="E599" s="2">
        <v>200</v>
      </c>
      <c r="F599" s="2"/>
      <c r="G599" s="7">
        <f>G600</f>
        <v>29</v>
      </c>
      <c r="H599" s="7">
        <f t="shared" si="332"/>
        <v>29</v>
      </c>
      <c r="I599" s="7">
        <f t="shared" si="332"/>
        <v>0</v>
      </c>
      <c r="J599" s="7">
        <f t="shared" si="332"/>
        <v>0</v>
      </c>
      <c r="K599" s="7">
        <f t="shared" si="332"/>
        <v>0</v>
      </c>
      <c r="L599" s="7">
        <f t="shared" si="332"/>
        <v>15</v>
      </c>
      <c r="M599" s="7">
        <f t="shared" si="332"/>
        <v>11</v>
      </c>
      <c r="N599" s="7">
        <f t="shared" si="328"/>
        <v>73.33333333333333</v>
      </c>
    </row>
    <row r="600" spans="1:14" ht="31.5">
      <c r="A600" s="26" t="s">
        <v>185</v>
      </c>
      <c r="B600" s="21" t="s">
        <v>932</v>
      </c>
      <c r="C600" s="42" t="s">
        <v>170</v>
      </c>
      <c r="D600" s="42" t="s">
        <v>192</v>
      </c>
      <c r="E600" s="2">
        <v>240</v>
      </c>
      <c r="F600" s="2"/>
      <c r="G600" s="7">
        <f>'Прил.№4 ведомств.'!G106</f>
        <v>29</v>
      </c>
      <c r="H600" s="7">
        <f>'Прил.№4 ведомств.'!I106</f>
        <v>29</v>
      </c>
      <c r="I600" s="7">
        <f>'Прил.№4 ведомств.'!J106</f>
        <v>0</v>
      </c>
      <c r="J600" s="7">
        <f>'Прил.№4 ведомств.'!K106</f>
        <v>0</v>
      </c>
      <c r="K600" s="7">
        <f>'Прил.№4 ведомств.'!L106</f>
        <v>0</v>
      </c>
      <c r="L600" s="7">
        <f>'Прил.№4 ведомств.'!M106</f>
        <v>15</v>
      </c>
      <c r="M600" s="7">
        <f>'Прил.№4 ведомств.'!N106</f>
        <v>11</v>
      </c>
      <c r="N600" s="7">
        <f t="shared" si="328"/>
        <v>73.33333333333333</v>
      </c>
    </row>
    <row r="601" spans="1:14" ht="15.75">
      <c r="A601" s="31" t="s">
        <v>200</v>
      </c>
      <c r="B601" s="21" t="s">
        <v>803</v>
      </c>
      <c r="C601" s="42" t="s">
        <v>170</v>
      </c>
      <c r="D601" s="42" t="s">
        <v>192</v>
      </c>
      <c r="E601" s="2"/>
      <c r="F601" s="2">
        <v>902</v>
      </c>
      <c r="G601" s="7" t="e">
        <f aca="true" t="shared" si="333" ref="G601:K601">G593</f>
        <v>#REF!</v>
      </c>
      <c r="H601" s="7" t="e">
        <f t="shared" si="333"/>
        <v>#REF!</v>
      </c>
      <c r="I601" s="7" t="e">
        <f t="shared" si="333"/>
        <v>#REF!</v>
      </c>
      <c r="J601" s="7" t="e">
        <f t="shared" si="333"/>
        <v>#REF!</v>
      </c>
      <c r="K601" s="7" t="e">
        <f t="shared" si="333"/>
        <v>#REF!</v>
      </c>
      <c r="L601" s="7">
        <f>L595+L598</f>
        <v>38</v>
      </c>
      <c r="M601" s="7">
        <f>M595+M598</f>
        <v>11</v>
      </c>
      <c r="N601" s="7">
        <f t="shared" si="328"/>
        <v>28.947368421052634</v>
      </c>
    </row>
    <row r="602" spans="1:14" ht="31.5">
      <c r="A602" s="33" t="s">
        <v>209</v>
      </c>
      <c r="B602" s="21" t="s">
        <v>930</v>
      </c>
      <c r="C602" s="42" t="s">
        <v>170</v>
      </c>
      <c r="D602" s="42" t="s">
        <v>192</v>
      </c>
      <c r="E602" s="2"/>
      <c r="F602" s="2"/>
      <c r="G602" s="7"/>
      <c r="H602" s="7"/>
      <c r="I602" s="7"/>
      <c r="J602" s="7"/>
      <c r="K602" s="7"/>
      <c r="L602" s="7">
        <f>L603</f>
        <v>5</v>
      </c>
      <c r="M602" s="7">
        <f>M603</f>
        <v>0</v>
      </c>
      <c r="N602" s="7">
        <f t="shared" si="328"/>
        <v>0</v>
      </c>
    </row>
    <row r="603" spans="1:14" ht="31.5">
      <c r="A603" s="26" t="s">
        <v>183</v>
      </c>
      <c r="B603" s="21" t="s">
        <v>930</v>
      </c>
      <c r="C603" s="42" t="s">
        <v>170</v>
      </c>
      <c r="D603" s="42" t="s">
        <v>192</v>
      </c>
      <c r="E603" s="2">
        <v>200</v>
      </c>
      <c r="F603" s="2"/>
      <c r="G603" s="7"/>
      <c r="H603" s="7"/>
      <c r="I603" s="7"/>
      <c r="J603" s="7"/>
      <c r="K603" s="7"/>
      <c r="L603" s="7">
        <f>L604</f>
        <v>5</v>
      </c>
      <c r="M603" s="7">
        <f>M604</f>
        <v>0</v>
      </c>
      <c r="N603" s="7">
        <f t="shared" si="328"/>
        <v>0</v>
      </c>
    </row>
    <row r="604" spans="1:14" ht="31.5">
      <c r="A604" s="26" t="s">
        <v>185</v>
      </c>
      <c r="B604" s="21" t="s">
        <v>930</v>
      </c>
      <c r="C604" s="42" t="s">
        <v>170</v>
      </c>
      <c r="D604" s="42" t="s">
        <v>192</v>
      </c>
      <c r="E604" s="2">
        <v>240</v>
      </c>
      <c r="F604" s="2"/>
      <c r="G604" s="7"/>
      <c r="H604" s="7"/>
      <c r="I604" s="7"/>
      <c r="J604" s="7"/>
      <c r="K604" s="7"/>
      <c r="L604" s="7">
        <f>'Прил.№4 ведомств.'!M260</f>
        <v>5</v>
      </c>
      <c r="M604" s="7">
        <f>'Прил.№4 ведомств.'!N260</f>
        <v>0</v>
      </c>
      <c r="N604" s="7">
        <f t="shared" si="328"/>
        <v>0</v>
      </c>
    </row>
    <row r="605" spans="1:14" ht="47.25">
      <c r="A605" s="26" t="s">
        <v>313</v>
      </c>
      <c r="B605" s="21" t="s">
        <v>803</v>
      </c>
      <c r="C605" s="42" t="s">
        <v>170</v>
      </c>
      <c r="D605" s="42" t="s">
        <v>192</v>
      </c>
      <c r="E605" s="2"/>
      <c r="F605" s="2">
        <v>903</v>
      </c>
      <c r="G605" s="7"/>
      <c r="H605" s="7"/>
      <c r="I605" s="7"/>
      <c r="J605" s="7"/>
      <c r="K605" s="7"/>
      <c r="L605" s="7">
        <f>L602</f>
        <v>5</v>
      </c>
      <c r="M605" s="7">
        <f>M602</f>
        <v>0</v>
      </c>
      <c r="N605" s="7">
        <f t="shared" si="328"/>
        <v>0</v>
      </c>
    </row>
    <row r="606" spans="1:14" ht="31.5">
      <c r="A606" s="47" t="s">
        <v>934</v>
      </c>
      <c r="B606" s="21" t="s">
        <v>935</v>
      </c>
      <c r="C606" s="42" t="s">
        <v>170</v>
      </c>
      <c r="D606" s="42" t="s">
        <v>192</v>
      </c>
      <c r="E606" s="2"/>
      <c r="F606" s="2"/>
      <c r="G606" s="7"/>
      <c r="H606" s="7"/>
      <c r="I606" s="7"/>
      <c r="J606" s="7"/>
      <c r="K606" s="7"/>
      <c r="L606" s="7">
        <f aca="true" t="shared" si="334" ref="L606:M608">L607</f>
        <v>63.6</v>
      </c>
      <c r="M606" s="7">
        <f t="shared" si="334"/>
        <v>28.9</v>
      </c>
      <c r="N606" s="7">
        <f t="shared" si="328"/>
        <v>45.44025157232704</v>
      </c>
    </row>
    <row r="607" spans="1:14" ht="31.5">
      <c r="A607" s="47" t="s">
        <v>934</v>
      </c>
      <c r="B607" s="21" t="s">
        <v>935</v>
      </c>
      <c r="C607" s="42" t="s">
        <v>170</v>
      </c>
      <c r="D607" s="42" t="s">
        <v>192</v>
      </c>
      <c r="E607" s="2"/>
      <c r="F607" s="2"/>
      <c r="G607" s="7"/>
      <c r="H607" s="7"/>
      <c r="I607" s="7"/>
      <c r="J607" s="7"/>
      <c r="K607" s="7"/>
      <c r="L607" s="7">
        <f t="shared" si="334"/>
        <v>63.6</v>
      </c>
      <c r="M607" s="7">
        <f t="shared" si="334"/>
        <v>28.9</v>
      </c>
      <c r="N607" s="7">
        <f t="shared" si="328"/>
        <v>45.44025157232704</v>
      </c>
    </row>
    <row r="608" spans="1:14" ht="31.5">
      <c r="A608" s="26" t="s">
        <v>183</v>
      </c>
      <c r="B608" s="21" t="s">
        <v>935</v>
      </c>
      <c r="C608" s="42" t="s">
        <v>170</v>
      </c>
      <c r="D608" s="42" t="s">
        <v>192</v>
      </c>
      <c r="E608" s="2">
        <v>200</v>
      </c>
      <c r="F608" s="2"/>
      <c r="G608" s="7"/>
      <c r="H608" s="7"/>
      <c r="I608" s="7"/>
      <c r="J608" s="7"/>
      <c r="K608" s="7"/>
      <c r="L608" s="7">
        <f t="shared" si="334"/>
        <v>63.6</v>
      </c>
      <c r="M608" s="7">
        <f t="shared" si="334"/>
        <v>28.9</v>
      </c>
      <c r="N608" s="7">
        <f t="shared" si="328"/>
        <v>45.44025157232704</v>
      </c>
    </row>
    <row r="609" spans="1:14" ht="31.5">
      <c r="A609" s="26" t="s">
        <v>185</v>
      </c>
      <c r="B609" s="21" t="s">
        <v>935</v>
      </c>
      <c r="C609" s="42" t="s">
        <v>170</v>
      </c>
      <c r="D609" s="42" t="s">
        <v>192</v>
      </c>
      <c r="E609" s="2">
        <v>240</v>
      </c>
      <c r="F609" s="2"/>
      <c r="G609" s="7"/>
      <c r="H609" s="7"/>
      <c r="I609" s="7"/>
      <c r="J609" s="7"/>
      <c r="K609" s="7"/>
      <c r="L609" s="7">
        <f>'Прил.№4 ведомств.'!M1108</f>
        <v>63.6</v>
      </c>
      <c r="M609" s="7">
        <f>'Прил.№4 ведомств.'!N1108</f>
        <v>28.9</v>
      </c>
      <c r="N609" s="7">
        <f t="shared" si="328"/>
        <v>45.44025157232704</v>
      </c>
    </row>
    <row r="610" spans="1:14" ht="15.75">
      <c r="A610" s="47" t="s">
        <v>634</v>
      </c>
      <c r="B610" s="21" t="s">
        <v>803</v>
      </c>
      <c r="C610" s="42" t="s">
        <v>170</v>
      </c>
      <c r="D610" s="42" t="s">
        <v>192</v>
      </c>
      <c r="E610" s="2"/>
      <c r="F610" s="2">
        <v>913</v>
      </c>
      <c r="G610" s="7"/>
      <c r="H610" s="7"/>
      <c r="I610" s="7"/>
      <c r="J610" s="7"/>
      <c r="K610" s="7"/>
      <c r="L610" s="7">
        <f>L607</f>
        <v>63.6</v>
      </c>
      <c r="M610" s="7">
        <f>M607</f>
        <v>28.9</v>
      </c>
      <c r="N610" s="7">
        <f t="shared" si="328"/>
        <v>45.44025157232704</v>
      </c>
    </row>
    <row r="611" spans="1:14" ht="47.25">
      <c r="A611" s="47" t="s">
        <v>948</v>
      </c>
      <c r="B611" s="21" t="s">
        <v>949</v>
      </c>
      <c r="C611" s="42" t="s">
        <v>170</v>
      </c>
      <c r="D611" s="42" t="s">
        <v>192</v>
      </c>
      <c r="E611" s="2"/>
      <c r="F611" s="2"/>
      <c r="G611" s="7"/>
      <c r="H611" s="7"/>
      <c r="I611" s="7"/>
      <c r="J611" s="7"/>
      <c r="K611" s="7"/>
      <c r="L611" s="7">
        <f>L612</f>
        <v>3850.6</v>
      </c>
      <c r="M611" s="7">
        <f>M612</f>
        <v>2451.6</v>
      </c>
      <c r="N611" s="7">
        <f t="shared" si="328"/>
        <v>63.667999792240174</v>
      </c>
    </row>
    <row r="612" spans="1:14" ht="31.5">
      <c r="A612" s="31" t="s">
        <v>324</v>
      </c>
      <c r="B612" s="21" t="s">
        <v>949</v>
      </c>
      <c r="C612" s="42" t="s">
        <v>170</v>
      </c>
      <c r="D612" s="42" t="s">
        <v>192</v>
      </c>
      <c r="E612" s="2">
        <v>600</v>
      </c>
      <c r="F612" s="2"/>
      <c r="G612" s="7"/>
      <c r="H612" s="7"/>
      <c r="I612" s="7"/>
      <c r="J612" s="7"/>
      <c r="K612" s="7"/>
      <c r="L612" s="7">
        <f>L613</f>
        <v>3850.6</v>
      </c>
      <c r="M612" s="7">
        <f>M613</f>
        <v>2451.6</v>
      </c>
      <c r="N612" s="7">
        <f t="shared" si="328"/>
        <v>63.667999792240174</v>
      </c>
    </row>
    <row r="613" spans="1:14" ht="15.75">
      <c r="A613" s="256" t="s">
        <v>326</v>
      </c>
      <c r="B613" s="21" t="s">
        <v>949</v>
      </c>
      <c r="C613" s="42" t="s">
        <v>170</v>
      </c>
      <c r="D613" s="42" t="s">
        <v>192</v>
      </c>
      <c r="E613" s="2">
        <v>610</v>
      </c>
      <c r="F613" s="2"/>
      <c r="G613" s="7"/>
      <c r="H613" s="7"/>
      <c r="I613" s="7"/>
      <c r="J613" s="7"/>
      <c r="K613" s="7"/>
      <c r="L613" s="7">
        <f>L614+L615+L616</f>
        <v>3850.6</v>
      </c>
      <c r="M613" s="7">
        <f>M614+M615+M616</f>
        <v>2451.6</v>
      </c>
      <c r="N613" s="7">
        <f t="shared" si="328"/>
        <v>63.667999792240174</v>
      </c>
    </row>
    <row r="614" spans="1:14" ht="47.25">
      <c r="A614" s="26" t="s">
        <v>313</v>
      </c>
      <c r="B614" s="21" t="s">
        <v>949</v>
      </c>
      <c r="C614" s="42" t="s">
        <v>170</v>
      </c>
      <c r="D614" s="42" t="s">
        <v>192</v>
      </c>
      <c r="E614" s="2"/>
      <c r="F614" s="2">
        <v>903</v>
      </c>
      <c r="G614" s="7"/>
      <c r="H614" s="7"/>
      <c r="I614" s="7"/>
      <c r="J614" s="7"/>
      <c r="K614" s="7"/>
      <c r="L614" s="7">
        <f>'Прил.№4 ведомств.'!M282</f>
        <v>1343.7</v>
      </c>
      <c r="M614" s="7">
        <f>'Прил.№4 ведомств.'!N282</f>
        <v>600</v>
      </c>
      <c r="N614" s="7">
        <f t="shared" si="328"/>
        <v>44.65282429113641</v>
      </c>
    </row>
    <row r="615" spans="1:14" ht="31.5">
      <c r="A615" s="47" t="s">
        <v>456</v>
      </c>
      <c r="B615" s="21" t="s">
        <v>949</v>
      </c>
      <c r="C615" s="42" t="s">
        <v>170</v>
      </c>
      <c r="D615" s="42" t="s">
        <v>192</v>
      </c>
      <c r="E615" s="2"/>
      <c r="F615" s="2">
        <v>906</v>
      </c>
      <c r="G615" s="7"/>
      <c r="H615" s="7"/>
      <c r="I615" s="7"/>
      <c r="J615" s="7"/>
      <c r="K615" s="7"/>
      <c r="L615" s="7">
        <f>'Прил.№4 ведомств.'!M593</f>
        <v>1638.3</v>
      </c>
      <c r="M615" s="7">
        <f>'Прил.№4 ведомств.'!N593</f>
        <v>1169</v>
      </c>
      <c r="N615" s="7">
        <f t="shared" si="328"/>
        <v>71.35445278642496</v>
      </c>
    </row>
    <row r="616" spans="1:14" ht="31.5">
      <c r="A616" s="47" t="s">
        <v>533</v>
      </c>
      <c r="B616" s="21" t="s">
        <v>949</v>
      </c>
      <c r="C616" s="42" t="s">
        <v>170</v>
      </c>
      <c r="D616" s="42" t="s">
        <v>192</v>
      </c>
      <c r="E616" s="2"/>
      <c r="F616" s="2">
        <v>907</v>
      </c>
      <c r="G616" s="7"/>
      <c r="H616" s="7"/>
      <c r="I616" s="7"/>
      <c r="J616" s="7"/>
      <c r="K616" s="7"/>
      <c r="L616" s="7">
        <f>'Прил.№4 ведомств.'!M779</f>
        <v>868.6</v>
      </c>
      <c r="M616" s="7">
        <f>'Прил.№4 ведомств.'!N779</f>
        <v>682.6</v>
      </c>
      <c r="N616" s="7">
        <f t="shared" si="328"/>
        <v>78.58623071609486</v>
      </c>
    </row>
    <row r="617" spans="1:14" ht="63">
      <c r="A617" s="24" t="s">
        <v>1016</v>
      </c>
      <c r="B617" s="25" t="s">
        <v>809</v>
      </c>
      <c r="C617" s="8"/>
      <c r="D617" s="8"/>
      <c r="E617" s="3"/>
      <c r="F617" s="3"/>
      <c r="G617" s="4">
        <f>G618</f>
        <v>600</v>
      </c>
      <c r="H617" s="4">
        <f aca="true" t="shared" si="335" ref="H617:M621">H618</f>
        <v>600</v>
      </c>
      <c r="I617" s="4">
        <f t="shared" si="335"/>
        <v>0</v>
      </c>
      <c r="J617" s="4">
        <f t="shared" si="335"/>
        <v>0</v>
      </c>
      <c r="K617" s="4">
        <f t="shared" si="335"/>
        <v>0</v>
      </c>
      <c r="L617" s="4">
        <f t="shared" si="335"/>
        <v>500</v>
      </c>
      <c r="M617" s="4">
        <f t="shared" si="335"/>
        <v>0</v>
      </c>
      <c r="N617" s="4">
        <f t="shared" si="328"/>
        <v>0</v>
      </c>
    </row>
    <row r="618" spans="1:14" ht="15.75">
      <c r="A618" s="26" t="s">
        <v>443</v>
      </c>
      <c r="B618" s="21" t="s">
        <v>809</v>
      </c>
      <c r="C618" s="42" t="s">
        <v>286</v>
      </c>
      <c r="D618" s="42"/>
      <c r="E618" s="2"/>
      <c r="F618" s="2"/>
      <c r="G618" s="7">
        <f>G619</f>
        <v>600</v>
      </c>
      <c r="H618" s="7">
        <f t="shared" si="335"/>
        <v>600</v>
      </c>
      <c r="I618" s="7">
        <f t="shared" si="335"/>
        <v>0</v>
      </c>
      <c r="J618" s="7">
        <f t="shared" si="335"/>
        <v>0</v>
      </c>
      <c r="K618" s="7">
        <f t="shared" si="335"/>
        <v>0</v>
      </c>
      <c r="L618" s="7">
        <f t="shared" si="335"/>
        <v>500</v>
      </c>
      <c r="M618" s="7">
        <f t="shared" si="335"/>
        <v>0</v>
      </c>
      <c r="N618" s="7">
        <f t="shared" si="328"/>
        <v>0</v>
      </c>
    </row>
    <row r="619" spans="1:14" ht="15.75">
      <c r="A619" s="26" t="s">
        <v>594</v>
      </c>
      <c r="B619" s="21" t="s">
        <v>809</v>
      </c>
      <c r="C619" s="42" t="s">
        <v>286</v>
      </c>
      <c r="D619" s="42" t="s">
        <v>267</v>
      </c>
      <c r="E619" s="2"/>
      <c r="F619" s="2"/>
      <c r="G619" s="7">
        <f>G620</f>
        <v>600</v>
      </c>
      <c r="H619" s="7">
        <f t="shared" si="335"/>
        <v>600</v>
      </c>
      <c r="I619" s="7">
        <f t="shared" si="335"/>
        <v>0</v>
      </c>
      <c r="J619" s="7">
        <f t="shared" si="335"/>
        <v>0</v>
      </c>
      <c r="K619" s="7">
        <f t="shared" si="335"/>
        <v>0</v>
      </c>
      <c r="L619" s="7">
        <f t="shared" si="335"/>
        <v>500</v>
      </c>
      <c r="M619" s="7">
        <f t="shared" si="335"/>
        <v>0</v>
      </c>
      <c r="N619" s="7">
        <f t="shared" si="328"/>
        <v>0</v>
      </c>
    </row>
    <row r="620" spans="1:14" ht="31.5">
      <c r="A620" s="94" t="s">
        <v>808</v>
      </c>
      <c r="B620" s="21" t="s">
        <v>810</v>
      </c>
      <c r="C620" s="42" t="s">
        <v>286</v>
      </c>
      <c r="D620" s="42" t="s">
        <v>267</v>
      </c>
      <c r="E620" s="2"/>
      <c r="F620" s="2"/>
      <c r="G620" s="7">
        <f>G621</f>
        <v>600</v>
      </c>
      <c r="H620" s="7">
        <f t="shared" si="335"/>
        <v>600</v>
      </c>
      <c r="I620" s="7">
        <f t="shared" si="335"/>
        <v>0</v>
      </c>
      <c r="J620" s="7">
        <f t="shared" si="335"/>
        <v>0</v>
      </c>
      <c r="K620" s="7">
        <f t="shared" si="335"/>
        <v>0</v>
      </c>
      <c r="L620" s="7">
        <f t="shared" si="335"/>
        <v>500</v>
      </c>
      <c r="M620" s="7">
        <f t="shared" si="335"/>
        <v>0</v>
      </c>
      <c r="N620" s="7">
        <f t="shared" si="328"/>
        <v>0</v>
      </c>
    </row>
    <row r="621" spans="1:14" ht="31.5">
      <c r="A621" s="26" t="s">
        <v>183</v>
      </c>
      <c r="B621" s="21" t="s">
        <v>810</v>
      </c>
      <c r="C621" s="42" t="s">
        <v>286</v>
      </c>
      <c r="D621" s="42" t="s">
        <v>267</v>
      </c>
      <c r="E621" s="2">
        <v>200</v>
      </c>
      <c r="F621" s="2"/>
      <c r="G621" s="7">
        <f>G622</f>
        <v>600</v>
      </c>
      <c r="H621" s="7">
        <f t="shared" si="335"/>
        <v>600</v>
      </c>
      <c r="I621" s="7">
        <f t="shared" si="335"/>
        <v>0</v>
      </c>
      <c r="J621" s="7">
        <f t="shared" si="335"/>
        <v>0</v>
      </c>
      <c r="K621" s="7">
        <f t="shared" si="335"/>
        <v>0</v>
      </c>
      <c r="L621" s="7">
        <f t="shared" si="335"/>
        <v>500</v>
      </c>
      <c r="M621" s="7">
        <f t="shared" si="335"/>
        <v>0</v>
      </c>
      <c r="N621" s="7">
        <f t="shared" si="328"/>
        <v>0</v>
      </c>
    </row>
    <row r="622" spans="1:14" ht="31.5">
      <c r="A622" s="26" t="s">
        <v>185</v>
      </c>
      <c r="B622" s="21" t="s">
        <v>810</v>
      </c>
      <c r="C622" s="42" t="s">
        <v>286</v>
      </c>
      <c r="D622" s="42" t="s">
        <v>267</v>
      </c>
      <c r="E622" s="2">
        <v>240</v>
      </c>
      <c r="F622" s="2"/>
      <c r="G622" s="7">
        <f>'Прил.№4 ведомств.'!G1013</f>
        <v>600</v>
      </c>
      <c r="H622" s="7">
        <f>'Прил.№4 ведомств.'!I1013</f>
        <v>600</v>
      </c>
      <c r="I622" s="7">
        <f>'Прил.№4 ведомств.'!J1013</f>
        <v>0</v>
      </c>
      <c r="J622" s="7">
        <f>'Прил.№4 ведомств.'!K1013</f>
        <v>0</v>
      </c>
      <c r="K622" s="7">
        <f>'Прил.№4 ведомств.'!L1013</f>
        <v>0</v>
      </c>
      <c r="L622" s="7">
        <f>'Прил.№4 ведомств.'!M1013</f>
        <v>500</v>
      </c>
      <c r="M622" s="7">
        <f>'Прил.№4 ведомств.'!N1013</f>
        <v>0</v>
      </c>
      <c r="N622" s="7">
        <f t="shared" si="328"/>
        <v>0</v>
      </c>
    </row>
    <row r="623" spans="1:14" ht="31.5">
      <c r="A623" s="47" t="s">
        <v>701</v>
      </c>
      <c r="B623" s="21" t="s">
        <v>809</v>
      </c>
      <c r="C623" s="42" t="s">
        <v>286</v>
      </c>
      <c r="D623" s="42" t="s">
        <v>267</v>
      </c>
      <c r="E623" s="2"/>
      <c r="F623" s="2">
        <v>908</v>
      </c>
      <c r="G623" s="7">
        <f>G617</f>
        <v>600</v>
      </c>
      <c r="H623" s="7">
        <f aca="true" t="shared" si="336" ref="H623:L623">H617</f>
        <v>600</v>
      </c>
      <c r="I623" s="7">
        <f t="shared" si="336"/>
        <v>0</v>
      </c>
      <c r="J623" s="7">
        <f t="shared" si="336"/>
        <v>0</v>
      </c>
      <c r="K623" s="7">
        <f t="shared" si="336"/>
        <v>0</v>
      </c>
      <c r="L623" s="7">
        <f t="shared" si="336"/>
        <v>500</v>
      </c>
      <c r="M623" s="7">
        <f aca="true" t="shared" si="337" ref="M623">M617</f>
        <v>0</v>
      </c>
      <c r="N623" s="7">
        <f t="shared" si="328"/>
        <v>0</v>
      </c>
    </row>
    <row r="624" spans="1:14" s="266" customFormat="1" ht="63">
      <c r="A624" s="64" t="s">
        <v>951</v>
      </c>
      <c r="B624" s="25" t="s">
        <v>956</v>
      </c>
      <c r="C624" s="8"/>
      <c r="D624" s="8"/>
      <c r="E624" s="3"/>
      <c r="F624" s="3"/>
      <c r="G624" s="4"/>
      <c r="H624" s="4"/>
      <c r="I624" s="4"/>
      <c r="J624" s="4"/>
      <c r="K624" s="4"/>
      <c r="L624" s="4">
        <f aca="true" t="shared" si="338" ref="L624:M628">L625</f>
        <v>67</v>
      </c>
      <c r="M624" s="4">
        <f t="shared" si="338"/>
        <v>0</v>
      </c>
      <c r="N624" s="4">
        <f t="shared" si="328"/>
        <v>0</v>
      </c>
    </row>
    <row r="625" spans="1:14" ht="15.75">
      <c r="A625" s="47" t="s">
        <v>169</v>
      </c>
      <c r="B625" s="21" t="s">
        <v>956</v>
      </c>
      <c r="C625" s="42" t="s">
        <v>170</v>
      </c>
      <c r="D625" s="42"/>
      <c r="E625" s="2"/>
      <c r="F625" s="2"/>
      <c r="G625" s="7"/>
      <c r="H625" s="7"/>
      <c r="I625" s="7"/>
      <c r="J625" s="7"/>
      <c r="K625" s="7"/>
      <c r="L625" s="7">
        <f t="shared" si="338"/>
        <v>67</v>
      </c>
      <c r="M625" s="7">
        <f t="shared" si="338"/>
        <v>0</v>
      </c>
      <c r="N625" s="7">
        <f t="shared" si="328"/>
        <v>0</v>
      </c>
    </row>
    <row r="626" spans="1:14" ht="15.75">
      <c r="A626" s="47" t="s">
        <v>191</v>
      </c>
      <c r="B626" s="21" t="s">
        <v>956</v>
      </c>
      <c r="C626" s="42" t="s">
        <v>170</v>
      </c>
      <c r="D626" s="42" t="s">
        <v>192</v>
      </c>
      <c r="E626" s="2"/>
      <c r="F626" s="2"/>
      <c r="G626" s="7"/>
      <c r="H626" s="7"/>
      <c r="I626" s="7"/>
      <c r="J626" s="7"/>
      <c r="K626" s="7"/>
      <c r="L626" s="7">
        <f t="shared" si="338"/>
        <v>67</v>
      </c>
      <c r="M626" s="7">
        <f t="shared" si="338"/>
        <v>0</v>
      </c>
      <c r="N626" s="7">
        <f t="shared" si="328"/>
        <v>0</v>
      </c>
    </row>
    <row r="627" spans="1:14" ht="31.5">
      <c r="A627" s="47" t="s">
        <v>808</v>
      </c>
      <c r="B627" s="21" t="s">
        <v>952</v>
      </c>
      <c r="C627" s="42" t="s">
        <v>170</v>
      </c>
      <c r="D627" s="42" t="s">
        <v>192</v>
      </c>
      <c r="E627" s="2"/>
      <c r="F627" s="2"/>
      <c r="G627" s="7"/>
      <c r="H627" s="7"/>
      <c r="I627" s="7"/>
      <c r="J627" s="7"/>
      <c r="K627" s="7"/>
      <c r="L627" s="7">
        <f t="shared" si="338"/>
        <v>67</v>
      </c>
      <c r="M627" s="7">
        <f t="shared" si="338"/>
        <v>0</v>
      </c>
      <c r="N627" s="7">
        <f t="shared" si="328"/>
        <v>0</v>
      </c>
    </row>
    <row r="628" spans="1:14" ht="31.5">
      <c r="A628" s="47" t="s">
        <v>183</v>
      </c>
      <c r="B628" s="21" t="s">
        <v>952</v>
      </c>
      <c r="C628" s="42" t="s">
        <v>170</v>
      </c>
      <c r="D628" s="42" t="s">
        <v>192</v>
      </c>
      <c r="E628" s="2">
        <v>200</v>
      </c>
      <c r="F628" s="2"/>
      <c r="G628" s="7"/>
      <c r="H628" s="7"/>
      <c r="I628" s="7"/>
      <c r="J628" s="7"/>
      <c r="K628" s="7"/>
      <c r="L628" s="7">
        <f t="shared" si="338"/>
        <v>67</v>
      </c>
      <c r="M628" s="7">
        <f t="shared" si="338"/>
        <v>0</v>
      </c>
      <c r="N628" s="7">
        <f t="shared" si="328"/>
        <v>0</v>
      </c>
    </row>
    <row r="629" spans="1:14" ht="31.5">
      <c r="A629" s="47" t="s">
        <v>185</v>
      </c>
      <c r="B629" s="21" t="s">
        <v>952</v>
      </c>
      <c r="C629" s="42" t="s">
        <v>170</v>
      </c>
      <c r="D629" s="42" t="s">
        <v>192</v>
      </c>
      <c r="E629" s="2">
        <v>240</v>
      </c>
      <c r="F629" s="2"/>
      <c r="G629" s="7"/>
      <c r="H629" s="7"/>
      <c r="I629" s="7"/>
      <c r="J629" s="7"/>
      <c r="K629" s="7"/>
      <c r="L629" s="7">
        <f>'Прил.№4 ведомств.'!M544</f>
        <v>67</v>
      </c>
      <c r="M629" s="7">
        <f>'Прил.№4 ведомств.'!N544</f>
        <v>0</v>
      </c>
      <c r="N629" s="7">
        <f t="shared" si="328"/>
        <v>0</v>
      </c>
    </row>
    <row r="630" spans="1:14" ht="31.5">
      <c r="A630" s="47" t="s">
        <v>440</v>
      </c>
      <c r="B630" s="21" t="s">
        <v>956</v>
      </c>
      <c r="C630" s="42" t="s">
        <v>170</v>
      </c>
      <c r="D630" s="42" t="s">
        <v>192</v>
      </c>
      <c r="E630" s="2"/>
      <c r="F630" s="2">
        <v>905</v>
      </c>
      <c r="G630" s="7"/>
      <c r="H630" s="7"/>
      <c r="I630" s="7"/>
      <c r="J630" s="7"/>
      <c r="K630" s="7"/>
      <c r="L630" s="7">
        <f>L624</f>
        <v>67</v>
      </c>
      <c r="M630" s="7">
        <f>M624</f>
        <v>0</v>
      </c>
      <c r="N630" s="7">
        <f t="shared" si="328"/>
        <v>0</v>
      </c>
    </row>
    <row r="631" spans="1:14" ht="15.75">
      <c r="A631" s="83" t="s">
        <v>735</v>
      </c>
      <c r="B631" s="83"/>
      <c r="C631" s="83"/>
      <c r="D631" s="89"/>
      <c r="E631" s="89"/>
      <c r="F631" s="83"/>
      <c r="G631" s="144" t="e">
        <f>G11+G20+G106+G235+G248+G267+G274+G296+G358+G456+G463+G500+G516+G549+G592+G617</f>
        <v>#REF!</v>
      </c>
      <c r="H631" s="144" t="e">
        <f>H11+H20+H106+H235+H248+H267+H274+H296+H358+H456+H463+H500+H516+H549+H592+H617</f>
        <v>#REF!</v>
      </c>
      <c r="I631" s="144" t="e">
        <f>I11+I20+I106+I235+I248+I267+I274+I296+I358+I456+I463+I500+I516+I549+I592+I617</f>
        <v>#REF!</v>
      </c>
      <c r="J631" s="144" t="e">
        <f>J11+J20+J106+J235+J248+J267+J274+J296+J358+J456+J463+J500+J516+J549+J592+J617</f>
        <v>#REF!</v>
      </c>
      <c r="K631" s="144" t="e">
        <f>K11+K20+K106+K235+K248+K267+K274+K296+K358+K456+K463+K500+K516+K549+K592+K617</f>
        <v>#REF!</v>
      </c>
      <c r="L631" s="144">
        <f>L11+L20+L106+L235+L248+L267+L274+L296+L358+L456+L463+L500+L516+L549+L592+L617+L624</f>
        <v>242613.2</v>
      </c>
      <c r="M631" s="144">
        <f>M11+M20+M106+M235+M248+M267+M274+M296+M358+M456+M463+M500+M516+M549+M592+M617+M624</f>
        <v>128177.50000000001</v>
      </c>
      <c r="N631" s="4">
        <f t="shared" si="328"/>
        <v>52.83203881734383</v>
      </c>
    </row>
  </sheetData>
  <mergeCells count="1">
    <mergeCell ref="A7:N7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4"/>
  <sheetViews>
    <sheetView workbookViewId="0" topLeftCell="A527">
      <selection activeCell="I531" sqref="I531"/>
    </sheetView>
  </sheetViews>
  <sheetFormatPr defaultColWidth="9.140625" defaultRowHeight="15"/>
  <cols>
    <col min="1" max="1" width="38.00390625" style="1" customWidth="1"/>
    <col min="2" max="2" width="17.421875" style="1" customWidth="1"/>
    <col min="3" max="3" width="8.28125" style="1" customWidth="1"/>
    <col min="4" max="4" width="7.28125" style="0" customWidth="1"/>
    <col min="5" max="5" width="8.7109375" style="0" customWidth="1"/>
    <col min="7" max="7" width="15.421875" style="1" customWidth="1"/>
    <col min="9" max="9" width="9.140625" style="130" customWidth="1"/>
  </cols>
  <sheetData>
    <row r="1" spans="4:6" ht="15.75">
      <c r="D1" s="1"/>
      <c r="F1" s="59" t="s">
        <v>694</v>
      </c>
    </row>
    <row r="2" spans="4:6" ht="15.75">
      <c r="D2" s="1"/>
      <c r="F2" s="59" t="s">
        <v>645</v>
      </c>
    </row>
    <row r="3" spans="4:6" ht="15.75">
      <c r="D3" s="1"/>
      <c r="F3" s="59" t="s">
        <v>836</v>
      </c>
    </row>
    <row r="4" spans="4:7" ht="15.75">
      <c r="D4" s="1"/>
      <c r="E4" s="1"/>
      <c r="F4" s="73"/>
      <c r="G4" s="74"/>
    </row>
    <row r="5" spans="1:7" ht="38.25" customHeight="1">
      <c r="A5" s="336" t="s">
        <v>812</v>
      </c>
      <c r="B5" s="336"/>
      <c r="C5" s="336"/>
      <c r="D5" s="336"/>
      <c r="E5" s="336"/>
      <c r="F5" s="336"/>
      <c r="G5" s="336"/>
    </row>
    <row r="6" spans="1:7" ht="16.5">
      <c r="A6" s="202"/>
      <c r="B6" s="202"/>
      <c r="C6" s="202"/>
      <c r="D6" s="202"/>
      <c r="E6" s="202"/>
      <c r="F6" s="202"/>
      <c r="G6" s="202"/>
    </row>
    <row r="7" spans="1:7" ht="15.75">
      <c r="A7" s="73"/>
      <c r="B7" s="73"/>
      <c r="C7" s="73"/>
      <c r="D7" s="73"/>
      <c r="E7" s="75"/>
      <c r="F7" s="75"/>
      <c r="G7" s="76" t="s">
        <v>1</v>
      </c>
    </row>
    <row r="8" spans="1:7" ht="31.5">
      <c r="A8" s="77" t="s">
        <v>646</v>
      </c>
      <c r="B8" s="77" t="s">
        <v>695</v>
      </c>
      <c r="C8" s="77" t="s">
        <v>696</v>
      </c>
      <c r="D8" s="77" t="s">
        <v>697</v>
      </c>
      <c r="E8" s="77" t="s">
        <v>698</v>
      </c>
      <c r="F8" s="77" t="s">
        <v>699</v>
      </c>
      <c r="G8" s="6" t="s">
        <v>4</v>
      </c>
    </row>
    <row r="9" spans="1:7" ht="15.75">
      <c r="A9" s="77">
        <v>1</v>
      </c>
      <c r="B9" s="77">
        <v>2</v>
      </c>
      <c r="C9" s="77">
        <v>3</v>
      </c>
      <c r="D9" s="77">
        <v>4</v>
      </c>
      <c r="E9" s="77">
        <v>5</v>
      </c>
      <c r="F9" s="77">
        <v>6</v>
      </c>
      <c r="G9" s="6">
        <v>7</v>
      </c>
    </row>
    <row r="10" spans="1:7" ht="78.75">
      <c r="A10" s="64" t="s">
        <v>700</v>
      </c>
      <c r="B10" s="8" t="s">
        <v>563</v>
      </c>
      <c r="C10" s="8"/>
      <c r="D10" s="8"/>
      <c r="E10" s="8"/>
      <c r="F10" s="8"/>
      <c r="G10" s="4">
        <f>G13</f>
        <v>15124.1</v>
      </c>
    </row>
    <row r="11" spans="1:7" ht="15.75">
      <c r="A11" s="31" t="s">
        <v>284</v>
      </c>
      <c r="B11" s="42" t="s">
        <v>563</v>
      </c>
      <c r="C11" s="42" t="s">
        <v>202</v>
      </c>
      <c r="D11" s="42"/>
      <c r="E11" s="42"/>
      <c r="F11" s="42"/>
      <c r="G11" s="7">
        <f>G12</f>
        <v>15124.1</v>
      </c>
    </row>
    <row r="12" spans="1:7" ht="31.5">
      <c r="A12" s="31" t="s">
        <v>561</v>
      </c>
      <c r="B12" s="42" t="s">
        <v>563</v>
      </c>
      <c r="C12" s="42" t="s">
        <v>202</v>
      </c>
      <c r="D12" s="42" t="s">
        <v>271</v>
      </c>
      <c r="E12" s="42"/>
      <c r="F12" s="42"/>
      <c r="G12" s="7">
        <f>G13</f>
        <v>15124.1</v>
      </c>
    </row>
    <row r="13" spans="1:7" ht="15.75">
      <c r="A13" s="31" t="s">
        <v>564</v>
      </c>
      <c r="B13" s="42" t="s">
        <v>565</v>
      </c>
      <c r="C13" s="42" t="s">
        <v>202</v>
      </c>
      <c r="D13" s="42" t="s">
        <v>271</v>
      </c>
      <c r="E13" s="42"/>
      <c r="F13" s="42"/>
      <c r="G13" s="7">
        <f>G14+G16</f>
        <v>15124.1</v>
      </c>
    </row>
    <row r="14" spans="1:7" ht="47.25">
      <c r="A14" s="31" t="s">
        <v>183</v>
      </c>
      <c r="B14" s="42" t="s">
        <v>565</v>
      </c>
      <c r="C14" s="42" t="s">
        <v>202</v>
      </c>
      <c r="D14" s="42" t="s">
        <v>271</v>
      </c>
      <c r="E14" s="42" t="s">
        <v>184</v>
      </c>
      <c r="F14" s="42"/>
      <c r="G14" s="7">
        <f>G15</f>
        <v>15108.1</v>
      </c>
    </row>
    <row r="15" spans="1:8" ht="47.25">
      <c r="A15" s="31" t="s">
        <v>185</v>
      </c>
      <c r="B15" s="42" t="s">
        <v>565</v>
      </c>
      <c r="C15" s="42" t="s">
        <v>202</v>
      </c>
      <c r="D15" s="42" t="s">
        <v>271</v>
      </c>
      <c r="E15" s="42" t="s">
        <v>186</v>
      </c>
      <c r="F15" s="42"/>
      <c r="G15" s="7">
        <f>'Прил.№4 ведомств.'!G897</f>
        <v>15108.1</v>
      </c>
      <c r="H15" s="136"/>
    </row>
    <row r="16" spans="1:7" ht="15.75">
      <c r="A16" s="26" t="s">
        <v>187</v>
      </c>
      <c r="B16" s="42" t="s">
        <v>565</v>
      </c>
      <c r="C16" s="42" t="s">
        <v>202</v>
      </c>
      <c r="D16" s="42" t="s">
        <v>271</v>
      </c>
      <c r="E16" s="42" t="s">
        <v>197</v>
      </c>
      <c r="F16" s="42"/>
      <c r="G16" s="7">
        <f>G17</f>
        <v>16</v>
      </c>
    </row>
    <row r="17" spans="1:8" ht="31.5">
      <c r="A17" s="26" t="s">
        <v>189</v>
      </c>
      <c r="B17" s="42" t="s">
        <v>565</v>
      </c>
      <c r="C17" s="42" t="s">
        <v>202</v>
      </c>
      <c r="D17" s="42" t="s">
        <v>271</v>
      </c>
      <c r="E17" s="42" t="s">
        <v>190</v>
      </c>
      <c r="F17" s="42"/>
      <c r="G17" s="7">
        <f>'Прил.№4 ведомств.'!G899</f>
        <v>16</v>
      </c>
      <c r="H17" s="136"/>
    </row>
    <row r="18" spans="1:7" ht="47.25">
      <c r="A18" s="47" t="s">
        <v>701</v>
      </c>
      <c r="B18" s="42" t="s">
        <v>563</v>
      </c>
      <c r="C18" s="42" t="s">
        <v>202</v>
      </c>
      <c r="D18" s="42" t="s">
        <v>271</v>
      </c>
      <c r="E18" s="42"/>
      <c r="F18" s="42" t="s">
        <v>702</v>
      </c>
      <c r="G18" s="7">
        <f>G13</f>
        <v>15124.1</v>
      </c>
    </row>
    <row r="19" spans="1:7" ht="78.75">
      <c r="A19" s="64" t="s">
        <v>395</v>
      </c>
      <c r="B19" s="8" t="s">
        <v>396</v>
      </c>
      <c r="C19" s="8"/>
      <c r="D19" s="8"/>
      <c r="E19" s="8"/>
      <c r="F19" s="8"/>
      <c r="G19" s="68">
        <f>G20+G32+G39+G46+G55+G62+G69+G95</f>
        <v>3668</v>
      </c>
    </row>
    <row r="20" spans="1:7" ht="47.25">
      <c r="A20" s="64" t="s">
        <v>703</v>
      </c>
      <c r="B20" s="8" t="s">
        <v>398</v>
      </c>
      <c r="C20" s="8"/>
      <c r="D20" s="8"/>
      <c r="E20" s="8"/>
      <c r="F20" s="8"/>
      <c r="G20" s="68">
        <f>G21</f>
        <v>910</v>
      </c>
    </row>
    <row r="21" spans="1:7" ht="15.75">
      <c r="A21" s="47" t="s">
        <v>295</v>
      </c>
      <c r="B21" s="42" t="s">
        <v>398</v>
      </c>
      <c r="C21" s="42" t="s">
        <v>296</v>
      </c>
      <c r="D21" s="42"/>
      <c r="E21" s="42"/>
      <c r="F21" s="42"/>
      <c r="G21" s="11">
        <f>G22</f>
        <v>910</v>
      </c>
    </row>
    <row r="22" spans="1:7" ht="15.75">
      <c r="A22" s="47" t="s">
        <v>304</v>
      </c>
      <c r="B22" s="42" t="s">
        <v>398</v>
      </c>
      <c r="C22" s="42" t="s">
        <v>296</v>
      </c>
      <c r="D22" s="42" t="s">
        <v>267</v>
      </c>
      <c r="E22" s="42"/>
      <c r="F22" s="42"/>
      <c r="G22" s="11">
        <f>G23+G28</f>
        <v>910</v>
      </c>
    </row>
    <row r="23" spans="1:7" ht="47.25">
      <c r="A23" s="31" t="s">
        <v>209</v>
      </c>
      <c r="B23" s="42" t="s">
        <v>704</v>
      </c>
      <c r="C23" s="42" t="s">
        <v>296</v>
      </c>
      <c r="D23" s="42" t="s">
        <v>267</v>
      </c>
      <c r="E23" s="42"/>
      <c r="F23" s="42"/>
      <c r="G23" s="11">
        <f>G26</f>
        <v>641.4</v>
      </c>
    </row>
    <row r="24" spans="1:7" ht="110.25" hidden="1">
      <c r="A24" s="26" t="s">
        <v>179</v>
      </c>
      <c r="B24" s="42" t="s">
        <v>704</v>
      </c>
      <c r="C24" s="42" t="s">
        <v>296</v>
      </c>
      <c r="D24" s="42" t="s">
        <v>267</v>
      </c>
      <c r="E24" s="42" t="s">
        <v>180</v>
      </c>
      <c r="F24" s="42"/>
      <c r="G24" s="11">
        <f>G25</f>
        <v>0</v>
      </c>
    </row>
    <row r="25" spans="1:7" ht="47.25" hidden="1">
      <c r="A25" s="26" t="s">
        <v>181</v>
      </c>
      <c r="B25" s="42" t="s">
        <v>704</v>
      </c>
      <c r="C25" s="42" t="s">
        <v>296</v>
      </c>
      <c r="D25" s="42" t="s">
        <v>267</v>
      </c>
      <c r="E25" s="42" t="s">
        <v>182</v>
      </c>
      <c r="F25" s="42"/>
      <c r="G25" s="11"/>
    </row>
    <row r="26" spans="1:7" ht="47.25">
      <c r="A26" s="31" t="s">
        <v>183</v>
      </c>
      <c r="B26" s="42" t="s">
        <v>704</v>
      </c>
      <c r="C26" s="42" t="s">
        <v>296</v>
      </c>
      <c r="D26" s="42" t="s">
        <v>267</v>
      </c>
      <c r="E26" s="42" t="s">
        <v>184</v>
      </c>
      <c r="F26" s="42"/>
      <c r="G26" s="11">
        <f>G27</f>
        <v>641.4</v>
      </c>
    </row>
    <row r="27" spans="1:7" ht="47.25">
      <c r="A27" s="31" t="s">
        <v>185</v>
      </c>
      <c r="B27" s="42" t="s">
        <v>704</v>
      </c>
      <c r="C27" s="42" t="s">
        <v>296</v>
      </c>
      <c r="D27" s="42" t="s">
        <v>267</v>
      </c>
      <c r="E27" s="42" t="s">
        <v>186</v>
      </c>
      <c r="F27" s="42"/>
      <c r="G27" s="7">
        <f>'Прил.№4 ведомств.'!G462</f>
        <v>641.4</v>
      </c>
    </row>
    <row r="28" spans="1:7" ht="47.25">
      <c r="A28" s="26" t="s">
        <v>402</v>
      </c>
      <c r="B28" s="21" t="s">
        <v>403</v>
      </c>
      <c r="C28" s="42" t="s">
        <v>296</v>
      </c>
      <c r="D28" s="42" t="s">
        <v>267</v>
      </c>
      <c r="E28" s="42"/>
      <c r="F28" s="42"/>
      <c r="G28" s="11">
        <f>G29</f>
        <v>268.6</v>
      </c>
    </row>
    <row r="29" spans="1:7" ht="63">
      <c r="A29" s="26" t="s">
        <v>324</v>
      </c>
      <c r="B29" s="21" t="s">
        <v>403</v>
      </c>
      <c r="C29" s="42" t="s">
        <v>296</v>
      </c>
      <c r="D29" s="42" t="s">
        <v>267</v>
      </c>
      <c r="E29" s="42" t="s">
        <v>325</v>
      </c>
      <c r="F29" s="42"/>
      <c r="G29" s="11">
        <f>G30</f>
        <v>268.6</v>
      </c>
    </row>
    <row r="30" spans="1:8" ht="15.75">
      <c r="A30" s="26" t="s">
        <v>326</v>
      </c>
      <c r="B30" s="21" t="s">
        <v>403</v>
      </c>
      <c r="C30" s="42" t="s">
        <v>296</v>
      </c>
      <c r="D30" s="42" t="s">
        <v>267</v>
      </c>
      <c r="E30" s="42" t="s">
        <v>327</v>
      </c>
      <c r="F30" s="42"/>
      <c r="G30" s="11">
        <f>'Прил.№4 ведомств.'!G467</f>
        <v>268.6</v>
      </c>
      <c r="H30" s="136"/>
    </row>
    <row r="31" spans="1:7" ht="63">
      <c r="A31" s="47" t="s">
        <v>313</v>
      </c>
      <c r="B31" s="21" t="s">
        <v>398</v>
      </c>
      <c r="C31" s="42" t="s">
        <v>296</v>
      </c>
      <c r="D31" s="42" t="s">
        <v>267</v>
      </c>
      <c r="E31" s="42"/>
      <c r="F31" s="42" t="s">
        <v>705</v>
      </c>
      <c r="G31" s="7">
        <f>G20</f>
        <v>910</v>
      </c>
    </row>
    <row r="32" spans="1:7" ht="47.25">
      <c r="A32" s="64" t="s">
        <v>706</v>
      </c>
      <c r="B32" s="8" t="s">
        <v>405</v>
      </c>
      <c r="C32" s="8"/>
      <c r="D32" s="8"/>
      <c r="E32" s="8"/>
      <c r="F32" s="8"/>
      <c r="G32" s="68">
        <f>G33</f>
        <v>63</v>
      </c>
    </row>
    <row r="33" spans="1:7" ht="15.75">
      <c r="A33" s="47" t="s">
        <v>295</v>
      </c>
      <c r="B33" s="42" t="s">
        <v>405</v>
      </c>
      <c r="C33" s="42" t="s">
        <v>296</v>
      </c>
      <c r="D33" s="42"/>
      <c r="E33" s="42"/>
      <c r="F33" s="42"/>
      <c r="G33" s="11">
        <f>G34</f>
        <v>63</v>
      </c>
    </row>
    <row r="34" spans="1:7" ht="15.75">
      <c r="A34" s="47" t="s">
        <v>304</v>
      </c>
      <c r="B34" s="42" t="s">
        <v>405</v>
      </c>
      <c r="C34" s="42" t="s">
        <v>296</v>
      </c>
      <c r="D34" s="42" t="s">
        <v>267</v>
      </c>
      <c r="E34" s="42"/>
      <c r="F34" s="42"/>
      <c r="G34" s="11">
        <f>G35</f>
        <v>63</v>
      </c>
    </row>
    <row r="35" spans="1:7" ht="31.5">
      <c r="A35" s="26" t="s">
        <v>687</v>
      </c>
      <c r="B35" s="21" t="s">
        <v>688</v>
      </c>
      <c r="C35" s="42" t="s">
        <v>296</v>
      </c>
      <c r="D35" s="42" t="s">
        <v>267</v>
      </c>
      <c r="E35" s="42"/>
      <c r="F35" s="42"/>
      <c r="G35" s="11">
        <f>G36</f>
        <v>63</v>
      </c>
    </row>
    <row r="36" spans="1:7" ht="31.5">
      <c r="A36" s="31" t="s">
        <v>300</v>
      </c>
      <c r="B36" s="21" t="s">
        <v>688</v>
      </c>
      <c r="C36" s="42" t="s">
        <v>296</v>
      </c>
      <c r="D36" s="42" t="s">
        <v>267</v>
      </c>
      <c r="E36" s="42" t="s">
        <v>301</v>
      </c>
      <c r="F36" s="42"/>
      <c r="G36" s="11">
        <f>G37</f>
        <v>63</v>
      </c>
    </row>
    <row r="37" spans="1:7" ht="47.25">
      <c r="A37" s="31" t="s">
        <v>302</v>
      </c>
      <c r="B37" s="21" t="s">
        <v>688</v>
      </c>
      <c r="C37" s="42" t="s">
        <v>296</v>
      </c>
      <c r="D37" s="42" t="s">
        <v>267</v>
      </c>
      <c r="E37" s="42" t="s">
        <v>303</v>
      </c>
      <c r="F37" s="42"/>
      <c r="G37" s="11">
        <f>'Прил.№4 ведомств.'!G471</f>
        <v>63</v>
      </c>
    </row>
    <row r="38" spans="1:7" ht="63">
      <c r="A38" s="47" t="s">
        <v>313</v>
      </c>
      <c r="B38" s="21" t="s">
        <v>405</v>
      </c>
      <c r="C38" s="42" t="s">
        <v>296</v>
      </c>
      <c r="D38" s="42" t="s">
        <v>267</v>
      </c>
      <c r="E38" s="42"/>
      <c r="F38" s="42" t="s">
        <v>705</v>
      </c>
      <c r="G38" s="11">
        <f>G32</f>
        <v>63</v>
      </c>
    </row>
    <row r="39" spans="1:7" ht="47.25">
      <c r="A39" s="64" t="s">
        <v>707</v>
      </c>
      <c r="B39" s="8" t="s">
        <v>408</v>
      </c>
      <c r="C39" s="8"/>
      <c r="D39" s="8"/>
      <c r="E39" s="8"/>
      <c r="F39" s="8"/>
      <c r="G39" s="68">
        <f>G40</f>
        <v>420</v>
      </c>
    </row>
    <row r="40" spans="1:7" ht="15.75">
      <c r="A40" s="47" t="s">
        <v>295</v>
      </c>
      <c r="B40" s="42" t="s">
        <v>408</v>
      </c>
      <c r="C40" s="42" t="s">
        <v>296</v>
      </c>
      <c r="D40" s="42"/>
      <c r="E40" s="42"/>
      <c r="F40" s="42"/>
      <c r="G40" s="11">
        <f>G41</f>
        <v>420</v>
      </c>
    </row>
    <row r="41" spans="1:7" ht="15.75">
      <c r="A41" s="47" t="s">
        <v>304</v>
      </c>
      <c r="B41" s="42" t="s">
        <v>408</v>
      </c>
      <c r="C41" s="42" t="s">
        <v>296</v>
      </c>
      <c r="D41" s="42" t="s">
        <v>267</v>
      </c>
      <c r="E41" s="42"/>
      <c r="F41" s="42"/>
      <c r="G41" s="11">
        <f>G42</f>
        <v>420</v>
      </c>
    </row>
    <row r="42" spans="1:7" ht="47.25">
      <c r="A42" s="31" t="s">
        <v>209</v>
      </c>
      <c r="B42" s="42" t="s">
        <v>708</v>
      </c>
      <c r="C42" s="42" t="s">
        <v>296</v>
      </c>
      <c r="D42" s="42" t="s">
        <v>267</v>
      </c>
      <c r="E42" s="42"/>
      <c r="F42" s="42"/>
      <c r="G42" s="11">
        <f>G43</f>
        <v>420</v>
      </c>
    </row>
    <row r="43" spans="1:7" ht="31.5">
      <c r="A43" s="31" t="s">
        <v>300</v>
      </c>
      <c r="B43" s="42" t="s">
        <v>708</v>
      </c>
      <c r="C43" s="42" t="s">
        <v>296</v>
      </c>
      <c r="D43" s="42" t="s">
        <v>267</v>
      </c>
      <c r="E43" s="42" t="s">
        <v>301</v>
      </c>
      <c r="F43" s="42"/>
      <c r="G43" s="11">
        <f>G44</f>
        <v>420</v>
      </c>
    </row>
    <row r="44" spans="1:7" ht="31.5">
      <c r="A44" s="31" t="s">
        <v>400</v>
      </c>
      <c r="B44" s="42" t="s">
        <v>708</v>
      </c>
      <c r="C44" s="42" t="s">
        <v>296</v>
      </c>
      <c r="D44" s="42" t="s">
        <v>267</v>
      </c>
      <c r="E44" s="42" t="s">
        <v>401</v>
      </c>
      <c r="F44" s="42"/>
      <c r="G44" s="11">
        <f>'Прил.№4 ведомств.'!G475</f>
        <v>420</v>
      </c>
    </row>
    <row r="45" spans="1:7" ht="63">
      <c r="A45" s="47" t="s">
        <v>313</v>
      </c>
      <c r="B45" s="42" t="s">
        <v>408</v>
      </c>
      <c r="C45" s="42" t="s">
        <v>296</v>
      </c>
      <c r="D45" s="42" t="s">
        <v>267</v>
      </c>
      <c r="E45" s="42"/>
      <c r="F45" s="42" t="s">
        <v>705</v>
      </c>
      <c r="G45" s="11">
        <f>G39</f>
        <v>420</v>
      </c>
    </row>
    <row r="46" spans="1:7" ht="31.5">
      <c r="A46" s="64" t="s">
        <v>709</v>
      </c>
      <c r="B46" s="8" t="s">
        <v>411</v>
      </c>
      <c r="C46" s="8"/>
      <c r="D46" s="8"/>
      <c r="E46" s="8"/>
      <c r="F46" s="8"/>
      <c r="G46" s="68">
        <f>G47</f>
        <v>1595</v>
      </c>
    </row>
    <row r="47" spans="1:7" ht="15.75">
      <c r="A47" s="47" t="s">
        <v>295</v>
      </c>
      <c r="B47" s="42" t="s">
        <v>411</v>
      </c>
      <c r="C47" s="42" t="s">
        <v>296</v>
      </c>
      <c r="D47" s="42"/>
      <c r="E47" s="42"/>
      <c r="F47" s="42"/>
      <c r="G47" s="11">
        <f>G48</f>
        <v>1595</v>
      </c>
    </row>
    <row r="48" spans="1:7" ht="15.75">
      <c r="A48" s="47" t="s">
        <v>304</v>
      </c>
      <c r="B48" s="42" t="s">
        <v>411</v>
      </c>
      <c r="C48" s="42" t="s">
        <v>296</v>
      </c>
      <c r="D48" s="42" t="s">
        <v>267</v>
      </c>
      <c r="E48" s="42"/>
      <c r="F48" s="42"/>
      <c r="G48" s="11">
        <f>G49</f>
        <v>1595</v>
      </c>
    </row>
    <row r="49" spans="1:7" ht="47.25">
      <c r="A49" s="31" t="s">
        <v>209</v>
      </c>
      <c r="B49" s="42" t="s">
        <v>710</v>
      </c>
      <c r="C49" s="42" t="s">
        <v>296</v>
      </c>
      <c r="D49" s="42" t="s">
        <v>267</v>
      </c>
      <c r="E49" s="42"/>
      <c r="F49" s="42"/>
      <c r="G49" s="11">
        <f>G50+G52</f>
        <v>1595</v>
      </c>
    </row>
    <row r="50" spans="1:7" ht="47.25">
      <c r="A50" s="31" t="s">
        <v>183</v>
      </c>
      <c r="B50" s="42" t="s">
        <v>710</v>
      </c>
      <c r="C50" s="42" t="s">
        <v>296</v>
      </c>
      <c r="D50" s="42" t="s">
        <v>267</v>
      </c>
      <c r="E50" s="42" t="s">
        <v>184</v>
      </c>
      <c r="F50" s="42"/>
      <c r="G50" s="11">
        <f>G51</f>
        <v>547</v>
      </c>
    </row>
    <row r="51" spans="1:7" ht="47.25">
      <c r="A51" s="31" t="s">
        <v>185</v>
      </c>
      <c r="B51" s="42" t="s">
        <v>710</v>
      </c>
      <c r="C51" s="42" t="s">
        <v>296</v>
      </c>
      <c r="D51" s="42" t="s">
        <v>267</v>
      </c>
      <c r="E51" s="42" t="s">
        <v>186</v>
      </c>
      <c r="F51" s="42"/>
      <c r="G51" s="11">
        <f>'Прил.№4 ведомств.'!G479</f>
        <v>547</v>
      </c>
    </row>
    <row r="52" spans="1:7" ht="31.5">
      <c r="A52" s="31" t="s">
        <v>300</v>
      </c>
      <c r="B52" s="42" t="s">
        <v>710</v>
      </c>
      <c r="C52" s="42" t="s">
        <v>296</v>
      </c>
      <c r="D52" s="42" t="s">
        <v>267</v>
      </c>
      <c r="E52" s="42" t="s">
        <v>301</v>
      </c>
      <c r="F52" s="42"/>
      <c r="G52" s="11">
        <f>G53</f>
        <v>1048</v>
      </c>
    </row>
    <row r="53" spans="1:7" ht="31.5">
      <c r="A53" s="31" t="s">
        <v>400</v>
      </c>
      <c r="B53" s="42" t="s">
        <v>710</v>
      </c>
      <c r="C53" s="42" t="s">
        <v>296</v>
      </c>
      <c r="D53" s="42" t="s">
        <v>267</v>
      </c>
      <c r="E53" s="42" t="s">
        <v>401</v>
      </c>
      <c r="F53" s="42"/>
      <c r="G53" s="11">
        <f>'Прил.№4 ведомств.'!G481</f>
        <v>1048</v>
      </c>
    </row>
    <row r="54" spans="1:7" ht="63">
      <c r="A54" s="47" t="s">
        <v>313</v>
      </c>
      <c r="B54" s="42" t="s">
        <v>411</v>
      </c>
      <c r="C54" s="42" t="s">
        <v>296</v>
      </c>
      <c r="D54" s="42" t="s">
        <v>267</v>
      </c>
      <c r="E54" s="42"/>
      <c r="F54" s="42" t="s">
        <v>705</v>
      </c>
      <c r="G54" s="11">
        <f>G46</f>
        <v>1595</v>
      </c>
    </row>
    <row r="55" spans="1:7" ht="47.25">
      <c r="A55" s="64" t="s">
        <v>711</v>
      </c>
      <c r="B55" s="8" t="s">
        <v>414</v>
      </c>
      <c r="C55" s="8"/>
      <c r="D55" s="8"/>
      <c r="E55" s="8"/>
      <c r="F55" s="8"/>
      <c r="G55" s="68">
        <f>G56</f>
        <v>335</v>
      </c>
    </row>
    <row r="56" spans="1:7" ht="15.75">
      <c r="A56" s="47" t="s">
        <v>295</v>
      </c>
      <c r="B56" s="42" t="s">
        <v>414</v>
      </c>
      <c r="C56" s="42" t="s">
        <v>296</v>
      </c>
      <c r="D56" s="42"/>
      <c r="E56" s="42"/>
      <c r="F56" s="42"/>
      <c r="G56" s="11">
        <f>G57</f>
        <v>335</v>
      </c>
    </row>
    <row r="57" spans="1:7" ht="21.75" customHeight="1">
      <c r="A57" s="47" t="s">
        <v>304</v>
      </c>
      <c r="B57" s="42" t="s">
        <v>414</v>
      </c>
      <c r="C57" s="42" t="s">
        <v>296</v>
      </c>
      <c r="D57" s="42" t="s">
        <v>267</v>
      </c>
      <c r="E57" s="42"/>
      <c r="F57" s="42"/>
      <c r="G57" s="11">
        <f>G58</f>
        <v>335</v>
      </c>
    </row>
    <row r="58" spans="1:7" ht="47.25">
      <c r="A58" s="31" t="s">
        <v>209</v>
      </c>
      <c r="B58" s="42" t="s">
        <v>712</v>
      </c>
      <c r="C58" s="42" t="s">
        <v>296</v>
      </c>
      <c r="D58" s="42" t="s">
        <v>267</v>
      </c>
      <c r="E58" s="42"/>
      <c r="F58" s="42"/>
      <c r="G58" s="11">
        <f>G59</f>
        <v>335</v>
      </c>
    </row>
    <row r="59" spans="1:7" ht="31.5">
      <c r="A59" s="31" t="s">
        <v>300</v>
      </c>
      <c r="B59" s="42" t="s">
        <v>712</v>
      </c>
      <c r="C59" s="42" t="s">
        <v>296</v>
      </c>
      <c r="D59" s="42" t="s">
        <v>267</v>
      </c>
      <c r="E59" s="42" t="s">
        <v>301</v>
      </c>
      <c r="F59" s="42"/>
      <c r="G59" s="11">
        <f>G60</f>
        <v>335</v>
      </c>
    </row>
    <row r="60" spans="1:7" ht="31.5">
      <c r="A60" s="31" t="s">
        <v>400</v>
      </c>
      <c r="B60" s="42" t="s">
        <v>712</v>
      </c>
      <c r="C60" s="42" t="s">
        <v>296</v>
      </c>
      <c r="D60" s="42" t="s">
        <v>267</v>
      </c>
      <c r="E60" s="42" t="s">
        <v>401</v>
      </c>
      <c r="F60" s="42"/>
      <c r="G60" s="11">
        <f>'Прил.№4 ведомств.'!G485</f>
        <v>335</v>
      </c>
    </row>
    <row r="61" spans="1:7" ht="63">
      <c r="A61" s="47" t="s">
        <v>313</v>
      </c>
      <c r="B61" s="42" t="s">
        <v>414</v>
      </c>
      <c r="C61" s="42" t="s">
        <v>296</v>
      </c>
      <c r="D61" s="42" t="s">
        <v>267</v>
      </c>
      <c r="E61" s="42"/>
      <c r="F61" s="42" t="s">
        <v>705</v>
      </c>
      <c r="G61" s="11">
        <f>G55</f>
        <v>335</v>
      </c>
    </row>
    <row r="62" spans="1:7" ht="78.75">
      <c r="A62" s="64" t="s">
        <v>416</v>
      </c>
      <c r="B62" s="8" t="s">
        <v>417</v>
      </c>
      <c r="C62" s="8"/>
      <c r="D62" s="8"/>
      <c r="E62" s="8"/>
      <c r="F62" s="8"/>
      <c r="G62" s="68">
        <f>G63</f>
        <v>210</v>
      </c>
    </row>
    <row r="63" spans="1:7" ht="15.75">
      <c r="A63" s="47" t="s">
        <v>295</v>
      </c>
      <c r="B63" s="42" t="s">
        <v>417</v>
      </c>
      <c r="C63" s="42" t="s">
        <v>296</v>
      </c>
      <c r="D63" s="42"/>
      <c r="E63" s="42"/>
      <c r="F63" s="42"/>
      <c r="G63" s="11">
        <f>G64</f>
        <v>210</v>
      </c>
    </row>
    <row r="64" spans="1:7" ht="15.75">
      <c r="A64" s="47" t="s">
        <v>304</v>
      </c>
      <c r="B64" s="42" t="s">
        <v>417</v>
      </c>
      <c r="C64" s="42" t="s">
        <v>296</v>
      </c>
      <c r="D64" s="42" t="s">
        <v>267</v>
      </c>
      <c r="E64" s="42"/>
      <c r="F64" s="42"/>
      <c r="G64" s="11">
        <f>G65</f>
        <v>210</v>
      </c>
    </row>
    <row r="65" spans="1:7" ht="42.75" customHeight="1">
      <c r="A65" s="31" t="s">
        <v>209</v>
      </c>
      <c r="B65" s="42" t="s">
        <v>713</v>
      </c>
      <c r="C65" s="42" t="s">
        <v>296</v>
      </c>
      <c r="D65" s="42" t="s">
        <v>267</v>
      </c>
      <c r="E65" s="42"/>
      <c r="F65" s="42"/>
      <c r="G65" s="11">
        <f>G66</f>
        <v>210</v>
      </c>
    </row>
    <row r="66" spans="1:7" ht="47.25">
      <c r="A66" s="31" t="s">
        <v>183</v>
      </c>
      <c r="B66" s="42" t="s">
        <v>713</v>
      </c>
      <c r="C66" s="42" t="s">
        <v>296</v>
      </c>
      <c r="D66" s="42" t="s">
        <v>267</v>
      </c>
      <c r="E66" s="42" t="s">
        <v>184</v>
      </c>
      <c r="F66" s="42"/>
      <c r="G66" s="11">
        <f>G67</f>
        <v>210</v>
      </c>
    </row>
    <row r="67" spans="1:7" ht="47.25">
      <c r="A67" s="31" t="s">
        <v>185</v>
      </c>
      <c r="B67" s="42" t="s">
        <v>713</v>
      </c>
      <c r="C67" s="42" t="s">
        <v>296</v>
      </c>
      <c r="D67" s="42" t="s">
        <v>267</v>
      </c>
      <c r="E67" s="42" t="s">
        <v>186</v>
      </c>
      <c r="F67" s="42"/>
      <c r="G67" s="11">
        <f>'Прил.№4 ведомств.'!G489</f>
        <v>210</v>
      </c>
    </row>
    <row r="68" spans="1:7" ht="63">
      <c r="A68" s="47" t="s">
        <v>313</v>
      </c>
      <c r="B68" s="42" t="s">
        <v>417</v>
      </c>
      <c r="C68" s="42" t="s">
        <v>296</v>
      </c>
      <c r="D68" s="42" t="s">
        <v>267</v>
      </c>
      <c r="E68" s="42"/>
      <c r="F68" s="42" t="s">
        <v>705</v>
      </c>
      <c r="G68" s="11">
        <f>G62</f>
        <v>210</v>
      </c>
    </row>
    <row r="69" spans="1:7" ht="94.5">
      <c r="A69" s="43" t="s">
        <v>419</v>
      </c>
      <c r="B69" s="8" t="s">
        <v>420</v>
      </c>
      <c r="C69" s="8"/>
      <c r="D69" s="8"/>
      <c r="E69" s="8"/>
      <c r="F69" s="8"/>
      <c r="G69" s="68">
        <f>G70</f>
        <v>30</v>
      </c>
    </row>
    <row r="70" spans="1:7" ht="15.75">
      <c r="A70" s="47" t="s">
        <v>295</v>
      </c>
      <c r="B70" s="42" t="s">
        <v>420</v>
      </c>
      <c r="C70" s="42" t="s">
        <v>296</v>
      </c>
      <c r="D70" s="42"/>
      <c r="E70" s="42"/>
      <c r="F70" s="42"/>
      <c r="G70" s="11">
        <f>G71</f>
        <v>30</v>
      </c>
    </row>
    <row r="71" spans="1:7" ht="15.75">
      <c r="A71" s="47" t="s">
        <v>304</v>
      </c>
      <c r="B71" s="42" t="s">
        <v>420</v>
      </c>
      <c r="C71" s="42" t="s">
        <v>296</v>
      </c>
      <c r="D71" s="42" t="s">
        <v>267</v>
      </c>
      <c r="E71" s="42"/>
      <c r="F71" s="42"/>
      <c r="G71" s="11">
        <f>G72+G90+G81+G85+G77</f>
        <v>30</v>
      </c>
    </row>
    <row r="72" spans="1:7" ht="45" customHeight="1">
      <c r="A72" s="31" t="s">
        <v>209</v>
      </c>
      <c r="B72" s="42" t="s">
        <v>422</v>
      </c>
      <c r="C72" s="42" t="s">
        <v>296</v>
      </c>
      <c r="D72" s="42" t="s">
        <v>267</v>
      </c>
      <c r="E72" s="42"/>
      <c r="F72" s="42"/>
      <c r="G72" s="11">
        <f>G75+G73</f>
        <v>20</v>
      </c>
    </row>
    <row r="73" spans="1:7" ht="47.25" hidden="1">
      <c r="A73" s="31" t="s">
        <v>183</v>
      </c>
      <c r="B73" s="42" t="s">
        <v>420</v>
      </c>
      <c r="C73" s="42" t="s">
        <v>296</v>
      </c>
      <c r="D73" s="42" t="s">
        <v>267</v>
      </c>
      <c r="E73" s="42" t="s">
        <v>184</v>
      </c>
      <c r="F73" s="42"/>
      <c r="G73" s="11">
        <f>G74</f>
        <v>0</v>
      </c>
    </row>
    <row r="74" spans="1:7" ht="47.25" hidden="1">
      <c r="A74" s="31" t="s">
        <v>185</v>
      </c>
      <c r="B74" s="42" t="s">
        <v>420</v>
      </c>
      <c r="C74" s="42" t="s">
        <v>296</v>
      </c>
      <c r="D74" s="42" t="s">
        <v>267</v>
      </c>
      <c r="E74" s="42" t="s">
        <v>186</v>
      </c>
      <c r="F74" s="42"/>
      <c r="G74" s="11"/>
    </row>
    <row r="75" spans="1:7" ht="63">
      <c r="A75" s="26" t="s">
        <v>324</v>
      </c>
      <c r="B75" s="42" t="s">
        <v>422</v>
      </c>
      <c r="C75" s="42" t="s">
        <v>296</v>
      </c>
      <c r="D75" s="42" t="s">
        <v>267</v>
      </c>
      <c r="E75" s="42" t="s">
        <v>325</v>
      </c>
      <c r="F75" s="42"/>
      <c r="G75" s="11">
        <f>G76</f>
        <v>20</v>
      </c>
    </row>
    <row r="76" spans="1:7" ht="72.75" customHeight="1">
      <c r="A76" s="26" t="s">
        <v>423</v>
      </c>
      <c r="B76" s="42" t="s">
        <v>422</v>
      </c>
      <c r="C76" s="42" t="s">
        <v>296</v>
      </c>
      <c r="D76" s="42" t="s">
        <v>267</v>
      </c>
      <c r="E76" s="42" t="s">
        <v>424</v>
      </c>
      <c r="F76" s="42"/>
      <c r="G76" s="11">
        <f>'Прил.№4 ведомств.'!G493</f>
        <v>20</v>
      </c>
    </row>
    <row r="77" spans="1:7" ht="63">
      <c r="A77" s="26" t="s">
        <v>427</v>
      </c>
      <c r="B77" s="21" t="s">
        <v>428</v>
      </c>
      <c r="C77" s="42" t="s">
        <v>296</v>
      </c>
      <c r="D77" s="42" t="s">
        <v>267</v>
      </c>
      <c r="E77" s="42"/>
      <c r="F77" s="42"/>
      <c r="G77" s="11">
        <f>G78</f>
        <v>10</v>
      </c>
    </row>
    <row r="78" spans="1:7" ht="31.5">
      <c r="A78" s="26" t="s">
        <v>300</v>
      </c>
      <c r="B78" s="21" t="s">
        <v>428</v>
      </c>
      <c r="C78" s="42" t="s">
        <v>296</v>
      </c>
      <c r="D78" s="42" t="s">
        <v>267</v>
      </c>
      <c r="E78" s="42" t="s">
        <v>301</v>
      </c>
      <c r="F78" s="42"/>
      <c r="G78" s="11">
        <f>G79</f>
        <v>10</v>
      </c>
    </row>
    <row r="79" spans="1:7" ht="47.25">
      <c r="A79" s="26" t="s">
        <v>302</v>
      </c>
      <c r="B79" s="21" t="s">
        <v>428</v>
      </c>
      <c r="C79" s="42" t="s">
        <v>296</v>
      </c>
      <c r="D79" s="42" t="s">
        <v>267</v>
      </c>
      <c r="E79" s="42" t="s">
        <v>303</v>
      </c>
      <c r="F79" s="42"/>
      <c r="G79" s="11">
        <f>'Прил.№4 ведомств.'!G502</f>
        <v>10</v>
      </c>
    </row>
    <row r="80" spans="1:7" ht="63">
      <c r="A80" s="47" t="s">
        <v>313</v>
      </c>
      <c r="B80" s="21" t="s">
        <v>420</v>
      </c>
      <c r="C80" s="42" t="s">
        <v>296</v>
      </c>
      <c r="D80" s="42" t="s">
        <v>267</v>
      </c>
      <c r="E80" s="42"/>
      <c r="F80" s="10" t="s">
        <v>705</v>
      </c>
      <c r="G80" s="11">
        <f>G69</f>
        <v>30</v>
      </c>
    </row>
    <row r="81" spans="1:7" ht="173.25" hidden="1">
      <c r="A81" s="26" t="s">
        <v>425</v>
      </c>
      <c r="B81" s="21" t="s">
        <v>426</v>
      </c>
      <c r="C81" s="42" t="s">
        <v>296</v>
      </c>
      <c r="D81" s="42" t="s">
        <v>267</v>
      </c>
      <c r="E81" s="42"/>
      <c r="F81" s="10"/>
      <c r="G81" s="11">
        <f>G82</f>
        <v>0</v>
      </c>
    </row>
    <row r="82" spans="1:7" ht="15.75" hidden="1">
      <c r="A82" s="26" t="s">
        <v>187</v>
      </c>
      <c r="B82" s="21" t="s">
        <v>426</v>
      </c>
      <c r="C82" s="42" t="s">
        <v>296</v>
      </c>
      <c r="D82" s="42" t="s">
        <v>267</v>
      </c>
      <c r="E82" s="42" t="s">
        <v>197</v>
      </c>
      <c r="F82" s="10"/>
      <c r="G82" s="11">
        <f>G83</f>
        <v>0</v>
      </c>
    </row>
    <row r="83" spans="1:7" ht="78.75" hidden="1">
      <c r="A83" s="26" t="s">
        <v>236</v>
      </c>
      <c r="B83" s="21" t="s">
        <v>426</v>
      </c>
      <c r="C83" s="42" t="s">
        <v>296</v>
      </c>
      <c r="D83" s="42" t="s">
        <v>267</v>
      </c>
      <c r="E83" s="42" t="s">
        <v>212</v>
      </c>
      <c r="F83" s="10"/>
      <c r="G83" s="11"/>
    </row>
    <row r="84" spans="1:7" ht="63" hidden="1">
      <c r="A84" s="47" t="s">
        <v>313</v>
      </c>
      <c r="B84" s="21" t="s">
        <v>426</v>
      </c>
      <c r="C84" s="42" t="s">
        <v>296</v>
      </c>
      <c r="D84" s="42" t="s">
        <v>267</v>
      </c>
      <c r="E84" s="42"/>
      <c r="F84" s="10" t="s">
        <v>705</v>
      </c>
      <c r="G84" s="11">
        <f>G83</f>
        <v>0</v>
      </c>
    </row>
    <row r="85" spans="1:7" ht="63" hidden="1">
      <c r="A85" s="26" t="s">
        <v>427</v>
      </c>
      <c r="B85" s="21" t="s">
        <v>428</v>
      </c>
      <c r="C85" s="42" t="s">
        <v>296</v>
      </c>
      <c r="D85" s="42" t="s">
        <v>267</v>
      </c>
      <c r="E85" s="42"/>
      <c r="F85" s="10"/>
      <c r="G85" s="11">
        <f>G86</f>
        <v>0</v>
      </c>
    </row>
    <row r="86" spans="1:7" ht="31.5" hidden="1">
      <c r="A86" s="31" t="s">
        <v>300</v>
      </c>
      <c r="B86" s="21" t="s">
        <v>428</v>
      </c>
      <c r="C86" s="42" t="s">
        <v>296</v>
      </c>
      <c r="D86" s="42" t="s">
        <v>267</v>
      </c>
      <c r="E86" s="42" t="s">
        <v>301</v>
      </c>
      <c r="F86" s="10"/>
      <c r="G86" s="11">
        <f>G87</f>
        <v>0</v>
      </c>
    </row>
    <row r="87" spans="1:7" ht="47.25" hidden="1">
      <c r="A87" s="31" t="s">
        <v>302</v>
      </c>
      <c r="B87" s="21" t="s">
        <v>428</v>
      </c>
      <c r="C87" s="42" t="s">
        <v>296</v>
      </c>
      <c r="D87" s="42" t="s">
        <v>267</v>
      </c>
      <c r="E87" s="42" t="s">
        <v>303</v>
      </c>
      <c r="F87" s="10"/>
      <c r="G87" s="11"/>
    </row>
    <row r="88" spans="1:7" ht="63" hidden="1">
      <c r="A88" s="47" t="s">
        <v>313</v>
      </c>
      <c r="B88" s="21" t="s">
        <v>428</v>
      </c>
      <c r="C88" s="42" t="s">
        <v>296</v>
      </c>
      <c r="D88" s="42" t="s">
        <v>267</v>
      </c>
      <c r="E88" s="42"/>
      <c r="F88" s="10" t="s">
        <v>705</v>
      </c>
      <c r="G88" s="11">
        <f>G85</f>
        <v>0</v>
      </c>
    </row>
    <row r="89" spans="1:7" ht="47.25" hidden="1">
      <c r="A89" s="31" t="s">
        <v>429</v>
      </c>
      <c r="B89" s="21" t="s">
        <v>430</v>
      </c>
      <c r="C89" s="42" t="s">
        <v>296</v>
      </c>
      <c r="D89" s="42" t="s">
        <v>267</v>
      </c>
      <c r="E89" s="42"/>
      <c r="F89" s="42"/>
      <c r="G89" s="11">
        <f>G90</f>
        <v>0</v>
      </c>
    </row>
    <row r="90" spans="1:7" ht="47.25" hidden="1">
      <c r="A90" s="31" t="s">
        <v>183</v>
      </c>
      <c r="B90" s="21" t="s">
        <v>430</v>
      </c>
      <c r="C90" s="42" t="s">
        <v>296</v>
      </c>
      <c r="D90" s="42" t="s">
        <v>267</v>
      </c>
      <c r="E90" s="42" t="s">
        <v>184</v>
      </c>
      <c r="F90" s="42"/>
      <c r="G90" s="11">
        <f>G91</f>
        <v>0</v>
      </c>
    </row>
    <row r="91" spans="1:7" ht="47.25" hidden="1">
      <c r="A91" s="31" t="s">
        <v>185</v>
      </c>
      <c r="B91" s="21" t="s">
        <v>430</v>
      </c>
      <c r="C91" s="42" t="s">
        <v>296</v>
      </c>
      <c r="D91" s="42" t="s">
        <v>267</v>
      </c>
      <c r="E91" s="42" t="s">
        <v>186</v>
      </c>
      <c r="F91" s="42"/>
      <c r="G91" s="11">
        <v>0</v>
      </c>
    </row>
    <row r="92" spans="1:7" ht="15.75" hidden="1">
      <c r="A92" s="31" t="s">
        <v>187</v>
      </c>
      <c r="B92" s="21" t="s">
        <v>430</v>
      </c>
      <c r="C92" s="42" t="s">
        <v>296</v>
      </c>
      <c r="D92" s="42" t="s">
        <v>267</v>
      </c>
      <c r="E92" s="42" t="s">
        <v>197</v>
      </c>
      <c r="F92" s="42"/>
      <c r="G92" s="11"/>
    </row>
    <row r="93" spans="1:7" ht="78.75" hidden="1">
      <c r="A93" s="31" t="s">
        <v>236</v>
      </c>
      <c r="B93" s="21" t="s">
        <v>430</v>
      </c>
      <c r="C93" s="42" t="s">
        <v>296</v>
      </c>
      <c r="D93" s="42" t="s">
        <v>267</v>
      </c>
      <c r="E93" s="42" t="s">
        <v>212</v>
      </c>
      <c r="F93" s="42"/>
      <c r="G93" s="11"/>
    </row>
    <row r="94" spans="1:7" ht="63" hidden="1">
      <c r="A94" s="47" t="s">
        <v>313</v>
      </c>
      <c r="B94" s="21" t="s">
        <v>430</v>
      </c>
      <c r="C94" s="42" t="s">
        <v>296</v>
      </c>
      <c r="D94" s="42" t="s">
        <v>267</v>
      </c>
      <c r="E94" s="42"/>
      <c r="F94" s="10" t="s">
        <v>705</v>
      </c>
      <c r="G94" s="11">
        <f>G89</f>
        <v>0</v>
      </c>
    </row>
    <row r="95" spans="1:7" ht="141.75">
      <c r="A95" s="43" t="s">
        <v>432</v>
      </c>
      <c r="B95" s="8" t="s">
        <v>433</v>
      </c>
      <c r="C95" s="8"/>
      <c r="D95" s="8"/>
      <c r="E95" s="8"/>
      <c r="F95" s="9"/>
      <c r="G95" s="68">
        <f>G96</f>
        <v>105</v>
      </c>
    </row>
    <row r="96" spans="1:7" ht="15.75">
      <c r="A96" s="47" t="s">
        <v>295</v>
      </c>
      <c r="B96" s="42" t="s">
        <v>433</v>
      </c>
      <c r="C96" s="42" t="s">
        <v>296</v>
      </c>
      <c r="D96" s="42"/>
      <c r="E96" s="42"/>
      <c r="F96" s="10"/>
      <c r="G96" s="11">
        <f>G97</f>
        <v>105</v>
      </c>
    </row>
    <row r="97" spans="1:7" ht="24.75" customHeight="1">
      <c r="A97" s="47" t="s">
        <v>304</v>
      </c>
      <c r="B97" s="42" t="s">
        <v>433</v>
      </c>
      <c r="C97" s="42" t="s">
        <v>296</v>
      </c>
      <c r="D97" s="42" t="s">
        <v>267</v>
      </c>
      <c r="E97" s="42"/>
      <c r="F97" s="10"/>
      <c r="G97" s="11">
        <f>G98</f>
        <v>105</v>
      </c>
    </row>
    <row r="98" spans="1:7" ht="47.25">
      <c r="A98" s="31" t="s">
        <v>209</v>
      </c>
      <c r="B98" s="42" t="s">
        <v>434</v>
      </c>
      <c r="C98" s="42" t="s">
        <v>296</v>
      </c>
      <c r="D98" s="42" t="s">
        <v>267</v>
      </c>
      <c r="E98" s="42"/>
      <c r="F98" s="10"/>
      <c r="G98" s="11">
        <f>G99</f>
        <v>105</v>
      </c>
    </row>
    <row r="99" spans="1:7" ht="47.25">
      <c r="A99" s="31" t="s">
        <v>183</v>
      </c>
      <c r="B99" s="42" t="s">
        <v>434</v>
      </c>
      <c r="C99" s="42" t="s">
        <v>296</v>
      </c>
      <c r="D99" s="42" t="s">
        <v>267</v>
      </c>
      <c r="E99" s="42" t="s">
        <v>184</v>
      </c>
      <c r="F99" s="10"/>
      <c r="G99" s="11">
        <f>G100</f>
        <v>105</v>
      </c>
    </row>
    <row r="100" spans="1:7" ht="47.25">
      <c r="A100" s="31" t="s">
        <v>185</v>
      </c>
      <c r="B100" s="42" t="s">
        <v>434</v>
      </c>
      <c r="C100" s="42" t="s">
        <v>296</v>
      </c>
      <c r="D100" s="42" t="s">
        <v>267</v>
      </c>
      <c r="E100" s="42" t="s">
        <v>186</v>
      </c>
      <c r="F100" s="10"/>
      <c r="G100" s="11">
        <f>'Прил.№4 ведомств.'!G511</f>
        <v>105</v>
      </c>
    </row>
    <row r="101" spans="1:7" ht="63">
      <c r="A101" s="47" t="s">
        <v>313</v>
      </c>
      <c r="B101" s="42" t="s">
        <v>433</v>
      </c>
      <c r="C101" s="42" t="s">
        <v>296</v>
      </c>
      <c r="D101" s="42" t="s">
        <v>267</v>
      </c>
      <c r="E101" s="42"/>
      <c r="F101" s="10" t="s">
        <v>705</v>
      </c>
      <c r="G101" s="11">
        <f>G95</f>
        <v>105</v>
      </c>
    </row>
    <row r="102" spans="1:7" ht="63">
      <c r="A102" s="64" t="s">
        <v>479</v>
      </c>
      <c r="B102" s="8" t="s">
        <v>459</v>
      </c>
      <c r="C102" s="8"/>
      <c r="D102" s="8"/>
      <c r="E102" s="8"/>
      <c r="F102" s="8"/>
      <c r="G102" s="68">
        <f>G103+G118+G163+G188+G210</f>
        <v>89244.7</v>
      </c>
    </row>
    <row r="103" spans="1:7" ht="47.25">
      <c r="A103" s="43" t="s">
        <v>460</v>
      </c>
      <c r="B103" s="8" t="s">
        <v>461</v>
      </c>
      <c r="C103" s="8"/>
      <c r="D103" s="8"/>
      <c r="E103" s="8"/>
      <c r="F103" s="8"/>
      <c r="G103" s="68">
        <f>G104</f>
        <v>70853.6</v>
      </c>
    </row>
    <row r="104" spans="1:7" ht="15.75">
      <c r="A104" s="31" t="s">
        <v>315</v>
      </c>
      <c r="B104" s="42" t="s">
        <v>461</v>
      </c>
      <c r="C104" s="42" t="s">
        <v>316</v>
      </c>
      <c r="D104" s="42"/>
      <c r="E104" s="42"/>
      <c r="F104" s="42"/>
      <c r="G104" s="11">
        <f>G105+G109+G113</f>
        <v>70853.6</v>
      </c>
    </row>
    <row r="105" spans="1:7" ht="15.75">
      <c r="A105" s="47" t="s">
        <v>457</v>
      </c>
      <c r="B105" s="42" t="s">
        <v>461</v>
      </c>
      <c r="C105" s="42" t="s">
        <v>316</v>
      </c>
      <c r="D105" s="42" t="s">
        <v>170</v>
      </c>
      <c r="E105" s="42"/>
      <c r="F105" s="42"/>
      <c r="G105" s="11">
        <f>G106</f>
        <v>15578.400000000001</v>
      </c>
    </row>
    <row r="106" spans="1:7" ht="63">
      <c r="A106" s="31" t="s">
        <v>462</v>
      </c>
      <c r="B106" s="42" t="s">
        <v>463</v>
      </c>
      <c r="C106" s="42" t="s">
        <v>316</v>
      </c>
      <c r="D106" s="42" t="s">
        <v>170</v>
      </c>
      <c r="E106" s="42"/>
      <c r="F106" s="42"/>
      <c r="G106" s="11">
        <f>G107</f>
        <v>15578.400000000001</v>
      </c>
    </row>
    <row r="107" spans="1:7" ht="63">
      <c r="A107" s="31" t="s">
        <v>324</v>
      </c>
      <c r="B107" s="42" t="s">
        <v>463</v>
      </c>
      <c r="C107" s="42" t="s">
        <v>316</v>
      </c>
      <c r="D107" s="42" t="s">
        <v>170</v>
      </c>
      <c r="E107" s="42" t="s">
        <v>325</v>
      </c>
      <c r="F107" s="42"/>
      <c r="G107" s="11">
        <f>G108</f>
        <v>15578.400000000001</v>
      </c>
    </row>
    <row r="108" spans="1:7" ht="15.75">
      <c r="A108" s="31" t="s">
        <v>326</v>
      </c>
      <c r="B108" s="42" t="s">
        <v>463</v>
      </c>
      <c r="C108" s="42" t="s">
        <v>316</v>
      </c>
      <c r="D108" s="42" t="s">
        <v>170</v>
      </c>
      <c r="E108" s="42" t="s">
        <v>327</v>
      </c>
      <c r="F108" s="42"/>
      <c r="G108" s="7">
        <f>'Прил.№4 ведомств.'!G600</f>
        <v>15578.400000000001</v>
      </c>
    </row>
    <row r="109" spans="1:7" ht="15.75">
      <c r="A109" s="31" t="s">
        <v>478</v>
      </c>
      <c r="B109" s="42" t="s">
        <v>461</v>
      </c>
      <c r="C109" s="42" t="s">
        <v>316</v>
      </c>
      <c r="D109" s="42" t="s">
        <v>265</v>
      </c>
      <c r="E109" s="42"/>
      <c r="F109" s="42"/>
      <c r="G109" s="11">
        <f>G110</f>
        <v>34151.2</v>
      </c>
    </row>
    <row r="110" spans="1:7" ht="57.75" customHeight="1">
      <c r="A110" s="31" t="s">
        <v>480</v>
      </c>
      <c r="B110" s="42" t="s">
        <v>481</v>
      </c>
      <c r="C110" s="42" t="s">
        <v>316</v>
      </c>
      <c r="D110" s="42" t="s">
        <v>265</v>
      </c>
      <c r="E110" s="42"/>
      <c r="F110" s="42"/>
      <c r="G110" s="11">
        <f>G111</f>
        <v>34151.2</v>
      </c>
    </row>
    <row r="111" spans="1:7" ht="70.5" customHeight="1">
      <c r="A111" s="31" t="s">
        <v>324</v>
      </c>
      <c r="B111" s="42" t="s">
        <v>481</v>
      </c>
      <c r="C111" s="42" t="s">
        <v>316</v>
      </c>
      <c r="D111" s="42" t="s">
        <v>265</v>
      </c>
      <c r="E111" s="42" t="s">
        <v>325</v>
      </c>
      <c r="F111" s="42"/>
      <c r="G111" s="11">
        <f>G112</f>
        <v>34151.2</v>
      </c>
    </row>
    <row r="112" spans="1:7" ht="15.75">
      <c r="A112" s="31" t="s">
        <v>326</v>
      </c>
      <c r="B112" s="42" t="s">
        <v>481</v>
      </c>
      <c r="C112" s="42" t="s">
        <v>316</v>
      </c>
      <c r="D112" s="42" t="s">
        <v>265</v>
      </c>
      <c r="E112" s="42" t="s">
        <v>327</v>
      </c>
      <c r="F112" s="42"/>
      <c r="G112" s="7">
        <f>'Прил.№4 ведомств.'!G645</f>
        <v>34151.2</v>
      </c>
    </row>
    <row r="113" spans="1:7" ht="15.75">
      <c r="A113" s="31" t="s">
        <v>317</v>
      </c>
      <c r="B113" s="42" t="s">
        <v>461</v>
      </c>
      <c r="C113" s="42" t="s">
        <v>316</v>
      </c>
      <c r="D113" s="42" t="s">
        <v>267</v>
      </c>
      <c r="E113" s="42"/>
      <c r="F113" s="42"/>
      <c r="G113" s="7">
        <f>G114</f>
        <v>21124</v>
      </c>
    </row>
    <row r="114" spans="1:7" ht="63">
      <c r="A114" s="31" t="s">
        <v>322</v>
      </c>
      <c r="B114" s="42" t="s">
        <v>482</v>
      </c>
      <c r="C114" s="42" t="s">
        <v>316</v>
      </c>
      <c r="D114" s="42" t="s">
        <v>267</v>
      </c>
      <c r="E114" s="8"/>
      <c r="F114" s="8"/>
      <c r="G114" s="11">
        <f>G115</f>
        <v>21124</v>
      </c>
    </row>
    <row r="115" spans="1:7" ht="63">
      <c r="A115" s="31" t="s">
        <v>324</v>
      </c>
      <c r="B115" s="42" t="s">
        <v>482</v>
      </c>
      <c r="C115" s="42" t="s">
        <v>316</v>
      </c>
      <c r="D115" s="42" t="s">
        <v>267</v>
      </c>
      <c r="E115" s="42" t="s">
        <v>325</v>
      </c>
      <c r="F115" s="42"/>
      <c r="G115" s="11">
        <f>G116</f>
        <v>21124</v>
      </c>
    </row>
    <row r="116" spans="1:7" ht="15.75">
      <c r="A116" s="31" t="s">
        <v>326</v>
      </c>
      <c r="B116" s="42" t="s">
        <v>482</v>
      </c>
      <c r="C116" s="42" t="s">
        <v>316</v>
      </c>
      <c r="D116" s="42" t="s">
        <v>267</v>
      </c>
      <c r="E116" s="42" t="s">
        <v>327</v>
      </c>
      <c r="F116" s="42"/>
      <c r="G116" s="7">
        <f>'Прил.№4 ведомств.'!G714</f>
        <v>21124</v>
      </c>
    </row>
    <row r="117" spans="1:7" ht="47.25">
      <c r="A117" s="31" t="s">
        <v>456</v>
      </c>
      <c r="B117" s="42" t="s">
        <v>461</v>
      </c>
      <c r="C117" s="42" t="s">
        <v>316</v>
      </c>
      <c r="D117" s="42" t="s">
        <v>267</v>
      </c>
      <c r="E117" s="42"/>
      <c r="F117" s="42" t="s">
        <v>714</v>
      </c>
      <c r="G117" s="7">
        <f>G103</f>
        <v>70853.6</v>
      </c>
    </row>
    <row r="118" spans="1:7" ht="47.25">
      <c r="A118" s="43" t="s">
        <v>464</v>
      </c>
      <c r="B118" s="8" t="s">
        <v>465</v>
      </c>
      <c r="C118" s="8"/>
      <c r="D118" s="8"/>
      <c r="E118" s="8"/>
      <c r="F118" s="8"/>
      <c r="G118" s="68">
        <f>G119</f>
        <v>7875</v>
      </c>
    </row>
    <row r="119" spans="1:7" ht="15.75">
      <c r="A119" s="31" t="s">
        <v>315</v>
      </c>
      <c r="B119" s="42" t="s">
        <v>465</v>
      </c>
      <c r="C119" s="42" t="s">
        <v>316</v>
      </c>
      <c r="D119" s="42"/>
      <c r="E119" s="42"/>
      <c r="F119" s="42"/>
      <c r="G119" s="11">
        <f>G120</f>
        <v>7875</v>
      </c>
    </row>
    <row r="120" spans="1:7" ht="15.75">
      <c r="A120" s="47" t="s">
        <v>457</v>
      </c>
      <c r="B120" s="42" t="s">
        <v>465</v>
      </c>
      <c r="C120" s="42" t="s">
        <v>316</v>
      </c>
      <c r="D120" s="42" t="s">
        <v>170</v>
      </c>
      <c r="E120" s="42"/>
      <c r="F120" s="42"/>
      <c r="G120" s="11">
        <f>G133+G130</f>
        <v>7875</v>
      </c>
    </row>
    <row r="121" spans="1:7" ht="57.75" customHeight="1" hidden="1">
      <c r="A121" s="31" t="s">
        <v>658</v>
      </c>
      <c r="B121" s="42" t="s">
        <v>659</v>
      </c>
      <c r="C121" s="42" t="s">
        <v>316</v>
      </c>
      <c r="D121" s="42" t="s">
        <v>170</v>
      </c>
      <c r="E121" s="42"/>
      <c r="F121" s="42"/>
      <c r="G121" s="11">
        <f>G122</f>
        <v>0</v>
      </c>
    </row>
    <row r="122" spans="1:7" ht="63" hidden="1">
      <c r="A122" s="31" t="s">
        <v>324</v>
      </c>
      <c r="B122" s="42" t="s">
        <v>659</v>
      </c>
      <c r="C122" s="42" t="s">
        <v>316</v>
      </c>
      <c r="D122" s="42" t="s">
        <v>170</v>
      </c>
      <c r="E122" s="42" t="s">
        <v>325</v>
      </c>
      <c r="F122" s="42"/>
      <c r="G122" s="11">
        <f>G123</f>
        <v>0</v>
      </c>
    </row>
    <row r="123" spans="1:7" ht="15.75" hidden="1">
      <c r="A123" s="31" t="s">
        <v>326</v>
      </c>
      <c r="B123" s="42" t="s">
        <v>659</v>
      </c>
      <c r="C123" s="42" t="s">
        <v>316</v>
      </c>
      <c r="D123" s="42" t="s">
        <v>170</v>
      </c>
      <c r="E123" s="42" t="s">
        <v>327</v>
      </c>
      <c r="F123" s="42"/>
      <c r="G123" s="11"/>
    </row>
    <row r="124" spans="1:7" ht="47.25" hidden="1">
      <c r="A124" s="31" t="s">
        <v>456</v>
      </c>
      <c r="B124" s="42" t="s">
        <v>659</v>
      </c>
      <c r="C124" s="42" t="s">
        <v>316</v>
      </c>
      <c r="D124" s="42" t="s">
        <v>170</v>
      </c>
      <c r="E124" s="42"/>
      <c r="F124" s="42" t="s">
        <v>714</v>
      </c>
      <c r="G124" s="11">
        <v>0</v>
      </c>
    </row>
    <row r="125" spans="1:7" ht="47.25" hidden="1">
      <c r="A125" s="31" t="s">
        <v>330</v>
      </c>
      <c r="B125" s="42" t="s">
        <v>660</v>
      </c>
      <c r="C125" s="42" t="s">
        <v>316</v>
      </c>
      <c r="D125" s="42" t="s">
        <v>170</v>
      </c>
      <c r="E125" s="42"/>
      <c r="F125" s="42"/>
      <c r="G125" s="11">
        <f>G126</f>
        <v>0</v>
      </c>
    </row>
    <row r="126" spans="1:7" ht="63" hidden="1">
      <c r="A126" s="31" t="s">
        <v>324</v>
      </c>
      <c r="B126" s="42" t="s">
        <v>660</v>
      </c>
      <c r="C126" s="42" t="s">
        <v>316</v>
      </c>
      <c r="D126" s="42" t="s">
        <v>170</v>
      </c>
      <c r="E126" s="42" t="s">
        <v>325</v>
      </c>
      <c r="F126" s="42"/>
      <c r="G126" s="11">
        <f>G127</f>
        <v>0</v>
      </c>
    </row>
    <row r="127" spans="1:7" ht="15.75" hidden="1">
      <c r="A127" s="31" t="s">
        <v>326</v>
      </c>
      <c r="B127" s="42" t="s">
        <v>660</v>
      </c>
      <c r="C127" s="42" t="s">
        <v>316</v>
      </c>
      <c r="D127" s="42" t="s">
        <v>170</v>
      </c>
      <c r="E127" s="42" t="s">
        <v>327</v>
      </c>
      <c r="F127" s="42"/>
      <c r="G127" s="11"/>
    </row>
    <row r="128" spans="1:7" ht="47.25" hidden="1">
      <c r="A128" s="31" t="s">
        <v>456</v>
      </c>
      <c r="B128" s="42" t="s">
        <v>660</v>
      </c>
      <c r="C128" s="42" t="s">
        <v>316</v>
      </c>
      <c r="D128" s="42" t="s">
        <v>170</v>
      </c>
      <c r="E128" s="42"/>
      <c r="F128" s="42" t="s">
        <v>714</v>
      </c>
      <c r="G128" s="11">
        <v>0</v>
      </c>
    </row>
    <row r="129" spans="1:7" ht="31.5">
      <c r="A129" s="31" t="s">
        <v>332</v>
      </c>
      <c r="B129" s="42" t="s">
        <v>467</v>
      </c>
      <c r="C129" s="42" t="s">
        <v>316</v>
      </c>
      <c r="D129" s="42" t="s">
        <v>170</v>
      </c>
      <c r="E129" s="42"/>
      <c r="F129" s="42"/>
      <c r="G129" s="11">
        <f>G130</f>
        <v>1145</v>
      </c>
    </row>
    <row r="130" spans="1:7" ht="63">
      <c r="A130" s="31" t="s">
        <v>324</v>
      </c>
      <c r="B130" s="42" t="s">
        <v>467</v>
      </c>
      <c r="C130" s="42" t="s">
        <v>316</v>
      </c>
      <c r="D130" s="42" t="s">
        <v>170</v>
      </c>
      <c r="E130" s="42" t="s">
        <v>325</v>
      </c>
      <c r="F130" s="42"/>
      <c r="G130" s="11">
        <f>G131</f>
        <v>1145</v>
      </c>
    </row>
    <row r="131" spans="1:8" ht="15.75">
      <c r="A131" s="31" t="s">
        <v>326</v>
      </c>
      <c r="B131" s="42" t="s">
        <v>467</v>
      </c>
      <c r="C131" s="42" t="s">
        <v>316</v>
      </c>
      <c r="D131" s="42" t="s">
        <v>170</v>
      </c>
      <c r="E131" s="42" t="s">
        <v>327</v>
      </c>
      <c r="F131" s="42"/>
      <c r="G131" s="186">
        <f>'Прил.№4 ведомств.'!G607</f>
        <v>1145</v>
      </c>
      <c r="H131" s="187" t="s">
        <v>823</v>
      </c>
    </row>
    <row r="132" spans="1:7" ht="47.25" hidden="1">
      <c r="A132" s="31" t="s">
        <v>456</v>
      </c>
      <c r="B132" s="42" t="s">
        <v>467</v>
      </c>
      <c r="C132" s="42" t="s">
        <v>316</v>
      </c>
      <c r="D132" s="42" t="s">
        <v>170</v>
      </c>
      <c r="E132" s="42"/>
      <c r="F132" s="42" t="s">
        <v>714</v>
      </c>
      <c r="G132" s="11"/>
    </row>
    <row r="133" spans="1:7" ht="63">
      <c r="A133" s="31" t="s">
        <v>468</v>
      </c>
      <c r="B133" s="42" t="s">
        <v>469</v>
      </c>
      <c r="C133" s="42" t="s">
        <v>316</v>
      </c>
      <c r="D133" s="42" t="s">
        <v>170</v>
      </c>
      <c r="E133" s="42"/>
      <c r="F133" s="42"/>
      <c r="G133" s="11">
        <f>G134</f>
        <v>6730</v>
      </c>
    </row>
    <row r="134" spans="1:7" ht="65.25" customHeight="1">
      <c r="A134" s="31" t="s">
        <v>324</v>
      </c>
      <c r="B134" s="42" t="s">
        <v>469</v>
      </c>
      <c r="C134" s="42" t="s">
        <v>316</v>
      </c>
      <c r="D134" s="42" t="s">
        <v>170</v>
      </c>
      <c r="E134" s="42" t="s">
        <v>325</v>
      </c>
      <c r="F134" s="42"/>
      <c r="G134" s="11">
        <f>G135</f>
        <v>6730</v>
      </c>
    </row>
    <row r="135" spans="1:7" ht="15.75">
      <c r="A135" s="31" t="s">
        <v>326</v>
      </c>
      <c r="B135" s="42" t="s">
        <v>469</v>
      </c>
      <c r="C135" s="42" t="s">
        <v>316</v>
      </c>
      <c r="D135" s="42" t="s">
        <v>170</v>
      </c>
      <c r="E135" s="42" t="s">
        <v>327</v>
      </c>
      <c r="F135" s="42"/>
      <c r="G135" s="7">
        <f>'Прил.№4 ведомств.'!G610</f>
        <v>6730</v>
      </c>
    </row>
    <row r="136" spans="1:7" ht="47.25">
      <c r="A136" s="31" t="s">
        <v>456</v>
      </c>
      <c r="B136" s="42" t="s">
        <v>465</v>
      </c>
      <c r="C136" s="42" t="s">
        <v>316</v>
      </c>
      <c r="D136" s="42" t="s">
        <v>170</v>
      </c>
      <c r="E136" s="42"/>
      <c r="F136" s="42" t="s">
        <v>714</v>
      </c>
      <c r="G136" s="7">
        <f>G118+G131</f>
        <v>9020</v>
      </c>
    </row>
    <row r="137" spans="1:7" ht="31.5" hidden="1">
      <c r="A137" s="31" t="s">
        <v>336</v>
      </c>
      <c r="B137" s="42" t="s">
        <v>663</v>
      </c>
      <c r="C137" s="42" t="s">
        <v>316</v>
      </c>
      <c r="D137" s="42" t="s">
        <v>170</v>
      </c>
      <c r="E137" s="42"/>
      <c r="F137" s="42"/>
      <c r="G137" s="11">
        <f>G138</f>
        <v>0</v>
      </c>
    </row>
    <row r="138" spans="1:7" ht="63" hidden="1">
      <c r="A138" s="31" t="s">
        <v>324</v>
      </c>
      <c r="B138" s="42" t="s">
        <v>663</v>
      </c>
      <c r="C138" s="42" t="s">
        <v>316</v>
      </c>
      <c r="D138" s="42" t="s">
        <v>170</v>
      </c>
      <c r="E138" s="42" t="s">
        <v>325</v>
      </c>
      <c r="F138" s="42"/>
      <c r="G138" s="11">
        <f>G139</f>
        <v>0</v>
      </c>
    </row>
    <row r="139" spans="1:7" ht="15.75" hidden="1">
      <c r="A139" s="31" t="s">
        <v>326</v>
      </c>
      <c r="B139" s="42" t="s">
        <v>663</v>
      </c>
      <c r="C139" s="42" t="s">
        <v>316</v>
      </c>
      <c r="D139" s="42" t="s">
        <v>170</v>
      </c>
      <c r="E139" s="42" t="s">
        <v>327</v>
      </c>
      <c r="F139" s="42"/>
      <c r="G139" s="11"/>
    </row>
    <row r="140" spans="1:7" ht="47.25" hidden="1">
      <c r="A140" s="31" t="s">
        <v>456</v>
      </c>
      <c r="B140" s="42" t="s">
        <v>663</v>
      </c>
      <c r="C140" s="42" t="s">
        <v>316</v>
      </c>
      <c r="D140" s="42" t="s">
        <v>170</v>
      </c>
      <c r="E140" s="42"/>
      <c r="F140" s="42" t="s">
        <v>714</v>
      </c>
      <c r="G140" s="11">
        <v>0</v>
      </c>
    </row>
    <row r="141" spans="1:7" ht="47.25">
      <c r="A141" s="43" t="s">
        <v>483</v>
      </c>
      <c r="B141" s="8" t="s">
        <v>484</v>
      </c>
      <c r="C141" s="8"/>
      <c r="D141" s="8"/>
      <c r="E141" s="8"/>
      <c r="F141" s="8"/>
      <c r="G141" s="4">
        <f>G162</f>
        <v>6675.4</v>
      </c>
    </row>
    <row r="142" spans="1:7" ht="70.5" customHeight="1" hidden="1">
      <c r="A142" s="31" t="s">
        <v>658</v>
      </c>
      <c r="B142" s="42" t="s">
        <v>664</v>
      </c>
      <c r="C142" s="42" t="s">
        <v>316</v>
      </c>
      <c r="D142" s="42" t="s">
        <v>265</v>
      </c>
      <c r="E142" s="42"/>
      <c r="F142" s="42"/>
      <c r="G142" s="11">
        <f>G143</f>
        <v>0</v>
      </c>
    </row>
    <row r="143" spans="1:7" ht="63" hidden="1">
      <c r="A143" s="31" t="s">
        <v>324</v>
      </c>
      <c r="B143" s="42" t="s">
        <v>664</v>
      </c>
      <c r="C143" s="42" t="s">
        <v>316</v>
      </c>
      <c r="D143" s="42" t="s">
        <v>265</v>
      </c>
      <c r="E143" s="42" t="s">
        <v>325</v>
      </c>
      <c r="F143" s="42"/>
      <c r="G143" s="11">
        <f>G145</f>
        <v>0</v>
      </c>
    </row>
    <row r="144" spans="1:7" ht="18.75" customHeight="1" hidden="1">
      <c r="A144" s="31" t="s">
        <v>326</v>
      </c>
      <c r="B144" s="42" t="s">
        <v>664</v>
      </c>
      <c r="C144" s="42" t="s">
        <v>316</v>
      </c>
      <c r="D144" s="42" t="s">
        <v>265</v>
      </c>
      <c r="E144" s="42" t="s">
        <v>327</v>
      </c>
      <c r="F144" s="42"/>
      <c r="G144" s="11"/>
    </row>
    <row r="145" spans="1:7" ht="47.25" hidden="1">
      <c r="A145" s="31" t="s">
        <v>456</v>
      </c>
      <c r="B145" s="42" t="s">
        <v>664</v>
      </c>
      <c r="C145" s="42" t="s">
        <v>316</v>
      </c>
      <c r="D145" s="42" t="s">
        <v>265</v>
      </c>
      <c r="E145" s="42"/>
      <c r="F145" s="42" t="s">
        <v>714</v>
      </c>
      <c r="G145" s="11"/>
    </row>
    <row r="146" spans="1:7" ht="78.75" hidden="1">
      <c r="A146" s="26" t="s">
        <v>485</v>
      </c>
      <c r="B146" s="42" t="s">
        <v>486</v>
      </c>
      <c r="C146" s="42" t="s">
        <v>316</v>
      </c>
      <c r="D146" s="42" t="s">
        <v>265</v>
      </c>
      <c r="E146" s="42"/>
      <c r="F146" s="42"/>
      <c r="G146" s="11">
        <f>G147</f>
        <v>0</v>
      </c>
    </row>
    <row r="147" spans="1:7" ht="63" hidden="1">
      <c r="A147" s="31" t="s">
        <v>324</v>
      </c>
      <c r="B147" s="42" t="s">
        <v>486</v>
      </c>
      <c r="C147" s="42" t="s">
        <v>316</v>
      </c>
      <c r="D147" s="42" t="s">
        <v>265</v>
      </c>
      <c r="E147" s="42" t="s">
        <v>325</v>
      </c>
      <c r="F147" s="42"/>
      <c r="G147" s="11">
        <f>G148</f>
        <v>0</v>
      </c>
    </row>
    <row r="148" spans="1:7" ht="15.75" hidden="1">
      <c r="A148" s="31" t="s">
        <v>326</v>
      </c>
      <c r="B148" s="42" t="s">
        <v>486</v>
      </c>
      <c r="C148" s="42" t="s">
        <v>316</v>
      </c>
      <c r="D148" s="42" t="s">
        <v>265</v>
      </c>
      <c r="E148" s="42" t="s">
        <v>327</v>
      </c>
      <c r="F148" s="42"/>
      <c r="G148" s="11"/>
    </row>
    <row r="149" spans="1:7" ht="54.75" customHeight="1" hidden="1">
      <c r="A149" s="31" t="s">
        <v>456</v>
      </c>
      <c r="B149" s="42" t="s">
        <v>486</v>
      </c>
      <c r="C149" s="42" t="s">
        <v>316</v>
      </c>
      <c r="D149" s="42" t="s">
        <v>265</v>
      </c>
      <c r="E149" s="42"/>
      <c r="F149" s="42" t="s">
        <v>714</v>
      </c>
      <c r="G149" s="11">
        <f>G146</f>
        <v>0</v>
      </c>
    </row>
    <row r="150" spans="1:7" ht="31.5" hidden="1">
      <c r="A150" s="26" t="s">
        <v>487</v>
      </c>
      <c r="B150" s="21" t="s">
        <v>488</v>
      </c>
      <c r="C150" s="42" t="s">
        <v>316</v>
      </c>
      <c r="D150" s="42" t="s">
        <v>265</v>
      </c>
      <c r="E150" s="42"/>
      <c r="F150" s="42"/>
      <c r="G150" s="11">
        <f>G151</f>
        <v>0</v>
      </c>
    </row>
    <row r="151" spans="1:7" ht="65.25" customHeight="1" hidden="1">
      <c r="A151" s="26" t="s">
        <v>324</v>
      </c>
      <c r="B151" s="21" t="s">
        <v>488</v>
      </c>
      <c r="C151" s="42" t="s">
        <v>316</v>
      </c>
      <c r="D151" s="42" t="s">
        <v>265</v>
      </c>
      <c r="E151" s="42" t="s">
        <v>325</v>
      </c>
      <c r="F151" s="42"/>
      <c r="G151" s="11">
        <f>G152</f>
        <v>0</v>
      </c>
    </row>
    <row r="152" spans="1:7" ht="15.75" hidden="1">
      <c r="A152" s="26" t="s">
        <v>326</v>
      </c>
      <c r="B152" s="21" t="s">
        <v>488</v>
      </c>
      <c r="C152" s="42" t="s">
        <v>316</v>
      </c>
      <c r="D152" s="42" t="s">
        <v>265</v>
      </c>
      <c r="E152" s="42" t="s">
        <v>327</v>
      </c>
      <c r="F152" s="42"/>
      <c r="G152" s="11"/>
    </row>
    <row r="153" spans="1:7" ht="47.25" hidden="1">
      <c r="A153" s="31" t="s">
        <v>456</v>
      </c>
      <c r="B153" s="21" t="s">
        <v>488</v>
      </c>
      <c r="C153" s="42" t="s">
        <v>316</v>
      </c>
      <c r="D153" s="42" t="s">
        <v>265</v>
      </c>
      <c r="E153" s="42"/>
      <c r="F153" s="42" t="s">
        <v>714</v>
      </c>
      <c r="G153" s="11">
        <f>G150</f>
        <v>0</v>
      </c>
    </row>
    <row r="154" spans="1:7" ht="63" hidden="1">
      <c r="A154" s="26" t="s">
        <v>491</v>
      </c>
      <c r="B154" s="21" t="s">
        <v>492</v>
      </c>
      <c r="C154" s="42" t="s">
        <v>316</v>
      </c>
      <c r="D154" s="42" t="s">
        <v>265</v>
      </c>
      <c r="E154" s="42"/>
      <c r="F154" s="42"/>
      <c r="G154" s="11">
        <f>G155</f>
        <v>0</v>
      </c>
    </row>
    <row r="155" spans="1:7" ht="63" hidden="1">
      <c r="A155" s="31" t="s">
        <v>324</v>
      </c>
      <c r="B155" s="21" t="s">
        <v>492</v>
      </c>
      <c r="C155" s="42" t="s">
        <v>316</v>
      </c>
      <c r="D155" s="42" t="s">
        <v>265</v>
      </c>
      <c r="E155" s="42" t="s">
        <v>325</v>
      </c>
      <c r="F155" s="42"/>
      <c r="G155" s="11">
        <f>G156</f>
        <v>0</v>
      </c>
    </row>
    <row r="156" spans="1:7" ht="15.75" hidden="1">
      <c r="A156" s="31" t="s">
        <v>326</v>
      </c>
      <c r="B156" s="21" t="s">
        <v>492</v>
      </c>
      <c r="C156" s="42" t="s">
        <v>316</v>
      </c>
      <c r="D156" s="42" t="s">
        <v>265</v>
      </c>
      <c r="E156" s="42" t="s">
        <v>327</v>
      </c>
      <c r="F156" s="42"/>
      <c r="G156" s="11"/>
    </row>
    <row r="157" spans="1:7" ht="47.25" hidden="1">
      <c r="A157" s="31" t="s">
        <v>456</v>
      </c>
      <c r="B157" s="21" t="s">
        <v>492</v>
      </c>
      <c r="C157" s="42" t="s">
        <v>316</v>
      </c>
      <c r="D157" s="42" t="s">
        <v>265</v>
      </c>
      <c r="E157" s="42"/>
      <c r="F157" s="42" t="s">
        <v>714</v>
      </c>
      <c r="G157" s="11">
        <f>G156</f>
        <v>0</v>
      </c>
    </row>
    <row r="158" spans="1:7" ht="47.25" hidden="1">
      <c r="A158" s="26" t="s">
        <v>667</v>
      </c>
      <c r="B158" s="21" t="s">
        <v>495</v>
      </c>
      <c r="C158" s="42" t="s">
        <v>316</v>
      </c>
      <c r="D158" s="42" t="s">
        <v>265</v>
      </c>
      <c r="E158" s="42"/>
      <c r="F158" s="42"/>
      <c r="G158" s="11">
        <f>G159</f>
        <v>0</v>
      </c>
    </row>
    <row r="159" spans="1:7" ht="63" hidden="1">
      <c r="A159" s="26" t="s">
        <v>324</v>
      </c>
      <c r="B159" s="21" t="s">
        <v>495</v>
      </c>
      <c r="C159" s="42" t="s">
        <v>316</v>
      </c>
      <c r="D159" s="42" t="s">
        <v>265</v>
      </c>
      <c r="E159" s="42" t="s">
        <v>325</v>
      </c>
      <c r="F159" s="42"/>
      <c r="G159" s="11">
        <f>G160</f>
        <v>0</v>
      </c>
    </row>
    <row r="160" spans="1:7" ht="15.75" hidden="1">
      <c r="A160" s="26" t="s">
        <v>326</v>
      </c>
      <c r="B160" s="21" t="s">
        <v>495</v>
      </c>
      <c r="C160" s="42" t="s">
        <v>316</v>
      </c>
      <c r="D160" s="42" t="s">
        <v>265</v>
      </c>
      <c r="E160" s="42" t="s">
        <v>327</v>
      </c>
      <c r="F160" s="42"/>
      <c r="G160" s="11"/>
    </row>
    <row r="161" spans="1:7" ht="47.25" hidden="1">
      <c r="A161" s="31" t="s">
        <v>456</v>
      </c>
      <c r="B161" s="21" t="s">
        <v>495</v>
      </c>
      <c r="C161" s="42" t="s">
        <v>316</v>
      </c>
      <c r="D161" s="42" t="s">
        <v>265</v>
      </c>
      <c r="E161" s="42"/>
      <c r="F161" s="42" t="s">
        <v>714</v>
      </c>
      <c r="G161" s="11">
        <f>G159</f>
        <v>0</v>
      </c>
    </row>
    <row r="162" spans="1:7" ht="15.75">
      <c r="A162" s="31" t="s">
        <v>315</v>
      </c>
      <c r="B162" s="42" t="s">
        <v>484</v>
      </c>
      <c r="C162" s="42" t="s">
        <v>316</v>
      </c>
      <c r="D162" s="42"/>
      <c r="E162" s="42"/>
      <c r="F162" s="42"/>
      <c r="G162" s="11">
        <f>G163</f>
        <v>6675.4</v>
      </c>
    </row>
    <row r="163" spans="1:7" ht="15.75">
      <c r="A163" s="31" t="s">
        <v>478</v>
      </c>
      <c r="B163" s="42" t="s">
        <v>484</v>
      </c>
      <c r="C163" s="42" t="s">
        <v>316</v>
      </c>
      <c r="D163" s="42" t="s">
        <v>265</v>
      </c>
      <c r="E163" s="42"/>
      <c r="F163" s="42"/>
      <c r="G163" s="11">
        <f>G164+G167+G173+G170+G176</f>
        <v>6675.4</v>
      </c>
    </row>
    <row r="164" spans="1:7" ht="78.75">
      <c r="A164" s="31" t="s">
        <v>666</v>
      </c>
      <c r="B164" s="21" t="s">
        <v>490</v>
      </c>
      <c r="C164" s="42" t="s">
        <v>316</v>
      </c>
      <c r="D164" s="42" t="s">
        <v>265</v>
      </c>
      <c r="E164" s="42"/>
      <c r="F164" s="42"/>
      <c r="G164" s="11">
        <f>G165</f>
        <v>2690</v>
      </c>
    </row>
    <row r="165" spans="1:7" ht="63">
      <c r="A165" s="31" t="s">
        <v>324</v>
      </c>
      <c r="B165" s="21" t="s">
        <v>490</v>
      </c>
      <c r="C165" s="42" t="s">
        <v>316</v>
      </c>
      <c r="D165" s="42" t="s">
        <v>265</v>
      </c>
      <c r="E165" s="42" t="s">
        <v>325</v>
      </c>
      <c r="F165" s="42"/>
      <c r="G165" s="11">
        <f>G166</f>
        <v>2690</v>
      </c>
    </row>
    <row r="166" spans="1:7" ht="24" customHeight="1">
      <c r="A166" s="31" t="s">
        <v>326</v>
      </c>
      <c r="B166" s="21" t="s">
        <v>490</v>
      </c>
      <c r="C166" s="42" t="s">
        <v>316</v>
      </c>
      <c r="D166" s="42" t="s">
        <v>265</v>
      </c>
      <c r="E166" s="42" t="s">
        <v>327</v>
      </c>
      <c r="F166" s="42"/>
      <c r="G166" s="7">
        <f>'Прил.№4 ведомств.'!G655</f>
        <v>2690</v>
      </c>
    </row>
    <row r="167" spans="1:7" ht="63">
      <c r="A167" s="26" t="s">
        <v>491</v>
      </c>
      <c r="B167" s="21" t="s">
        <v>492</v>
      </c>
      <c r="C167" s="42" t="s">
        <v>316</v>
      </c>
      <c r="D167" s="42" t="s">
        <v>265</v>
      </c>
      <c r="E167" s="42"/>
      <c r="F167" s="42"/>
      <c r="G167" s="7">
        <f>G168</f>
        <v>320</v>
      </c>
    </row>
    <row r="168" spans="1:7" ht="63">
      <c r="A168" s="26" t="s">
        <v>324</v>
      </c>
      <c r="B168" s="21" t="s">
        <v>492</v>
      </c>
      <c r="C168" s="42" t="s">
        <v>316</v>
      </c>
      <c r="D168" s="42" t="s">
        <v>265</v>
      </c>
      <c r="E168" s="42" t="s">
        <v>325</v>
      </c>
      <c r="F168" s="42"/>
      <c r="G168" s="7">
        <f>G169</f>
        <v>320</v>
      </c>
    </row>
    <row r="169" spans="1:7" ht="15.75">
      <c r="A169" s="26" t="s">
        <v>326</v>
      </c>
      <c r="B169" s="21" t="s">
        <v>492</v>
      </c>
      <c r="C169" s="42" t="s">
        <v>316</v>
      </c>
      <c r="D169" s="42" t="s">
        <v>265</v>
      </c>
      <c r="E169" s="42" t="s">
        <v>327</v>
      </c>
      <c r="F169" s="42"/>
      <c r="G169" s="7">
        <f>'Прил.№4 ведомств.'!G658</f>
        <v>320</v>
      </c>
    </row>
    <row r="170" spans="1:7" ht="47.25">
      <c r="A170" s="26" t="s">
        <v>330</v>
      </c>
      <c r="B170" s="42" t="s">
        <v>495</v>
      </c>
      <c r="C170" s="42" t="s">
        <v>316</v>
      </c>
      <c r="D170" s="42" t="s">
        <v>265</v>
      </c>
      <c r="E170" s="42"/>
      <c r="F170" s="42"/>
      <c r="G170" s="7">
        <f>G171</f>
        <v>3309</v>
      </c>
    </row>
    <row r="171" spans="1:7" ht="63">
      <c r="A171" s="26" t="s">
        <v>324</v>
      </c>
      <c r="B171" s="42" t="s">
        <v>495</v>
      </c>
      <c r="C171" s="42" t="s">
        <v>316</v>
      </c>
      <c r="D171" s="42" t="s">
        <v>265</v>
      </c>
      <c r="E171" s="42" t="s">
        <v>325</v>
      </c>
      <c r="F171" s="42"/>
      <c r="G171" s="7">
        <f>G172</f>
        <v>3309</v>
      </c>
    </row>
    <row r="172" spans="1:8" ht="15.75">
      <c r="A172" s="26" t="s">
        <v>326</v>
      </c>
      <c r="B172" s="42" t="s">
        <v>495</v>
      </c>
      <c r="C172" s="42" t="s">
        <v>316</v>
      </c>
      <c r="D172" s="42" t="s">
        <v>265</v>
      </c>
      <c r="E172" s="42" t="s">
        <v>327</v>
      </c>
      <c r="F172" s="42"/>
      <c r="G172" s="7">
        <f>'Прил.№4 ведомств.'!G664</f>
        <v>3309</v>
      </c>
      <c r="H172" s="136"/>
    </row>
    <row r="173" spans="1:7" ht="47.25">
      <c r="A173" s="31" t="s">
        <v>334</v>
      </c>
      <c r="B173" s="42" t="s">
        <v>497</v>
      </c>
      <c r="C173" s="42" t="s">
        <v>316</v>
      </c>
      <c r="D173" s="42" t="s">
        <v>265</v>
      </c>
      <c r="E173" s="42"/>
      <c r="F173" s="42"/>
      <c r="G173" s="11">
        <f>G174</f>
        <v>127</v>
      </c>
    </row>
    <row r="174" spans="1:7" ht="63">
      <c r="A174" s="31" t="s">
        <v>324</v>
      </c>
      <c r="B174" s="42" t="s">
        <v>497</v>
      </c>
      <c r="C174" s="42" t="s">
        <v>316</v>
      </c>
      <c r="D174" s="42" t="s">
        <v>265</v>
      </c>
      <c r="E174" s="42" t="s">
        <v>325</v>
      </c>
      <c r="F174" s="42"/>
      <c r="G174" s="11">
        <f>G175</f>
        <v>127</v>
      </c>
    </row>
    <row r="175" spans="1:7" ht="26.25" customHeight="1">
      <c r="A175" s="31" t="s">
        <v>326</v>
      </c>
      <c r="B175" s="42" t="s">
        <v>497</v>
      </c>
      <c r="C175" s="42" t="s">
        <v>316</v>
      </c>
      <c r="D175" s="42" t="s">
        <v>265</v>
      </c>
      <c r="E175" s="42" t="s">
        <v>327</v>
      </c>
      <c r="F175" s="42"/>
      <c r="G175" s="11">
        <f>'Прил.№4 ведомств.'!G670</f>
        <v>127</v>
      </c>
    </row>
    <row r="176" spans="1:7" ht="31.5">
      <c r="A176" s="31" t="s">
        <v>336</v>
      </c>
      <c r="B176" s="42" t="s">
        <v>498</v>
      </c>
      <c r="C176" s="42" t="s">
        <v>316</v>
      </c>
      <c r="D176" s="42" t="s">
        <v>265</v>
      </c>
      <c r="E176" s="42"/>
      <c r="F176" s="42"/>
      <c r="G176" s="11">
        <f>G177</f>
        <v>229.4</v>
      </c>
    </row>
    <row r="177" spans="1:7" ht="63">
      <c r="A177" s="31" t="s">
        <v>324</v>
      </c>
      <c r="B177" s="42" t="s">
        <v>498</v>
      </c>
      <c r="C177" s="42" t="s">
        <v>316</v>
      </c>
      <c r="D177" s="42" t="s">
        <v>265</v>
      </c>
      <c r="E177" s="42" t="s">
        <v>325</v>
      </c>
      <c r="F177" s="42"/>
      <c r="G177" s="11">
        <f>G178</f>
        <v>229.4</v>
      </c>
    </row>
    <row r="178" spans="1:7" ht="26.25" customHeight="1">
      <c r="A178" s="31" t="s">
        <v>326</v>
      </c>
      <c r="B178" s="42" t="s">
        <v>498</v>
      </c>
      <c r="C178" s="42" t="s">
        <v>316</v>
      </c>
      <c r="D178" s="42" t="s">
        <v>265</v>
      </c>
      <c r="E178" s="42" t="s">
        <v>327</v>
      </c>
      <c r="F178" s="42"/>
      <c r="G178" s="11">
        <f>'Прил.№4 ведомств.'!G673</f>
        <v>229.4</v>
      </c>
    </row>
    <row r="179" spans="1:7" ht="47.25">
      <c r="A179" s="31" t="s">
        <v>456</v>
      </c>
      <c r="B179" s="42" t="s">
        <v>484</v>
      </c>
      <c r="C179" s="42" t="s">
        <v>316</v>
      </c>
      <c r="D179" s="42" t="s">
        <v>265</v>
      </c>
      <c r="E179" s="42"/>
      <c r="F179" s="42" t="s">
        <v>714</v>
      </c>
      <c r="G179" s="11">
        <f>G141</f>
        <v>6675.4</v>
      </c>
    </row>
    <row r="180" spans="1:7" ht="31.5" hidden="1">
      <c r="A180" s="31" t="s">
        <v>336</v>
      </c>
      <c r="B180" s="42" t="s">
        <v>668</v>
      </c>
      <c r="C180" s="42" t="s">
        <v>316</v>
      </c>
      <c r="D180" s="42" t="s">
        <v>265</v>
      </c>
      <c r="E180" s="42"/>
      <c r="F180" s="42"/>
      <c r="G180" s="11">
        <f>G181</f>
        <v>0</v>
      </c>
    </row>
    <row r="181" spans="1:7" ht="63" hidden="1">
      <c r="A181" s="31" t="s">
        <v>324</v>
      </c>
      <c r="B181" s="42" t="s">
        <v>668</v>
      </c>
      <c r="C181" s="42" t="s">
        <v>316</v>
      </c>
      <c r="D181" s="42" t="s">
        <v>265</v>
      </c>
      <c r="E181" s="42" t="s">
        <v>325</v>
      </c>
      <c r="F181" s="42"/>
      <c r="G181" s="11">
        <f>G182</f>
        <v>0</v>
      </c>
    </row>
    <row r="182" spans="1:7" ht="15.75" hidden="1">
      <c r="A182" s="31" t="s">
        <v>326</v>
      </c>
      <c r="B182" s="42" t="s">
        <v>668</v>
      </c>
      <c r="C182" s="42" t="s">
        <v>316</v>
      </c>
      <c r="D182" s="42" t="s">
        <v>265</v>
      </c>
      <c r="E182" s="42" t="s">
        <v>327</v>
      </c>
      <c r="F182" s="42"/>
      <c r="G182" s="11"/>
    </row>
    <row r="183" spans="1:7" ht="47.25" hidden="1">
      <c r="A183" s="31" t="s">
        <v>456</v>
      </c>
      <c r="B183" s="42" t="s">
        <v>668</v>
      </c>
      <c r="C183" s="42" t="s">
        <v>316</v>
      </c>
      <c r="D183" s="42" t="s">
        <v>265</v>
      </c>
      <c r="E183" s="42"/>
      <c r="F183" s="42" t="s">
        <v>714</v>
      </c>
      <c r="G183" s="11">
        <v>0</v>
      </c>
    </row>
    <row r="184" spans="1:7" ht="47.25" hidden="1">
      <c r="A184" s="31" t="s">
        <v>715</v>
      </c>
      <c r="B184" s="42" t="s">
        <v>669</v>
      </c>
      <c r="C184" s="42" t="s">
        <v>316</v>
      </c>
      <c r="D184" s="42" t="s">
        <v>265</v>
      </c>
      <c r="E184" s="42"/>
      <c r="F184" s="42"/>
      <c r="G184" s="11">
        <f>G185</f>
        <v>0</v>
      </c>
    </row>
    <row r="185" spans="1:7" ht="63" hidden="1">
      <c r="A185" s="31" t="s">
        <v>324</v>
      </c>
      <c r="B185" s="42" t="s">
        <v>669</v>
      </c>
      <c r="C185" s="42" t="s">
        <v>316</v>
      </c>
      <c r="D185" s="42" t="s">
        <v>265</v>
      </c>
      <c r="E185" s="42" t="s">
        <v>325</v>
      </c>
      <c r="F185" s="42"/>
      <c r="G185" s="11">
        <f>G186</f>
        <v>0</v>
      </c>
    </row>
    <row r="186" spans="1:7" ht="15.75" hidden="1">
      <c r="A186" s="31" t="s">
        <v>326</v>
      </c>
      <c r="B186" s="42" t="s">
        <v>669</v>
      </c>
      <c r="C186" s="42" t="s">
        <v>316</v>
      </c>
      <c r="D186" s="42" t="s">
        <v>265</v>
      </c>
      <c r="E186" s="42" t="s">
        <v>327</v>
      </c>
      <c r="F186" s="42"/>
      <c r="G186" s="11"/>
    </row>
    <row r="187" spans="1:7" ht="47.25" hidden="1">
      <c r="A187" s="31" t="s">
        <v>456</v>
      </c>
      <c r="B187" s="42" t="s">
        <v>669</v>
      </c>
      <c r="C187" s="42" t="s">
        <v>316</v>
      </c>
      <c r="D187" s="42" t="s">
        <v>265</v>
      </c>
      <c r="E187" s="42"/>
      <c r="F187" s="42" t="s">
        <v>714</v>
      </c>
      <c r="G187" s="11">
        <v>0</v>
      </c>
    </row>
    <row r="188" spans="1:7" ht="45.75" customHeight="1">
      <c r="A188" s="43" t="s">
        <v>499</v>
      </c>
      <c r="B188" s="8" t="s">
        <v>500</v>
      </c>
      <c r="C188" s="8"/>
      <c r="D188" s="8"/>
      <c r="E188" s="8"/>
      <c r="F188" s="8"/>
      <c r="G188" s="68">
        <f>G189</f>
        <v>355.9</v>
      </c>
    </row>
    <row r="189" spans="1:7" ht="21" customHeight="1">
      <c r="A189" s="31" t="s">
        <v>315</v>
      </c>
      <c r="B189" s="42" t="s">
        <v>500</v>
      </c>
      <c r="C189" s="42" t="s">
        <v>316</v>
      </c>
      <c r="D189" s="42"/>
      <c r="E189" s="42"/>
      <c r="F189" s="42"/>
      <c r="G189" s="11">
        <f>G190</f>
        <v>355.9</v>
      </c>
    </row>
    <row r="190" spans="1:7" ht="22.5" customHeight="1">
      <c r="A190" s="31" t="s">
        <v>317</v>
      </c>
      <c r="B190" s="42" t="s">
        <v>500</v>
      </c>
      <c r="C190" s="42" t="s">
        <v>316</v>
      </c>
      <c r="D190" s="42" t="s">
        <v>267</v>
      </c>
      <c r="E190" s="42"/>
      <c r="F190" s="42"/>
      <c r="G190" s="11">
        <f>G191</f>
        <v>355.9</v>
      </c>
    </row>
    <row r="191" spans="1:7" ht="31.5">
      <c r="A191" s="47" t="s">
        <v>795</v>
      </c>
      <c r="B191" s="21" t="s">
        <v>796</v>
      </c>
      <c r="C191" s="42" t="s">
        <v>316</v>
      </c>
      <c r="D191" s="42" t="s">
        <v>267</v>
      </c>
      <c r="E191" s="42"/>
      <c r="F191" s="42"/>
      <c r="G191" s="11">
        <f>G192</f>
        <v>355.9</v>
      </c>
    </row>
    <row r="192" spans="1:7" ht="63">
      <c r="A192" s="31" t="s">
        <v>324</v>
      </c>
      <c r="B192" s="21" t="s">
        <v>796</v>
      </c>
      <c r="C192" s="42" t="s">
        <v>316</v>
      </c>
      <c r="D192" s="42" t="s">
        <v>267</v>
      </c>
      <c r="E192" s="42" t="s">
        <v>325</v>
      </c>
      <c r="F192" s="42"/>
      <c r="G192" s="11">
        <f>G193</f>
        <v>355.9</v>
      </c>
    </row>
    <row r="193" spans="1:8" ht="15.75">
      <c r="A193" s="31" t="s">
        <v>326</v>
      </c>
      <c r="B193" s="21" t="s">
        <v>796</v>
      </c>
      <c r="C193" s="42" t="s">
        <v>316</v>
      </c>
      <c r="D193" s="42" t="s">
        <v>267</v>
      </c>
      <c r="E193" s="42" t="s">
        <v>327</v>
      </c>
      <c r="F193" s="42"/>
      <c r="G193" s="11">
        <f>'Прил.№4 ведомств.'!G718</f>
        <v>355.9</v>
      </c>
      <c r="H193" s="136"/>
    </row>
    <row r="194" spans="1:7" ht="47.25">
      <c r="A194" s="31" t="s">
        <v>456</v>
      </c>
      <c r="B194" s="21" t="s">
        <v>796</v>
      </c>
      <c r="C194" s="42" t="s">
        <v>316</v>
      </c>
      <c r="D194" s="42" t="s">
        <v>267</v>
      </c>
      <c r="E194" s="42"/>
      <c r="F194" s="42" t="s">
        <v>714</v>
      </c>
      <c r="G194" s="11">
        <f>G189</f>
        <v>355.9</v>
      </c>
    </row>
    <row r="195" spans="1:7" ht="47.25" hidden="1">
      <c r="A195" s="31" t="s">
        <v>716</v>
      </c>
      <c r="B195" s="42" t="s">
        <v>670</v>
      </c>
      <c r="C195" s="42" t="s">
        <v>316</v>
      </c>
      <c r="D195" s="42" t="s">
        <v>265</v>
      </c>
      <c r="E195" s="42"/>
      <c r="F195" s="42"/>
      <c r="G195" s="11">
        <f>G199</f>
        <v>0</v>
      </c>
    </row>
    <row r="196" spans="1:7" ht="63" hidden="1">
      <c r="A196" s="31" t="s">
        <v>324</v>
      </c>
      <c r="B196" s="42" t="s">
        <v>670</v>
      </c>
      <c r="C196" s="42" t="s">
        <v>521</v>
      </c>
      <c r="D196" s="42" t="s">
        <v>717</v>
      </c>
      <c r="E196" s="42" t="s">
        <v>325</v>
      </c>
      <c r="F196" s="42"/>
      <c r="G196" s="11">
        <f>G197</f>
        <v>0</v>
      </c>
    </row>
    <row r="197" spans="1:7" ht="15.75" hidden="1">
      <c r="A197" s="31" t="s">
        <v>326</v>
      </c>
      <c r="B197" s="42" t="s">
        <v>670</v>
      </c>
      <c r="C197" s="42" t="s">
        <v>521</v>
      </c>
      <c r="D197" s="42" t="s">
        <v>717</v>
      </c>
      <c r="E197" s="42" t="s">
        <v>327</v>
      </c>
      <c r="F197" s="42"/>
      <c r="G197" s="11">
        <f>G198</f>
        <v>0</v>
      </c>
    </row>
    <row r="198" spans="1:7" ht="31.5" hidden="1">
      <c r="A198" s="31" t="s">
        <v>661</v>
      </c>
      <c r="B198" s="42" t="s">
        <v>670</v>
      </c>
      <c r="C198" s="42" t="s">
        <v>521</v>
      </c>
      <c r="D198" s="42" t="s">
        <v>717</v>
      </c>
      <c r="E198" s="42" t="s">
        <v>662</v>
      </c>
      <c r="F198" s="42"/>
      <c r="G198" s="11">
        <f>G199</f>
        <v>0</v>
      </c>
    </row>
    <row r="199" spans="1:7" ht="47.25" hidden="1">
      <c r="A199" s="31" t="s">
        <v>456</v>
      </c>
      <c r="B199" s="42" t="s">
        <v>670</v>
      </c>
      <c r="C199" s="42" t="s">
        <v>316</v>
      </c>
      <c r="D199" s="42" t="s">
        <v>265</v>
      </c>
      <c r="E199" s="42"/>
      <c r="F199" s="42" t="s">
        <v>714</v>
      </c>
      <c r="G199" s="11"/>
    </row>
    <row r="200" spans="1:7" ht="47.25" hidden="1">
      <c r="A200" s="31" t="s">
        <v>718</v>
      </c>
      <c r="B200" s="21" t="s">
        <v>501</v>
      </c>
      <c r="C200" s="42" t="s">
        <v>316</v>
      </c>
      <c r="D200" s="42" t="s">
        <v>265</v>
      </c>
      <c r="E200" s="42"/>
      <c r="F200" s="42"/>
      <c r="G200" s="11">
        <f>G201</f>
        <v>0</v>
      </c>
    </row>
    <row r="201" spans="1:7" ht="31.5" hidden="1">
      <c r="A201" s="31" t="s">
        <v>332</v>
      </c>
      <c r="B201" s="21" t="s">
        <v>501</v>
      </c>
      <c r="C201" s="42" t="s">
        <v>316</v>
      </c>
      <c r="D201" s="42" t="s">
        <v>265</v>
      </c>
      <c r="E201" s="42" t="s">
        <v>325</v>
      </c>
      <c r="F201" s="42"/>
      <c r="G201" s="11">
        <f>G202</f>
        <v>0</v>
      </c>
    </row>
    <row r="202" spans="1:7" ht="15.75" hidden="1">
      <c r="A202" s="31" t="s">
        <v>326</v>
      </c>
      <c r="B202" s="21" t="s">
        <v>501</v>
      </c>
      <c r="C202" s="42" t="s">
        <v>316</v>
      </c>
      <c r="D202" s="42" t="s">
        <v>265</v>
      </c>
      <c r="E202" s="42" t="s">
        <v>327</v>
      </c>
      <c r="F202" s="42"/>
      <c r="G202" s="11"/>
    </row>
    <row r="203" spans="1:7" ht="31.5" hidden="1">
      <c r="A203" s="31" t="s">
        <v>661</v>
      </c>
      <c r="B203" s="21" t="s">
        <v>501</v>
      </c>
      <c r="C203" s="42" t="s">
        <v>316</v>
      </c>
      <c r="D203" s="42" t="s">
        <v>265</v>
      </c>
      <c r="E203" s="42" t="s">
        <v>662</v>
      </c>
      <c r="F203" s="42"/>
      <c r="G203" s="11"/>
    </row>
    <row r="204" spans="1:7" ht="47.25" hidden="1">
      <c r="A204" s="31" t="s">
        <v>456</v>
      </c>
      <c r="B204" s="21" t="s">
        <v>501</v>
      </c>
      <c r="C204" s="42" t="s">
        <v>316</v>
      </c>
      <c r="D204" s="42" t="s">
        <v>265</v>
      </c>
      <c r="E204" s="42"/>
      <c r="F204" s="42" t="s">
        <v>714</v>
      </c>
      <c r="G204" s="7">
        <f>G200</f>
        <v>0</v>
      </c>
    </row>
    <row r="205" spans="1:7" ht="47.25" hidden="1">
      <c r="A205" s="31" t="s">
        <v>667</v>
      </c>
      <c r="B205" s="42" t="s">
        <v>502</v>
      </c>
      <c r="C205" s="42" t="s">
        <v>316</v>
      </c>
      <c r="D205" s="42" t="s">
        <v>265</v>
      </c>
      <c r="E205" s="42"/>
      <c r="F205" s="42"/>
      <c r="G205" s="11">
        <f>G206</f>
        <v>0</v>
      </c>
    </row>
    <row r="206" spans="1:7" ht="63" hidden="1">
      <c r="A206" s="31" t="s">
        <v>324</v>
      </c>
      <c r="B206" s="42" t="s">
        <v>502</v>
      </c>
      <c r="C206" s="42" t="s">
        <v>316</v>
      </c>
      <c r="D206" s="42" t="s">
        <v>265</v>
      </c>
      <c r="E206" s="42" t="s">
        <v>325</v>
      </c>
      <c r="F206" s="42"/>
      <c r="G206" s="11">
        <f>G207</f>
        <v>0</v>
      </c>
    </row>
    <row r="207" spans="1:7" ht="15.75" hidden="1">
      <c r="A207" s="31" t="s">
        <v>326</v>
      </c>
      <c r="B207" s="42" t="s">
        <v>502</v>
      </c>
      <c r="C207" s="42" t="s">
        <v>316</v>
      </c>
      <c r="D207" s="42" t="s">
        <v>265</v>
      </c>
      <c r="E207" s="42" t="s">
        <v>327</v>
      </c>
      <c r="F207" s="42" t="s">
        <v>714</v>
      </c>
      <c r="G207" s="11"/>
    </row>
    <row r="208" spans="1:7" ht="15.75" hidden="1">
      <c r="A208" s="31"/>
      <c r="B208" s="42"/>
      <c r="C208" s="42"/>
      <c r="D208" s="42"/>
      <c r="E208" s="42"/>
      <c r="F208" s="42"/>
      <c r="G208" s="11"/>
    </row>
    <row r="209" spans="1:7" ht="15.75" hidden="1">
      <c r="A209" s="31"/>
      <c r="B209" s="42"/>
      <c r="C209" s="42"/>
      <c r="D209" s="42"/>
      <c r="E209" s="42"/>
      <c r="F209" s="42"/>
      <c r="G209" s="11"/>
    </row>
    <row r="210" spans="1:7" ht="47.25">
      <c r="A210" s="43" t="s">
        <v>520</v>
      </c>
      <c r="B210" s="8" t="s">
        <v>522</v>
      </c>
      <c r="C210" s="8"/>
      <c r="D210" s="8"/>
      <c r="E210" s="8"/>
      <c r="F210" s="8"/>
      <c r="G210" s="68">
        <f>G211</f>
        <v>3484.8</v>
      </c>
    </row>
    <row r="211" spans="1:7" ht="15.75">
      <c r="A211" s="31" t="s">
        <v>315</v>
      </c>
      <c r="B211" s="42" t="s">
        <v>522</v>
      </c>
      <c r="C211" s="42" t="s">
        <v>316</v>
      </c>
      <c r="D211" s="42"/>
      <c r="E211" s="42"/>
      <c r="F211" s="42"/>
      <c r="G211" s="11">
        <f>G212</f>
        <v>3484.8</v>
      </c>
    </row>
    <row r="212" spans="1:7" ht="31.5">
      <c r="A212" s="31" t="s">
        <v>519</v>
      </c>
      <c r="B212" s="42" t="s">
        <v>522</v>
      </c>
      <c r="C212" s="42" t="s">
        <v>316</v>
      </c>
      <c r="D212" s="42" t="s">
        <v>316</v>
      </c>
      <c r="E212" s="42"/>
      <c r="F212" s="42"/>
      <c r="G212" s="11">
        <f>G213</f>
        <v>3484.8</v>
      </c>
    </row>
    <row r="213" spans="1:7" ht="47.25">
      <c r="A213" s="26" t="s">
        <v>674</v>
      </c>
      <c r="B213" s="21" t="s">
        <v>524</v>
      </c>
      <c r="C213" s="42" t="s">
        <v>316</v>
      </c>
      <c r="D213" s="42" t="s">
        <v>316</v>
      </c>
      <c r="E213" s="42"/>
      <c r="F213" s="42"/>
      <c r="G213" s="11">
        <f>G214</f>
        <v>3484.8</v>
      </c>
    </row>
    <row r="214" spans="1:7" ht="63">
      <c r="A214" s="31" t="s">
        <v>324</v>
      </c>
      <c r="B214" s="21" t="s">
        <v>524</v>
      </c>
      <c r="C214" s="42" t="s">
        <v>316</v>
      </c>
      <c r="D214" s="42" t="s">
        <v>316</v>
      </c>
      <c r="E214" s="42" t="s">
        <v>325</v>
      </c>
      <c r="F214" s="42"/>
      <c r="G214" s="11">
        <f>G215</f>
        <v>3484.8</v>
      </c>
    </row>
    <row r="215" spans="1:7" ht="15.75">
      <c r="A215" s="31" t="s">
        <v>326</v>
      </c>
      <c r="B215" s="21" t="s">
        <v>524</v>
      </c>
      <c r="C215" s="42" t="s">
        <v>316</v>
      </c>
      <c r="D215" s="42" t="s">
        <v>316</v>
      </c>
      <c r="E215" s="42" t="s">
        <v>327</v>
      </c>
      <c r="F215" s="42"/>
      <c r="G215" s="11">
        <f>'Прил.№4 ведомств.'!G738</f>
        <v>3484.8</v>
      </c>
    </row>
    <row r="216" spans="1:7" ht="47.25">
      <c r="A216" s="31" t="s">
        <v>456</v>
      </c>
      <c r="B216" s="21" t="s">
        <v>522</v>
      </c>
      <c r="C216" s="42" t="s">
        <v>316</v>
      </c>
      <c r="D216" s="42" t="s">
        <v>316</v>
      </c>
      <c r="E216" s="42"/>
      <c r="F216" s="42" t="s">
        <v>714</v>
      </c>
      <c r="G216" s="11">
        <f>G210</f>
        <v>3484.8</v>
      </c>
    </row>
    <row r="217" spans="1:7" ht="78.75">
      <c r="A217" s="64" t="s">
        <v>207</v>
      </c>
      <c r="B217" s="203" t="s">
        <v>208</v>
      </c>
      <c r="C217" s="8"/>
      <c r="D217" s="203"/>
      <c r="E217" s="203"/>
      <c r="F217" s="203"/>
      <c r="G217" s="68">
        <f>G220</f>
        <v>250</v>
      </c>
    </row>
    <row r="218" spans="1:7" ht="15.75">
      <c r="A218" s="47" t="s">
        <v>169</v>
      </c>
      <c r="B218" s="6" t="s">
        <v>208</v>
      </c>
      <c r="C218" s="42" t="s">
        <v>170</v>
      </c>
      <c r="D218" s="6"/>
      <c r="E218" s="6"/>
      <c r="F218" s="6"/>
      <c r="G218" s="11">
        <f>G219</f>
        <v>250</v>
      </c>
    </row>
    <row r="219" spans="1:7" ht="31.5">
      <c r="A219" s="78" t="s">
        <v>191</v>
      </c>
      <c r="B219" s="77" t="s">
        <v>208</v>
      </c>
      <c r="C219" s="42" t="s">
        <v>170</v>
      </c>
      <c r="D219" s="77">
        <v>13</v>
      </c>
      <c r="E219" s="77"/>
      <c r="F219" s="77"/>
      <c r="G219" s="11">
        <f>G220</f>
        <v>250</v>
      </c>
    </row>
    <row r="220" spans="1:7" ht="47.25">
      <c r="A220" s="31" t="s">
        <v>209</v>
      </c>
      <c r="B220" s="77" t="s">
        <v>210</v>
      </c>
      <c r="C220" s="42" t="s">
        <v>170</v>
      </c>
      <c r="D220" s="42" t="s">
        <v>192</v>
      </c>
      <c r="E220" s="42"/>
      <c r="F220" s="42"/>
      <c r="G220" s="11">
        <f>G221</f>
        <v>250</v>
      </c>
    </row>
    <row r="221" spans="1:7" ht="47.25">
      <c r="A221" s="31" t="s">
        <v>183</v>
      </c>
      <c r="B221" s="77" t="s">
        <v>210</v>
      </c>
      <c r="C221" s="42" t="s">
        <v>170</v>
      </c>
      <c r="D221" s="42" t="s">
        <v>192</v>
      </c>
      <c r="E221" s="42" t="s">
        <v>197</v>
      </c>
      <c r="F221" s="42"/>
      <c r="G221" s="11">
        <f>G222</f>
        <v>250</v>
      </c>
    </row>
    <row r="222" spans="1:7" ht="78.75">
      <c r="A222" s="31" t="s">
        <v>236</v>
      </c>
      <c r="B222" s="77" t="s">
        <v>210</v>
      </c>
      <c r="C222" s="42" t="s">
        <v>170</v>
      </c>
      <c r="D222" s="42" t="s">
        <v>192</v>
      </c>
      <c r="E222" s="42" t="s">
        <v>212</v>
      </c>
      <c r="F222" s="42"/>
      <c r="G222" s="11">
        <f>'Прил.№4 ведомств.'!G67</f>
        <v>250</v>
      </c>
    </row>
    <row r="223" spans="1:7" ht="31.5">
      <c r="A223" s="31" t="s">
        <v>200</v>
      </c>
      <c r="B223" s="77" t="s">
        <v>208</v>
      </c>
      <c r="C223" s="42" t="s">
        <v>170</v>
      </c>
      <c r="D223" s="42" t="s">
        <v>192</v>
      </c>
      <c r="E223" s="42"/>
      <c r="F223" s="42" t="s">
        <v>719</v>
      </c>
      <c r="G223" s="11">
        <f>G217</f>
        <v>250</v>
      </c>
    </row>
    <row r="224" spans="1:7" ht="73.5" customHeight="1">
      <c r="A224" s="43" t="s">
        <v>213</v>
      </c>
      <c r="B224" s="203" t="s">
        <v>214</v>
      </c>
      <c r="C224" s="8"/>
      <c r="D224" s="8"/>
      <c r="E224" s="8"/>
      <c r="F224" s="8"/>
      <c r="G224" s="68">
        <f>G225</f>
        <v>654</v>
      </c>
    </row>
    <row r="225" spans="1:7" ht="15.75">
      <c r="A225" s="47" t="s">
        <v>169</v>
      </c>
      <c r="B225" s="6" t="s">
        <v>214</v>
      </c>
      <c r="C225" s="42" t="s">
        <v>170</v>
      </c>
      <c r="D225" s="6"/>
      <c r="E225" s="6"/>
      <c r="F225" s="42"/>
      <c r="G225" s="11">
        <f>G226</f>
        <v>654</v>
      </c>
    </row>
    <row r="226" spans="1:7" ht="31.5">
      <c r="A226" s="78" t="s">
        <v>191</v>
      </c>
      <c r="B226" s="77" t="s">
        <v>214</v>
      </c>
      <c r="C226" s="42" t="s">
        <v>170</v>
      </c>
      <c r="D226" s="77">
        <v>13</v>
      </c>
      <c r="E226" s="77"/>
      <c r="F226" s="42"/>
      <c r="G226" s="11">
        <f>G227+G230+G235+G238</f>
        <v>654</v>
      </c>
    </row>
    <row r="227" spans="1:7" ht="31.5">
      <c r="A227" s="31" t="s">
        <v>215</v>
      </c>
      <c r="B227" s="42" t="s">
        <v>216</v>
      </c>
      <c r="C227" s="42" t="s">
        <v>170</v>
      </c>
      <c r="D227" s="42" t="s">
        <v>192</v>
      </c>
      <c r="E227" s="42"/>
      <c r="F227" s="42"/>
      <c r="G227" s="11">
        <f>G228</f>
        <v>428.1</v>
      </c>
    </row>
    <row r="228" spans="1:7" ht="47.25">
      <c r="A228" s="31" t="s">
        <v>183</v>
      </c>
      <c r="B228" s="42" t="s">
        <v>216</v>
      </c>
      <c r="C228" s="42" t="s">
        <v>170</v>
      </c>
      <c r="D228" s="42" t="s">
        <v>192</v>
      </c>
      <c r="E228" s="42" t="s">
        <v>184</v>
      </c>
      <c r="F228" s="42"/>
      <c r="G228" s="11">
        <f>G229</f>
        <v>428.1</v>
      </c>
    </row>
    <row r="229" spans="1:7" ht="47.25">
      <c r="A229" s="31" t="s">
        <v>185</v>
      </c>
      <c r="B229" s="42" t="s">
        <v>216</v>
      </c>
      <c r="C229" s="42" t="s">
        <v>170</v>
      </c>
      <c r="D229" s="42" t="s">
        <v>192</v>
      </c>
      <c r="E229" s="42" t="s">
        <v>186</v>
      </c>
      <c r="F229" s="42"/>
      <c r="G229" s="11">
        <f>'Прил.№4 ведомств.'!G71</f>
        <v>428.1</v>
      </c>
    </row>
    <row r="230" spans="1:7" ht="78.75">
      <c r="A230" s="120" t="s">
        <v>217</v>
      </c>
      <c r="B230" s="42" t="s">
        <v>218</v>
      </c>
      <c r="C230" s="42" t="s">
        <v>170</v>
      </c>
      <c r="D230" s="42" t="s">
        <v>192</v>
      </c>
      <c r="E230" s="42"/>
      <c r="F230" s="42"/>
      <c r="G230" s="11">
        <f>G231+G233</f>
        <v>224.89999999999998</v>
      </c>
    </row>
    <row r="231" spans="1:7" ht="110.25">
      <c r="A231" s="31" t="s">
        <v>179</v>
      </c>
      <c r="B231" s="42" t="s">
        <v>218</v>
      </c>
      <c r="C231" s="42" t="s">
        <v>170</v>
      </c>
      <c r="D231" s="42" t="s">
        <v>192</v>
      </c>
      <c r="E231" s="42" t="s">
        <v>180</v>
      </c>
      <c r="F231" s="42"/>
      <c r="G231" s="11">
        <f>G232</f>
        <v>159.7</v>
      </c>
    </row>
    <row r="232" spans="1:7" ht="47.25">
      <c r="A232" s="31" t="s">
        <v>181</v>
      </c>
      <c r="B232" s="42" t="s">
        <v>218</v>
      </c>
      <c r="C232" s="42" t="s">
        <v>170</v>
      </c>
      <c r="D232" s="42" t="s">
        <v>192</v>
      </c>
      <c r="E232" s="42" t="s">
        <v>182</v>
      </c>
      <c r="F232" s="42"/>
      <c r="G232" s="11">
        <f>'Прил.№4 ведомств.'!G74</f>
        <v>159.7</v>
      </c>
    </row>
    <row r="233" spans="1:7" ht="47.25">
      <c r="A233" s="31" t="s">
        <v>183</v>
      </c>
      <c r="B233" s="42" t="s">
        <v>218</v>
      </c>
      <c r="C233" s="42" t="s">
        <v>170</v>
      </c>
      <c r="D233" s="42" t="s">
        <v>192</v>
      </c>
      <c r="E233" s="42" t="s">
        <v>184</v>
      </c>
      <c r="F233" s="42"/>
      <c r="G233" s="11">
        <f>G234</f>
        <v>65.2</v>
      </c>
    </row>
    <row r="234" spans="1:7" ht="47.25">
      <c r="A234" s="31" t="s">
        <v>185</v>
      </c>
      <c r="B234" s="42" t="s">
        <v>218</v>
      </c>
      <c r="C234" s="42" t="s">
        <v>170</v>
      </c>
      <c r="D234" s="42" t="s">
        <v>192</v>
      </c>
      <c r="E234" s="42" t="s">
        <v>186</v>
      </c>
      <c r="F234" s="42"/>
      <c r="G234" s="11">
        <f>'Прил.№4 ведомств.'!G76</f>
        <v>65.2</v>
      </c>
    </row>
    <row r="235" spans="1:7" ht="63">
      <c r="A235" s="33" t="s">
        <v>778</v>
      </c>
      <c r="B235" s="42" t="s">
        <v>779</v>
      </c>
      <c r="C235" s="42" t="s">
        <v>170</v>
      </c>
      <c r="D235" s="42" t="s">
        <v>192</v>
      </c>
      <c r="E235" s="42"/>
      <c r="F235" s="42"/>
      <c r="G235" s="11">
        <f>G236</f>
        <v>0.5</v>
      </c>
    </row>
    <row r="236" spans="1:7" ht="47.25">
      <c r="A236" s="26" t="s">
        <v>183</v>
      </c>
      <c r="B236" s="42" t="s">
        <v>779</v>
      </c>
      <c r="C236" s="42" t="s">
        <v>170</v>
      </c>
      <c r="D236" s="42" t="s">
        <v>192</v>
      </c>
      <c r="E236" s="42" t="s">
        <v>184</v>
      </c>
      <c r="F236" s="42"/>
      <c r="G236" s="11">
        <f>G237</f>
        <v>0.5</v>
      </c>
    </row>
    <row r="237" spans="1:7" ht="47.25">
      <c r="A237" s="26" t="s">
        <v>185</v>
      </c>
      <c r="B237" s="42" t="s">
        <v>779</v>
      </c>
      <c r="C237" s="42" t="s">
        <v>170</v>
      </c>
      <c r="D237" s="42" t="s">
        <v>192</v>
      </c>
      <c r="E237" s="42" t="s">
        <v>186</v>
      </c>
      <c r="F237" s="42"/>
      <c r="G237" s="11">
        <f>'Прил.№4 ведомств.'!G1096</f>
        <v>0.5</v>
      </c>
    </row>
    <row r="238" spans="1:7" ht="63">
      <c r="A238" s="35" t="s">
        <v>243</v>
      </c>
      <c r="B238" s="42" t="s">
        <v>765</v>
      </c>
      <c r="C238" s="42" t="s">
        <v>170</v>
      </c>
      <c r="D238" s="42" t="s">
        <v>192</v>
      </c>
      <c r="E238" s="42"/>
      <c r="F238" s="42"/>
      <c r="G238" s="11">
        <f>G239</f>
        <v>0.5</v>
      </c>
    </row>
    <row r="239" spans="1:7" ht="47.25">
      <c r="A239" s="26" t="s">
        <v>183</v>
      </c>
      <c r="B239" s="42" t="s">
        <v>765</v>
      </c>
      <c r="C239" s="42" t="s">
        <v>170</v>
      </c>
      <c r="D239" s="42" t="s">
        <v>192</v>
      </c>
      <c r="E239" s="42" t="s">
        <v>184</v>
      </c>
      <c r="F239" s="42"/>
      <c r="G239" s="11">
        <f>G240</f>
        <v>0.5</v>
      </c>
    </row>
    <row r="240" spans="1:7" ht="47.25">
      <c r="A240" s="26" t="s">
        <v>185</v>
      </c>
      <c r="B240" s="42" t="s">
        <v>765</v>
      </c>
      <c r="C240" s="42" t="s">
        <v>170</v>
      </c>
      <c r="D240" s="42" t="s">
        <v>192</v>
      </c>
      <c r="E240" s="42" t="s">
        <v>186</v>
      </c>
      <c r="F240" s="42"/>
      <c r="G240" s="11">
        <f>'Прил.№4 ведомств.'!G79</f>
        <v>0.5</v>
      </c>
    </row>
    <row r="241" spans="1:7" ht="31.5">
      <c r="A241" s="31" t="s">
        <v>200</v>
      </c>
      <c r="B241" s="42" t="s">
        <v>214</v>
      </c>
      <c r="C241" s="42" t="s">
        <v>170</v>
      </c>
      <c r="D241" s="42" t="s">
        <v>192</v>
      </c>
      <c r="E241" s="42"/>
      <c r="F241" s="42" t="s">
        <v>719</v>
      </c>
      <c r="G241" s="11">
        <f>G224</f>
        <v>654</v>
      </c>
    </row>
    <row r="242" spans="1:7" ht="94.5">
      <c r="A242" s="43" t="s">
        <v>305</v>
      </c>
      <c r="B242" s="203" t="s">
        <v>306</v>
      </c>
      <c r="C242" s="42"/>
      <c r="D242" s="42"/>
      <c r="E242" s="42"/>
      <c r="F242" s="42"/>
      <c r="G242" s="68">
        <f>G243</f>
        <v>10</v>
      </c>
    </row>
    <row r="243" spans="1:7" ht="15.75">
      <c r="A243" s="31" t="s">
        <v>295</v>
      </c>
      <c r="B243" s="6" t="s">
        <v>306</v>
      </c>
      <c r="C243" s="42" t="s">
        <v>296</v>
      </c>
      <c r="D243" s="42"/>
      <c r="E243" s="42"/>
      <c r="F243" s="42"/>
      <c r="G243" s="11">
        <f>G244</f>
        <v>10</v>
      </c>
    </row>
    <row r="244" spans="1:7" ht="22.5" customHeight="1">
      <c r="A244" s="31" t="s">
        <v>304</v>
      </c>
      <c r="B244" s="6" t="s">
        <v>306</v>
      </c>
      <c r="C244" s="42" t="s">
        <v>296</v>
      </c>
      <c r="D244" s="42" t="s">
        <v>267</v>
      </c>
      <c r="E244" s="42"/>
      <c r="F244" s="42"/>
      <c r="G244" s="11">
        <f>G245</f>
        <v>10</v>
      </c>
    </row>
    <row r="245" spans="1:7" ht="47.25">
      <c r="A245" s="31" t="s">
        <v>209</v>
      </c>
      <c r="B245" s="77" t="s">
        <v>307</v>
      </c>
      <c r="C245" s="42" t="s">
        <v>296</v>
      </c>
      <c r="D245" s="42" t="s">
        <v>267</v>
      </c>
      <c r="E245" s="42"/>
      <c r="F245" s="42"/>
      <c r="G245" s="11">
        <f>G246</f>
        <v>10</v>
      </c>
    </row>
    <row r="246" spans="1:7" ht="38.25" customHeight="1">
      <c r="A246" s="31" t="s">
        <v>300</v>
      </c>
      <c r="B246" s="77" t="s">
        <v>307</v>
      </c>
      <c r="C246" s="42" t="s">
        <v>296</v>
      </c>
      <c r="D246" s="42" t="s">
        <v>267</v>
      </c>
      <c r="E246" s="42" t="s">
        <v>301</v>
      </c>
      <c r="F246" s="42"/>
      <c r="G246" s="11">
        <f>G247</f>
        <v>10</v>
      </c>
    </row>
    <row r="247" spans="1:7" ht="47.25">
      <c r="A247" s="31" t="s">
        <v>302</v>
      </c>
      <c r="B247" s="77" t="s">
        <v>307</v>
      </c>
      <c r="C247" s="42" t="s">
        <v>296</v>
      </c>
      <c r="D247" s="42" t="s">
        <v>267</v>
      </c>
      <c r="E247" s="42" t="s">
        <v>303</v>
      </c>
      <c r="F247" s="42"/>
      <c r="G247" s="11">
        <f>'Прил.№4 ведомств.'!G229</f>
        <v>10</v>
      </c>
    </row>
    <row r="248" spans="1:7" ht="31.5">
      <c r="A248" s="47" t="s">
        <v>200</v>
      </c>
      <c r="B248" s="77" t="s">
        <v>306</v>
      </c>
      <c r="C248" s="42" t="s">
        <v>296</v>
      </c>
      <c r="D248" s="42" t="s">
        <v>267</v>
      </c>
      <c r="E248" s="42"/>
      <c r="F248" s="42" t="s">
        <v>719</v>
      </c>
      <c r="G248" s="11">
        <f>G242</f>
        <v>10</v>
      </c>
    </row>
    <row r="249" spans="1:7" ht="141.75">
      <c r="A249" s="43" t="s">
        <v>653</v>
      </c>
      <c r="B249" s="203" t="s">
        <v>220</v>
      </c>
      <c r="C249" s="8"/>
      <c r="D249" s="8"/>
      <c r="E249" s="8"/>
      <c r="F249" s="8"/>
      <c r="G249" s="68">
        <f>G250+G257+G264</f>
        <v>80</v>
      </c>
    </row>
    <row r="250" spans="1:7" ht="110.25">
      <c r="A250" s="43" t="s">
        <v>221</v>
      </c>
      <c r="B250" s="203" t="s">
        <v>222</v>
      </c>
      <c r="C250" s="8"/>
      <c r="D250" s="8"/>
      <c r="E250" s="8"/>
      <c r="F250" s="8"/>
      <c r="G250" s="68">
        <f>G251</f>
        <v>15</v>
      </c>
    </row>
    <row r="251" spans="1:7" ht="15.75">
      <c r="A251" s="47" t="s">
        <v>169</v>
      </c>
      <c r="B251" s="6" t="s">
        <v>222</v>
      </c>
      <c r="C251" s="42" t="s">
        <v>170</v>
      </c>
      <c r="D251" s="42"/>
      <c r="E251" s="42"/>
      <c r="F251" s="42"/>
      <c r="G251" s="11">
        <f>G252</f>
        <v>15</v>
      </c>
    </row>
    <row r="252" spans="1:7" ht="33.75" customHeight="1">
      <c r="A252" s="78" t="s">
        <v>191</v>
      </c>
      <c r="B252" s="6" t="s">
        <v>222</v>
      </c>
      <c r="C252" s="42" t="s">
        <v>170</v>
      </c>
      <c r="D252" s="42" t="s">
        <v>192</v>
      </c>
      <c r="E252" s="42"/>
      <c r="F252" s="42"/>
      <c r="G252" s="11">
        <f>G253</f>
        <v>15</v>
      </c>
    </row>
    <row r="253" spans="1:7" ht="47.25">
      <c r="A253" s="120" t="s">
        <v>223</v>
      </c>
      <c r="B253" s="6" t="s">
        <v>224</v>
      </c>
      <c r="C253" s="42" t="s">
        <v>170</v>
      </c>
      <c r="D253" s="42" t="s">
        <v>192</v>
      </c>
      <c r="E253" s="42"/>
      <c r="F253" s="42"/>
      <c r="G253" s="11">
        <f>G254</f>
        <v>15</v>
      </c>
    </row>
    <row r="254" spans="1:7" ht="47.25">
      <c r="A254" s="31" t="s">
        <v>183</v>
      </c>
      <c r="B254" s="6" t="s">
        <v>224</v>
      </c>
      <c r="C254" s="42" t="s">
        <v>170</v>
      </c>
      <c r="D254" s="42" t="s">
        <v>192</v>
      </c>
      <c r="E254" s="42" t="s">
        <v>184</v>
      </c>
      <c r="F254" s="42"/>
      <c r="G254" s="11">
        <f>G255</f>
        <v>15</v>
      </c>
    </row>
    <row r="255" spans="1:7" ht="47.25">
      <c r="A255" s="31" t="s">
        <v>185</v>
      </c>
      <c r="B255" s="6" t="s">
        <v>224</v>
      </c>
      <c r="C255" s="42" t="s">
        <v>170</v>
      </c>
      <c r="D255" s="42" t="s">
        <v>192</v>
      </c>
      <c r="E255" s="42" t="s">
        <v>186</v>
      </c>
      <c r="F255" s="42"/>
      <c r="G255" s="11">
        <f>'Прил.№4 ведомств.'!G84</f>
        <v>15</v>
      </c>
    </row>
    <row r="256" spans="1:7" ht="31.5">
      <c r="A256" s="31" t="s">
        <v>200</v>
      </c>
      <c r="B256" s="6" t="s">
        <v>222</v>
      </c>
      <c r="C256" s="42" t="s">
        <v>170</v>
      </c>
      <c r="D256" s="42" t="s">
        <v>192</v>
      </c>
      <c r="E256" s="42"/>
      <c r="F256" s="42" t="s">
        <v>719</v>
      </c>
      <c r="G256" s="7">
        <f>G250</f>
        <v>15</v>
      </c>
    </row>
    <row r="257" spans="1:7" ht="94.5">
      <c r="A257" s="43" t="s">
        <v>225</v>
      </c>
      <c r="B257" s="203" t="s">
        <v>226</v>
      </c>
      <c r="C257" s="8"/>
      <c r="D257" s="8"/>
      <c r="E257" s="8"/>
      <c r="F257" s="8"/>
      <c r="G257" s="68">
        <f>G258</f>
        <v>50</v>
      </c>
    </row>
    <row r="258" spans="1:7" ht="15.75">
      <c r="A258" s="47" t="s">
        <v>169</v>
      </c>
      <c r="B258" s="6" t="s">
        <v>226</v>
      </c>
      <c r="C258" s="42" t="s">
        <v>170</v>
      </c>
      <c r="D258" s="42"/>
      <c r="E258" s="42"/>
      <c r="F258" s="42"/>
      <c r="G258" s="7">
        <f>G259</f>
        <v>50</v>
      </c>
    </row>
    <row r="259" spans="1:7" ht="31.5">
      <c r="A259" s="78" t="s">
        <v>191</v>
      </c>
      <c r="B259" s="6" t="s">
        <v>226</v>
      </c>
      <c r="C259" s="42" t="s">
        <v>170</v>
      </c>
      <c r="D259" s="42" t="s">
        <v>192</v>
      </c>
      <c r="E259" s="42"/>
      <c r="F259" s="42"/>
      <c r="G259" s="7">
        <f>G260</f>
        <v>50</v>
      </c>
    </row>
    <row r="260" spans="1:7" ht="31.5">
      <c r="A260" s="47" t="s">
        <v>227</v>
      </c>
      <c r="B260" s="6" t="s">
        <v>228</v>
      </c>
      <c r="C260" s="10" t="s">
        <v>170</v>
      </c>
      <c r="D260" s="10" t="s">
        <v>192</v>
      </c>
      <c r="E260" s="10"/>
      <c r="F260" s="27"/>
      <c r="G260" s="27">
        <f>G261</f>
        <v>50</v>
      </c>
    </row>
    <row r="261" spans="1:7" ht="47.25">
      <c r="A261" s="26" t="s">
        <v>183</v>
      </c>
      <c r="B261" s="6" t="s">
        <v>228</v>
      </c>
      <c r="C261" s="10" t="s">
        <v>170</v>
      </c>
      <c r="D261" s="10" t="s">
        <v>192</v>
      </c>
      <c r="E261" s="10" t="s">
        <v>184</v>
      </c>
      <c r="F261" s="27"/>
      <c r="G261" s="27">
        <f>G262</f>
        <v>50</v>
      </c>
    </row>
    <row r="262" spans="1:7" ht="47.25">
      <c r="A262" s="26" t="s">
        <v>185</v>
      </c>
      <c r="B262" s="6" t="s">
        <v>228</v>
      </c>
      <c r="C262" s="10" t="s">
        <v>170</v>
      </c>
      <c r="D262" s="10" t="s">
        <v>192</v>
      </c>
      <c r="E262" s="10" t="s">
        <v>186</v>
      </c>
      <c r="F262" s="27"/>
      <c r="G262" s="27">
        <f>'Прил.№4 ведомств.'!G88</f>
        <v>50</v>
      </c>
    </row>
    <row r="263" spans="1:7" ht="31.5">
      <c r="A263" s="31" t="s">
        <v>200</v>
      </c>
      <c r="B263" s="6" t="s">
        <v>226</v>
      </c>
      <c r="C263" s="42" t="s">
        <v>170</v>
      </c>
      <c r="D263" s="42" t="s">
        <v>192</v>
      </c>
      <c r="E263" s="42"/>
      <c r="F263" s="42" t="s">
        <v>719</v>
      </c>
      <c r="G263" s="7">
        <f>G257</f>
        <v>50</v>
      </c>
    </row>
    <row r="264" spans="1:7" ht="63">
      <c r="A264" s="24" t="s">
        <v>229</v>
      </c>
      <c r="B264" s="203" t="s">
        <v>230</v>
      </c>
      <c r="C264" s="8"/>
      <c r="D264" s="8"/>
      <c r="E264" s="8"/>
      <c r="F264" s="8"/>
      <c r="G264" s="68">
        <f>G265</f>
        <v>15</v>
      </c>
    </row>
    <row r="265" spans="1:7" ht="15.75">
      <c r="A265" s="47" t="s">
        <v>169</v>
      </c>
      <c r="B265" s="6" t="s">
        <v>230</v>
      </c>
      <c r="C265" s="42" t="s">
        <v>170</v>
      </c>
      <c r="D265" s="42"/>
      <c r="E265" s="42"/>
      <c r="F265" s="42"/>
      <c r="G265" s="11">
        <f>G266</f>
        <v>15</v>
      </c>
    </row>
    <row r="266" spans="1:7" ht="31.5">
      <c r="A266" s="78" t="s">
        <v>191</v>
      </c>
      <c r="B266" s="6" t="s">
        <v>230</v>
      </c>
      <c r="C266" s="42" t="s">
        <v>170</v>
      </c>
      <c r="D266" s="42" t="s">
        <v>192</v>
      </c>
      <c r="E266" s="42"/>
      <c r="F266" s="42"/>
      <c r="G266" s="11">
        <f>G267</f>
        <v>15</v>
      </c>
    </row>
    <row r="267" spans="1:7" ht="32.25" customHeight="1">
      <c r="A267" s="47" t="s">
        <v>231</v>
      </c>
      <c r="B267" s="6" t="s">
        <v>232</v>
      </c>
      <c r="C267" s="42" t="s">
        <v>170</v>
      </c>
      <c r="D267" s="42" t="s">
        <v>192</v>
      </c>
      <c r="E267" s="42"/>
      <c r="F267" s="42"/>
      <c r="G267" s="11">
        <f>G268</f>
        <v>15</v>
      </c>
    </row>
    <row r="268" spans="1:7" ht="47.25">
      <c r="A268" s="31" t="s">
        <v>183</v>
      </c>
      <c r="B268" s="6" t="s">
        <v>232</v>
      </c>
      <c r="C268" s="42" t="s">
        <v>170</v>
      </c>
      <c r="D268" s="42" t="s">
        <v>192</v>
      </c>
      <c r="E268" s="42" t="s">
        <v>184</v>
      </c>
      <c r="F268" s="42"/>
      <c r="G268" s="11">
        <f>G269</f>
        <v>15</v>
      </c>
    </row>
    <row r="269" spans="1:7" ht="47.25">
      <c r="A269" s="31" t="s">
        <v>185</v>
      </c>
      <c r="B269" s="6" t="s">
        <v>232</v>
      </c>
      <c r="C269" s="42" t="s">
        <v>170</v>
      </c>
      <c r="D269" s="42" t="s">
        <v>192</v>
      </c>
      <c r="E269" s="42" t="s">
        <v>186</v>
      </c>
      <c r="F269" s="42"/>
      <c r="G269" s="11">
        <f>'Прил.№4 ведомств.'!G92</f>
        <v>15</v>
      </c>
    </row>
    <row r="270" spans="1:7" ht="31.5">
      <c r="A270" s="31" t="s">
        <v>200</v>
      </c>
      <c r="B270" s="6" t="s">
        <v>230</v>
      </c>
      <c r="C270" s="42" t="s">
        <v>170</v>
      </c>
      <c r="D270" s="42" t="s">
        <v>192</v>
      </c>
      <c r="E270" s="42"/>
      <c r="F270" s="42" t="s">
        <v>719</v>
      </c>
      <c r="G270" s="11">
        <f>G264</f>
        <v>15</v>
      </c>
    </row>
    <row r="271" spans="1:7" ht="69" customHeight="1">
      <c r="A271" s="43" t="s">
        <v>534</v>
      </c>
      <c r="B271" s="3" t="s">
        <v>535</v>
      </c>
      <c r="C271" s="79"/>
      <c r="D271" s="79"/>
      <c r="E271" s="79"/>
      <c r="F271" s="79"/>
      <c r="G271" s="4">
        <f>G273+G294+G317</f>
        <v>36478.9</v>
      </c>
    </row>
    <row r="272" spans="1:7" ht="94.5">
      <c r="A272" s="43" t="s">
        <v>720</v>
      </c>
      <c r="B272" s="3" t="s">
        <v>537</v>
      </c>
      <c r="C272" s="80"/>
      <c r="D272" s="80"/>
      <c r="E272" s="80"/>
      <c r="F272" s="80"/>
      <c r="G272" s="68">
        <f>G273</f>
        <v>10758</v>
      </c>
    </row>
    <row r="273" spans="1:7" ht="15.75">
      <c r="A273" s="31" t="s">
        <v>315</v>
      </c>
      <c r="B273" s="42" t="s">
        <v>537</v>
      </c>
      <c r="C273" s="42" t="s">
        <v>316</v>
      </c>
      <c r="D273" s="79"/>
      <c r="E273" s="79"/>
      <c r="F273" s="79"/>
      <c r="G273" s="11">
        <f>G274</f>
        <v>10758</v>
      </c>
    </row>
    <row r="274" spans="1:7" ht="15.75">
      <c r="A274" s="31" t="s">
        <v>317</v>
      </c>
      <c r="B274" s="42" t="s">
        <v>537</v>
      </c>
      <c r="C274" s="42" t="s">
        <v>316</v>
      </c>
      <c r="D274" s="42" t="s">
        <v>267</v>
      </c>
      <c r="E274" s="79"/>
      <c r="F274" s="79"/>
      <c r="G274" s="11">
        <f>G275+G290</f>
        <v>10758</v>
      </c>
    </row>
    <row r="275" spans="1:7" ht="63">
      <c r="A275" s="31" t="s">
        <v>322</v>
      </c>
      <c r="B275" s="42" t="s">
        <v>538</v>
      </c>
      <c r="C275" s="42" t="s">
        <v>316</v>
      </c>
      <c r="D275" s="42" t="s">
        <v>267</v>
      </c>
      <c r="E275" s="79"/>
      <c r="F275" s="79"/>
      <c r="G275" s="11">
        <f>G276</f>
        <v>10722</v>
      </c>
    </row>
    <row r="276" spans="1:7" ht="63">
      <c r="A276" s="31" t="s">
        <v>324</v>
      </c>
      <c r="B276" s="42" t="s">
        <v>538</v>
      </c>
      <c r="C276" s="42" t="s">
        <v>316</v>
      </c>
      <c r="D276" s="42" t="s">
        <v>267</v>
      </c>
      <c r="E276" s="42" t="s">
        <v>325</v>
      </c>
      <c r="F276" s="79"/>
      <c r="G276" s="11">
        <f>G277</f>
        <v>10722</v>
      </c>
    </row>
    <row r="277" spans="1:7" ht="15.75">
      <c r="A277" s="31" t="s">
        <v>326</v>
      </c>
      <c r="B277" s="42" t="s">
        <v>538</v>
      </c>
      <c r="C277" s="42" t="s">
        <v>316</v>
      </c>
      <c r="D277" s="42" t="s">
        <v>267</v>
      </c>
      <c r="E277" s="42" t="s">
        <v>327</v>
      </c>
      <c r="F277" s="79"/>
      <c r="G277" s="11">
        <f>'Прил.№4 ведомств.'!G786</f>
        <v>10722</v>
      </c>
    </row>
    <row r="278" spans="1:7" ht="78.75" customHeight="1" hidden="1">
      <c r="A278" s="31" t="s">
        <v>658</v>
      </c>
      <c r="B278" s="42" t="s">
        <v>721</v>
      </c>
      <c r="C278" s="42" t="s">
        <v>316</v>
      </c>
      <c r="D278" s="42" t="s">
        <v>267</v>
      </c>
      <c r="E278" s="42"/>
      <c r="F278" s="79"/>
      <c r="G278" s="11">
        <f>G279</f>
        <v>0</v>
      </c>
    </row>
    <row r="279" spans="1:7" ht="63" hidden="1">
      <c r="A279" s="31" t="s">
        <v>324</v>
      </c>
      <c r="B279" s="42" t="s">
        <v>721</v>
      </c>
      <c r="C279" s="42" t="s">
        <v>316</v>
      </c>
      <c r="D279" s="42" t="s">
        <v>267</v>
      </c>
      <c r="E279" s="42" t="s">
        <v>325</v>
      </c>
      <c r="F279" s="79"/>
      <c r="G279" s="11">
        <f>G280</f>
        <v>0</v>
      </c>
    </row>
    <row r="280" spans="1:7" ht="15.75" hidden="1">
      <c r="A280" s="31" t="s">
        <v>326</v>
      </c>
      <c r="B280" s="42" t="s">
        <v>721</v>
      </c>
      <c r="C280" s="42" t="s">
        <v>316</v>
      </c>
      <c r="D280" s="42" t="s">
        <v>267</v>
      </c>
      <c r="E280" s="42" t="s">
        <v>327</v>
      </c>
      <c r="F280" s="79"/>
      <c r="G280" s="11">
        <f>G281</f>
        <v>0</v>
      </c>
    </row>
    <row r="281" spans="1:7" ht="47.25" hidden="1">
      <c r="A281" s="48" t="s">
        <v>533</v>
      </c>
      <c r="B281" s="42" t="s">
        <v>721</v>
      </c>
      <c r="C281" s="42" t="s">
        <v>316</v>
      </c>
      <c r="D281" s="42" t="s">
        <v>267</v>
      </c>
      <c r="E281" s="42"/>
      <c r="F281" s="2">
        <v>907</v>
      </c>
      <c r="G281" s="11">
        <f>1500-1500</f>
        <v>0</v>
      </c>
    </row>
    <row r="282" spans="1:7" ht="47.25" hidden="1">
      <c r="A282" s="31" t="s">
        <v>330</v>
      </c>
      <c r="B282" s="42" t="s">
        <v>722</v>
      </c>
      <c r="C282" s="42" t="s">
        <v>316</v>
      </c>
      <c r="D282" s="42" t="s">
        <v>267</v>
      </c>
      <c r="E282" s="42"/>
      <c r="F282" s="79"/>
      <c r="G282" s="11">
        <f>G283</f>
        <v>0</v>
      </c>
    </row>
    <row r="283" spans="1:7" ht="63" hidden="1">
      <c r="A283" s="31" t="s">
        <v>324</v>
      </c>
      <c r="B283" s="42" t="s">
        <v>722</v>
      </c>
      <c r="C283" s="42" t="s">
        <v>316</v>
      </c>
      <c r="D283" s="42" t="s">
        <v>267</v>
      </c>
      <c r="E283" s="42" t="s">
        <v>325</v>
      </c>
      <c r="F283" s="79"/>
      <c r="G283" s="11">
        <f>G284</f>
        <v>0</v>
      </c>
    </row>
    <row r="284" spans="1:7" ht="15.75" hidden="1">
      <c r="A284" s="31" t="s">
        <v>326</v>
      </c>
      <c r="B284" s="42" t="s">
        <v>722</v>
      </c>
      <c r="C284" s="42" t="s">
        <v>316</v>
      </c>
      <c r="D284" s="42" t="s">
        <v>267</v>
      </c>
      <c r="E284" s="42" t="s">
        <v>327</v>
      </c>
      <c r="F284" s="79"/>
      <c r="G284" s="11"/>
    </row>
    <row r="285" spans="1:7" ht="47.25" hidden="1">
      <c r="A285" s="48" t="s">
        <v>533</v>
      </c>
      <c r="B285" s="42" t="s">
        <v>722</v>
      </c>
      <c r="C285" s="42" t="s">
        <v>316</v>
      </c>
      <c r="D285" s="42" t="s">
        <v>267</v>
      </c>
      <c r="E285" s="42"/>
      <c r="F285" s="2">
        <v>907</v>
      </c>
      <c r="G285" s="11">
        <v>0</v>
      </c>
    </row>
    <row r="286" spans="1:7" ht="31.5" hidden="1">
      <c r="A286" s="31" t="s">
        <v>332</v>
      </c>
      <c r="B286" s="42" t="s">
        <v>723</v>
      </c>
      <c r="C286" s="42" t="s">
        <v>316</v>
      </c>
      <c r="D286" s="42" t="s">
        <v>267</v>
      </c>
      <c r="E286" s="42"/>
      <c r="F286" s="79"/>
      <c r="G286" s="11">
        <f>G287</f>
        <v>0</v>
      </c>
    </row>
    <row r="287" spans="1:7" ht="63" hidden="1">
      <c r="A287" s="31" t="s">
        <v>324</v>
      </c>
      <c r="B287" s="42" t="s">
        <v>723</v>
      </c>
      <c r="C287" s="42" t="s">
        <v>316</v>
      </c>
      <c r="D287" s="42" t="s">
        <v>267</v>
      </c>
      <c r="E287" s="42" t="s">
        <v>325</v>
      </c>
      <c r="F287" s="79"/>
      <c r="G287" s="11">
        <f>G288</f>
        <v>0</v>
      </c>
    </row>
    <row r="288" spans="1:7" ht="15.75" hidden="1">
      <c r="A288" s="31" t="s">
        <v>326</v>
      </c>
      <c r="B288" s="42" t="s">
        <v>723</v>
      </c>
      <c r="C288" s="42" t="s">
        <v>316</v>
      </c>
      <c r="D288" s="42" t="s">
        <v>267</v>
      </c>
      <c r="E288" s="42" t="s">
        <v>327</v>
      </c>
      <c r="F288" s="79"/>
      <c r="G288" s="11"/>
    </row>
    <row r="289" spans="1:7" ht="47.25" hidden="1">
      <c r="A289" s="48" t="s">
        <v>533</v>
      </c>
      <c r="B289" s="42" t="s">
        <v>723</v>
      </c>
      <c r="C289" s="42" t="s">
        <v>316</v>
      </c>
      <c r="D289" s="42" t="s">
        <v>267</v>
      </c>
      <c r="E289" s="42"/>
      <c r="F289" s="2">
        <v>907</v>
      </c>
      <c r="G289" s="11">
        <v>0</v>
      </c>
    </row>
    <row r="290" spans="1:7" ht="47.25">
      <c r="A290" s="31" t="s">
        <v>334</v>
      </c>
      <c r="B290" s="42" t="s">
        <v>541</v>
      </c>
      <c r="C290" s="42" t="s">
        <v>316</v>
      </c>
      <c r="D290" s="42" t="s">
        <v>267</v>
      </c>
      <c r="E290" s="42"/>
      <c r="F290" s="79"/>
      <c r="G290" s="11">
        <f>G291</f>
        <v>36</v>
      </c>
    </row>
    <row r="291" spans="1:7" ht="63">
      <c r="A291" s="31" t="s">
        <v>324</v>
      </c>
      <c r="B291" s="42" t="s">
        <v>541</v>
      </c>
      <c r="C291" s="42" t="s">
        <v>316</v>
      </c>
      <c r="D291" s="42" t="s">
        <v>267</v>
      </c>
      <c r="E291" s="42" t="s">
        <v>325</v>
      </c>
      <c r="F291" s="79"/>
      <c r="G291" s="11">
        <f>G292</f>
        <v>36</v>
      </c>
    </row>
    <row r="292" spans="1:7" ht="15.75">
      <c r="A292" s="31" t="s">
        <v>326</v>
      </c>
      <c r="B292" s="42" t="s">
        <v>541</v>
      </c>
      <c r="C292" s="42" t="s">
        <v>316</v>
      </c>
      <c r="D292" s="42" t="s">
        <v>267</v>
      </c>
      <c r="E292" s="42" t="s">
        <v>327</v>
      </c>
      <c r="F292" s="79"/>
      <c r="G292" s="11">
        <f>'Прил.№4 ведомств.'!G795</f>
        <v>36</v>
      </c>
    </row>
    <row r="293" spans="1:7" ht="58.5" customHeight="1">
      <c r="A293" s="81" t="s">
        <v>533</v>
      </c>
      <c r="B293" s="42" t="s">
        <v>537</v>
      </c>
      <c r="C293" s="42" t="s">
        <v>316</v>
      </c>
      <c r="D293" s="42" t="s">
        <v>267</v>
      </c>
      <c r="E293" s="42"/>
      <c r="F293" s="2">
        <v>907</v>
      </c>
      <c r="G293" s="11">
        <f>G272</f>
        <v>10758</v>
      </c>
    </row>
    <row r="294" spans="1:7" ht="63">
      <c r="A294" s="64" t="s">
        <v>546</v>
      </c>
      <c r="B294" s="8" t="s">
        <v>547</v>
      </c>
      <c r="C294" s="8"/>
      <c r="D294" s="8"/>
      <c r="E294" s="8"/>
      <c r="F294" s="3"/>
      <c r="G294" s="68">
        <f>G295</f>
        <v>22673.9</v>
      </c>
    </row>
    <row r="295" spans="1:7" ht="15.75">
      <c r="A295" s="31" t="s">
        <v>543</v>
      </c>
      <c r="B295" s="42" t="s">
        <v>547</v>
      </c>
      <c r="C295" s="2">
        <v>11</v>
      </c>
      <c r="D295" s="79"/>
      <c r="E295" s="79"/>
      <c r="F295" s="79"/>
      <c r="G295" s="11">
        <f>G296</f>
        <v>22673.9</v>
      </c>
    </row>
    <row r="296" spans="1:7" ht="20.25" customHeight="1">
      <c r="A296" s="31" t="s">
        <v>545</v>
      </c>
      <c r="B296" s="42" t="s">
        <v>547</v>
      </c>
      <c r="C296" s="42" t="s">
        <v>544</v>
      </c>
      <c r="D296" s="42" t="s">
        <v>170</v>
      </c>
      <c r="E296" s="82"/>
      <c r="F296" s="6"/>
      <c r="G296" s="11">
        <f>G297+G301+G305+G309+G313</f>
        <v>22673.9</v>
      </c>
    </row>
    <row r="297" spans="1:7" ht="47.25">
      <c r="A297" s="31" t="s">
        <v>548</v>
      </c>
      <c r="B297" s="42" t="s">
        <v>549</v>
      </c>
      <c r="C297" s="42" t="s">
        <v>544</v>
      </c>
      <c r="D297" s="42" t="s">
        <v>170</v>
      </c>
      <c r="E297" s="82"/>
      <c r="F297" s="6"/>
      <c r="G297" s="11">
        <f>G298</f>
        <v>22376.4</v>
      </c>
    </row>
    <row r="298" spans="1:7" ht="65.25" customHeight="1">
      <c r="A298" s="31" t="s">
        <v>324</v>
      </c>
      <c r="B298" s="42" t="s">
        <v>549</v>
      </c>
      <c r="C298" s="42" t="s">
        <v>544</v>
      </c>
      <c r="D298" s="42" t="s">
        <v>170</v>
      </c>
      <c r="E298" s="42" t="s">
        <v>325</v>
      </c>
      <c r="F298" s="6"/>
      <c r="G298" s="11">
        <f>G299</f>
        <v>22376.4</v>
      </c>
    </row>
    <row r="299" spans="1:7" ht="15.75">
      <c r="A299" s="31" t="s">
        <v>326</v>
      </c>
      <c r="B299" s="42" t="s">
        <v>549</v>
      </c>
      <c r="C299" s="42" t="s">
        <v>544</v>
      </c>
      <c r="D299" s="42" t="s">
        <v>170</v>
      </c>
      <c r="E299" s="42" t="s">
        <v>327</v>
      </c>
      <c r="F299" s="6"/>
      <c r="G299" s="11">
        <f>'Прил.№4 ведомств.'!G819</f>
        <v>22376.4</v>
      </c>
    </row>
    <row r="300" spans="1:7" ht="47.25" hidden="1">
      <c r="A300" s="48" t="s">
        <v>533</v>
      </c>
      <c r="B300" s="42" t="s">
        <v>547</v>
      </c>
      <c r="C300" s="42" t="s">
        <v>544</v>
      </c>
      <c r="D300" s="42" t="s">
        <v>170</v>
      </c>
      <c r="E300" s="42"/>
      <c r="F300" s="6">
        <v>907</v>
      </c>
      <c r="G300" s="11">
        <f>G294</f>
        <v>22673.9</v>
      </c>
    </row>
    <row r="301" spans="1:7" ht="63" hidden="1">
      <c r="A301" s="31" t="s">
        <v>658</v>
      </c>
      <c r="B301" s="42" t="s">
        <v>724</v>
      </c>
      <c r="C301" s="42" t="s">
        <v>544</v>
      </c>
      <c r="D301" s="42" t="s">
        <v>170</v>
      </c>
      <c r="E301" s="42"/>
      <c r="F301" s="6"/>
      <c r="G301" s="11">
        <f>G302</f>
        <v>0</v>
      </c>
    </row>
    <row r="302" spans="1:7" ht="63" hidden="1">
      <c r="A302" s="31" t="s">
        <v>324</v>
      </c>
      <c r="B302" s="42" t="s">
        <v>724</v>
      </c>
      <c r="C302" s="42" t="s">
        <v>544</v>
      </c>
      <c r="D302" s="42" t="s">
        <v>170</v>
      </c>
      <c r="E302" s="42" t="s">
        <v>325</v>
      </c>
      <c r="F302" s="6"/>
      <c r="G302" s="11">
        <f>G303</f>
        <v>0</v>
      </c>
    </row>
    <row r="303" spans="1:7" ht="15.75" hidden="1">
      <c r="A303" s="31" t="s">
        <v>326</v>
      </c>
      <c r="B303" s="42" t="s">
        <v>724</v>
      </c>
      <c r="C303" s="42" t="s">
        <v>544</v>
      </c>
      <c r="D303" s="42" t="s">
        <v>170</v>
      </c>
      <c r="E303" s="42" t="s">
        <v>327</v>
      </c>
      <c r="F303" s="6"/>
      <c r="G303" s="11">
        <f>G304</f>
        <v>0</v>
      </c>
    </row>
    <row r="304" spans="1:7" ht="47.25" hidden="1">
      <c r="A304" s="81" t="s">
        <v>533</v>
      </c>
      <c r="B304" s="42" t="s">
        <v>724</v>
      </c>
      <c r="C304" s="42" t="s">
        <v>544</v>
      </c>
      <c r="D304" s="42" t="s">
        <v>170</v>
      </c>
      <c r="E304" s="42"/>
      <c r="F304" s="6">
        <v>907</v>
      </c>
      <c r="G304" s="11">
        <f>1500-1500</f>
        <v>0</v>
      </c>
    </row>
    <row r="305" spans="1:7" ht="47.25">
      <c r="A305" s="31" t="s">
        <v>330</v>
      </c>
      <c r="B305" s="42" t="s">
        <v>550</v>
      </c>
      <c r="C305" s="42" t="s">
        <v>544</v>
      </c>
      <c r="D305" s="42" t="s">
        <v>170</v>
      </c>
      <c r="E305" s="42"/>
      <c r="F305" s="6"/>
      <c r="G305" s="11">
        <f>G306</f>
        <v>297.5</v>
      </c>
    </row>
    <row r="306" spans="1:7" ht="63">
      <c r="A306" s="31" t="s">
        <v>324</v>
      </c>
      <c r="B306" s="42" t="s">
        <v>550</v>
      </c>
      <c r="C306" s="42" t="s">
        <v>544</v>
      </c>
      <c r="D306" s="42" t="s">
        <v>170</v>
      </c>
      <c r="E306" s="42" t="s">
        <v>325</v>
      </c>
      <c r="F306" s="6"/>
      <c r="G306" s="11">
        <f>G307</f>
        <v>297.5</v>
      </c>
    </row>
    <row r="307" spans="1:8" ht="15.75">
      <c r="A307" s="31" t="s">
        <v>326</v>
      </c>
      <c r="B307" s="42" t="s">
        <v>550</v>
      </c>
      <c r="C307" s="42" t="s">
        <v>544</v>
      </c>
      <c r="D307" s="42" t="s">
        <v>170</v>
      </c>
      <c r="E307" s="42" t="s">
        <v>327</v>
      </c>
      <c r="F307" s="6"/>
      <c r="G307" s="186">
        <f>'Прил.№4 ведомств.'!G822</f>
        <v>297.5</v>
      </c>
      <c r="H307" s="187" t="s">
        <v>829</v>
      </c>
    </row>
    <row r="308" spans="1:7" ht="47.25">
      <c r="A308" s="48" t="s">
        <v>533</v>
      </c>
      <c r="B308" s="42" t="s">
        <v>547</v>
      </c>
      <c r="C308" s="42" t="s">
        <v>544</v>
      </c>
      <c r="D308" s="42" t="s">
        <v>170</v>
      </c>
      <c r="E308" s="42"/>
      <c r="F308" s="6">
        <v>907</v>
      </c>
      <c r="G308" s="11">
        <f>G299+G307</f>
        <v>22673.9</v>
      </c>
    </row>
    <row r="309" spans="1:7" ht="31.5" hidden="1">
      <c r="A309" s="31" t="s">
        <v>332</v>
      </c>
      <c r="B309" s="42" t="s">
        <v>725</v>
      </c>
      <c r="C309" s="42" t="s">
        <v>544</v>
      </c>
      <c r="D309" s="42" t="s">
        <v>170</v>
      </c>
      <c r="E309" s="42"/>
      <c r="F309" s="6"/>
      <c r="G309" s="11">
        <f>G310</f>
        <v>0</v>
      </c>
    </row>
    <row r="310" spans="1:7" ht="63" hidden="1">
      <c r="A310" s="31" t="s">
        <v>324</v>
      </c>
      <c r="B310" s="42" t="s">
        <v>725</v>
      </c>
      <c r="C310" s="42" t="s">
        <v>544</v>
      </c>
      <c r="D310" s="42" t="s">
        <v>170</v>
      </c>
      <c r="E310" s="42" t="s">
        <v>325</v>
      </c>
      <c r="F310" s="6"/>
      <c r="G310" s="11">
        <f>G311</f>
        <v>0</v>
      </c>
    </row>
    <row r="311" spans="1:7" ht="15.75" hidden="1">
      <c r="A311" s="31" t="s">
        <v>326</v>
      </c>
      <c r="B311" s="42" t="s">
        <v>725</v>
      </c>
      <c r="C311" s="42" t="s">
        <v>544</v>
      </c>
      <c r="D311" s="42" t="s">
        <v>170</v>
      </c>
      <c r="E311" s="42" t="s">
        <v>327</v>
      </c>
      <c r="F311" s="6"/>
      <c r="G311" s="11"/>
    </row>
    <row r="312" spans="1:7" ht="47.25" hidden="1">
      <c r="A312" s="48" t="s">
        <v>533</v>
      </c>
      <c r="B312" s="42" t="s">
        <v>725</v>
      </c>
      <c r="C312" s="42" t="s">
        <v>544</v>
      </c>
      <c r="D312" s="42" t="s">
        <v>170</v>
      </c>
      <c r="E312" s="42"/>
      <c r="F312" s="6">
        <v>907</v>
      </c>
      <c r="G312" s="11">
        <v>0</v>
      </c>
    </row>
    <row r="313" spans="1:7" ht="71.25" customHeight="1" hidden="1">
      <c r="A313" s="31" t="s">
        <v>336</v>
      </c>
      <c r="B313" s="42" t="s">
        <v>726</v>
      </c>
      <c r="C313" s="42" t="s">
        <v>544</v>
      </c>
      <c r="D313" s="42" t="s">
        <v>170</v>
      </c>
      <c r="E313" s="42"/>
      <c r="F313" s="6"/>
      <c r="G313" s="11">
        <f>G314</f>
        <v>0</v>
      </c>
    </row>
    <row r="314" spans="1:7" ht="63" hidden="1">
      <c r="A314" s="31" t="s">
        <v>324</v>
      </c>
      <c r="B314" s="42" t="s">
        <v>726</v>
      </c>
      <c r="C314" s="42" t="s">
        <v>544</v>
      </c>
      <c r="D314" s="42" t="s">
        <v>170</v>
      </c>
      <c r="E314" s="42" t="s">
        <v>325</v>
      </c>
      <c r="F314" s="6"/>
      <c r="G314" s="11">
        <f>G315</f>
        <v>0</v>
      </c>
    </row>
    <row r="315" spans="1:7" ht="15.75" hidden="1">
      <c r="A315" s="31" t="s">
        <v>326</v>
      </c>
      <c r="B315" s="42" t="s">
        <v>726</v>
      </c>
      <c r="C315" s="42" t="s">
        <v>544</v>
      </c>
      <c r="D315" s="42" t="s">
        <v>170</v>
      </c>
      <c r="E315" s="42" t="s">
        <v>327</v>
      </c>
      <c r="F315" s="6"/>
      <c r="G315" s="11"/>
    </row>
    <row r="316" spans="1:7" ht="47.25" hidden="1">
      <c r="A316" s="48" t="s">
        <v>533</v>
      </c>
      <c r="B316" s="42" t="s">
        <v>726</v>
      </c>
      <c r="C316" s="42" t="s">
        <v>544</v>
      </c>
      <c r="D316" s="42" t="s">
        <v>170</v>
      </c>
      <c r="E316" s="42"/>
      <c r="F316" s="6">
        <v>907</v>
      </c>
      <c r="G316" s="11">
        <v>0</v>
      </c>
    </row>
    <row r="317" spans="1:7" ht="63">
      <c r="A317" s="64" t="s">
        <v>554</v>
      </c>
      <c r="B317" s="8" t="s">
        <v>555</v>
      </c>
      <c r="C317" s="8"/>
      <c r="D317" s="8"/>
      <c r="E317" s="8"/>
      <c r="F317" s="203"/>
      <c r="G317" s="4">
        <f>G318</f>
        <v>3047</v>
      </c>
    </row>
    <row r="318" spans="1:7" ht="15.75">
      <c r="A318" s="31" t="s">
        <v>543</v>
      </c>
      <c r="B318" s="42" t="s">
        <v>555</v>
      </c>
      <c r="C318" s="2">
        <v>11</v>
      </c>
      <c r="D318" s="42"/>
      <c r="E318" s="42"/>
      <c r="F318" s="6"/>
      <c r="G318" s="7">
        <f>G319</f>
        <v>3047</v>
      </c>
    </row>
    <row r="319" spans="1:7" ht="31.5">
      <c r="A319" s="26" t="s">
        <v>553</v>
      </c>
      <c r="B319" s="42" t="s">
        <v>555</v>
      </c>
      <c r="C319" s="42" t="s">
        <v>544</v>
      </c>
      <c r="D319" s="42" t="s">
        <v>286</v>
      </c>
      <c r="E319" s="42"/>
      <c r="F319" s="6"/>
      <c r="G319" s="7">
        <f>G320</f>
        <v>3047</v>
      </c>
    </row>
    <row r="320" spans="1:7" ht="47.25">
      <c r="A320" s="31" t="s">
        <v>209</v>
      </c>
      <c r="B320" s="42" t="s">
        <v>556</v>
      </c>
      <c r="C320" s="42" t="s">
        <v>544</v>
      </c>
      <c r="D320" s="42" t="s">
        <v>286</v>
      </c>
      <c r="E320" s="42"/>
      <c r="F320" s="6"/>
      <c r="G320" s="7">
        <f>G323+G321</f>
        <v>3047</v>
      </c>
    </row>
    <row r="321" spans="1:7" ht="110.25">
      <c r="A321" s="26" t="s">
        <v>179</v>
      </c>
      <c r="B321" s="42" t="s">
        <v>556</v>
      </c>
      <c r="C321" s="42" t="s">
        <v>544</v>
      </c>
      <c r="D321" s="42" t="s">
        <v>286</v>
      </c>
      <c r="E321" s="42" t="s">
        <v>180</v>
      </c>
      <c r="F321" s="6"/>
      <c r="G321" s="7">
        <f>G322</f>
        <v>2111</v>
      </c>
    </row>
    <row r="322" spans="1:7" ht="55.5" customHeight="1">
      <c r="A322" s="26" t="s">
        <v>181</v>
      </c>
      <c r="B322" s="42" t="s">
        <v>556</v>
      </c>
      <c r="C322" s="42" t="s">
        <v>544</v>
      </c>
      <c r="D322" s="42" t="s">
        <v>286</v>
      </c>
      <c r="E322" s="42" t="s">
        <v>182</v>
      </c>
      <c r="F322" s="6"/>
      <c r="G322" s="7">
        <f>'Прил.№4 ведомств.'!G846</f>
        <v>2111</v>
      </c>
    </row>
    <row r="323" spans="1:7" ht="47.25">
      <c r="A323" s="31" t="s">
        <v>183</v>
      </c>
      <c r="B323" s="42" t="s">
        <v>556</v>
      </c>
      <c r="C323" s="42" t="s">
        <v>544</v>
      </c>
      <c r="D323" s="42" t="s">
        <v>286</v>
      </c>
      <c r="E323" s="42" t="s">
        <v>184</v>
      </c>
      <c r="F323" s="6"/>
      <c r="G323" s="7">
        <f>G324</f>
        <v>936</v>
      </c>
    </row>
    <row r="324" spans="1:7" ht="47.25">
      <c r="A324" s="31" t="s">
        <v>185</v>
      </c>
      <c r="B324" s="42" t="s">
        <v>556</v>
      </c>
      <c r="C324" s="42" t="s">
        <v>544</v>
      </c>
      <c r="D324" s="42" t="s">
        <v>286</v>
      </c>
      <c r="E324" s="42" t="s">
        <v>186</v>
      </c>
      <c r="F324" s="6"/>
      <c r="G324" s="7">
        <f>'Прил.№4 ведомств.'!G848</f>
        <v>936</v>
      </c>
    </row>
    <row r="325" spans="1:7" ht="47.25">
      <c r="A325" s="81" t="s">
        <v>533</v>
      </c>
      <c r="B325" s="42" t="s">
        <v>555</v>
      </c>
      <c r="C325" s="42" t="s">
        <v>544</v>
      </c>
      <c r="D325" s="42" t="s">
        <v>286</v>
      </c>
      <c r="E325" s="42"/>
      <c r="F325" s="6">
        <v>907</v>
      </c>
      <c r="G325" s="11">
        <f>G317</f>
        <v>3047</v>
      </c>
    </row>
    <row r="326" spans="1:7" ht="63">
      <c r="A326" s="43" t="s">
        <v>318</v>
      </c>
      <c r="B326" s="8" t="s">
        <v>319</v>
      </c>
      <c r="C326" s="83"/>
      <c r="D326" s="83"/>
      <c r="E326" s="83"/>
      <c r="F326" s="3"/>
      <c r="G326" s="68">
        <f>G327+G353+G374</f>
        <v>58528.7</v>
      </c>
    </row>
    <row r="327" spans="1:7" ht="78.75">
      <c r="A327" s="43" t="s">
        <v>320</v>
      </c>
      <c r="B327" s="8" t="s">
        <v>321</v>
      </c>
      <c r="C327" s="83"/>
      <c r="D327" s="83"/>
      <c r="E327" s="83"/>
      <c r="F327" s="3"/>
      <c r="G327" s="68">
        <f>G328</f>
        <v>16445.6</v>
      </c>
    </row>
    <row r="328" spans="1:7" ht="15.75">
      <c r="A328" s="31" t="s">
        <v>315</v>
      </c>
      <c r="B328" s="42" t="s">
        <v>321</v>
      </c>
      <c r="C328" s="42" t="s">
        <v>316</v>
      </c>
      <c r="D328" s="83"/>
      <c r="E328" s="83"/>
      <c r="F328" s="3"/>
      <c r="G328" s="11">
        <f>G329</f>
        <v>16445.6</v>
      </c>
    </row>
    <row r="329" spans="1:7" ht="15.75">
      <c r="A329" s="31" t="s">
        <v>478</v>
      </c>
      <c r="B329" s="42" t="s">
        <v>321</v>
      </c>
      <c r="C329" s="42" t="s">
        <v>316</v>
      </c>
      <c r="D329" s="42" t="s">
        <v>267</v>
      </c>
      <c r="E329" s="83"/>
      <c r="F329" s="3"/>
      <c r="G329" s="11">
        <f>G330+G345</f>
        <v>16445.6</v>
      </c>
    </row>
    <row r="330" spans="1:7" ht="63">
      <c r="A330" s="31" t="s">
        <v>322</v>
      </c>
      <c r="B330" s="42" t="s">
        <v>323</v>
      </c>
      <c r="C330" s="42" t="s">
        <v>316</v>
      </c>
      <c r="D330" s="42" t="s">
        <v>267</v>
      </c>
      <c r="E330" s="83"/>
      <c r="F330" s="3"/>
      <c r="G330" s="11">
        <f>G331</f>
        <v>16395.6</v>
      </c>
    </row>
    <row r="331" spans="1:7" ht="63">
      <c r="A331" s="31" t="s">
        <v>324</v>
      </c>
      <c r="B331" s="42" t="s">
        <v>323</v>
      </c>
      <c r="C331" s="42" t="s">
        <v>316</v>
      </c>
      <c r="D331" s="42" t="s">
        <v>267</v>
      </c>
      <c r="E331" s="42" t="s">
        <v>325</v>
      </c>
      <c r="F331" s="3"/>
      <c r="G331" s="11">
        <f>G332</f>
        <v>16395.6</v>
      </c>
    </row>
    <row r="332" spans="1:7" ht="15.75">
      <c r="A332" s="31" t="s">
        <v>326</v>
      </c>
      <c r="B332" s="42" t="s">
        <v>323</v>
      </c>
      <c r="C332" s="42" t="s">
        <v>316</v>
      </c>
      <c r="D332" s="42" t="s">
        <v>267</v>
      </c>
      <c r="E332" s="42" t="s">
        <v>327</v>
      </c>
      <c r="F332" s="3"/>
      <c r="G332" s="7">
        <f>'Прил.№4 ведомств.'!G289</f>
        <v>16395.6</v>
      </c>
    </row>
    <row r="333" spans="1:7" ht="63" hidden="1">
      <c r="A333" s="31" t="s">
        <v>328</v>
      </c>
      <c r="B333" s="42" t="s">
        <v>727</v>
      </c>
      <c r="C333" s="42" t="s">
        <v>316</v>
      </c>
      <c r="D333" s="42" t="s">
        <v>267</v>
      </c>
      <c r="E333" s="42"/>
      <c r="F333" s="3"/>
      <c r="G333" s="11">
        <f>G334</f>
        <v>0</v>
      </c>
    </row>
    <row r="334" spans="1:7" ht="63" hidden="1">
      <c r="A334" s="31" t="s">
        <v>324</v>
      </c>
      <c r="B334" s="42" t="s">
        <v>727</v>
      </c>
      <c r="C334" s="42" t="s">
        <v>316</v>
      </c>
      <c r="D334" s="42" t="s">
        <v>267</v>
      </c>
      <c r="E334" s="42" t="s">
        <v>325</v>
      </c>
      <c r="F334" s="3"/>
      <c r="G334" s="11">
        <f>G335</f>
        <v>0</v>
      </c>
    </row>
    <row r="335" spans="1:7" ht="15.75" hidden="1">
      <c r="A335" s="31" t="s">
        <v>326</v>
      </c>
      <c r="B335" s="42" t="s">
        <v>727</v>
      </c>
      <c r="C335" s="42" t="s">
        <v>316</v>
      </c>
      <c r="D335" s="42" t="s">
        <v>267</v>
      </c>
      <c r="E335" s="42" t="s">
        <v>327</v>
      </c>
      <c r="F335" s="3"/>
      <c r="G335" s="11"/>
    </row>
    <row r="336" spans="1:7" ht="63" hidden="1">
      <c r="A336" s="47" t="s">
        <v>313</v>
      </c>
      <c r="B336" s="42" t="s">
        <v>727</v>
      </c>
      <c r="C336" s="42" t="s">
        <v>316</v>
      </c>
      <c r="D336" s="42" t="s">
        <v>267</v>
      </c>
      <c r="E336" s="42"/>
      <c r="F336" s="2">
        <v>903</v>
      </c>
      <c r="G336" s="11">
        <v>0</v>
      </c>
    </row>
    <row r="337" spans="1:7" ht="47.25" hidden="1">
      <c r="A337" s="31" t="s">
        <v>330</v>
      </c>
      <c r="B337" s="42" t="s">
        <v>728</v>
      </c>
      <c r="C337" s="42" t="s">
        <v>316</v>
      </c>
      <c r="D337" s="42" t="s">
        <v>267</v>
      </c>
      <c r="E337" s="42"/>
      <c r="F337" s="3"/>
      <c r="G337" s="11">
        <f>G338</f>
        <v>0</v>
      </c>
    </row>
    <row r="338" spans="1:7" ht="63" hidden="1">
      <c r="A338" s="31" t="s">
        <v>324</v>
      </c>
      <c r="B338" s="42" t="s">
        <v>728</v>
      </c>
      <c r="C338" s="42" t="s">
        <v>316</v>
      </c>
      <c r="D338" s="42" t="s">
        <v>267</v>
      </c>
      <c r="E338" s="42" t="s">
        <v>325</v>
      </c>
      <c r="F338" s="3"/>
      <c r="G338" s="11">
        <f>G339</f>
        <v>0</v>
      </c>
    </row>
    <row r="339" spans="1:7" ht="15.75" hidden="1">
      <c r="A339" s="31" t="s">
        <v>326</v>
      </c>
      <c r="B339" s="42" t="s">
        <v>728</v>
      </c>
      <c r="C339" s="42" t="s">
        <v>316</v>
      </c>
      <c r="D339" s="42" t="s">
        <v>267</v>
      </c>
      <c r="E339" s="42" t="s">
        <v>327</v>
      </c>
      <c r="F339" s="3"/>
      <c r="G339" s="11"/>
    </row>
    <row r="340" spans="1:7" ht="63" hidden="1">
      <c r="A340" s="47" t="s">
        <v>313</v>
      </c>
      <c r="B340" s="42" t="s">
        <v>728</v>
      </c>
      <c r="C340" s="42" t="s">
        <v>316</v>
      </c>
      <c r="D340" s="42" t="s">
        <v>267</v>
      </c>
      <c r="E340" s="42"/>
      <c r="F340" s="2">
        <v>903</v>
      </c>
      <c r="G340" s="11">
        <v>0</v>
      </c>
    </row>
    <row r="341" spans="1:7" ht="31.5" hidden="1">
      <c r="A341" s="31" t="s">
        <v>332</v>
      </c>
      <c r="B341" s="42" t="s">
        <v>729</v>
      </c>
      <c r="C341" s="42" t="s">
        <v>316</v>
      </c>
      <c r="D341" s="42" t="s">
        <v>267</v>
      </c>
      <c r="E341" s="42"/>
      <c r="F341" s="3"/>
      <c r="G341" s="11">
        <f>G342</f>
        <v>0</v>
      </c>
    </row>
    <row r="342" spans="1:7" ht="69" customHeight="1" hidden="1">
      <c r="A342" s="31" t="s">
        <v>324</v>
      </c>
      <c r="B342" s="42" t="s">
        <v>729</v>
      </c>
      <c r="C342" s="42" t="s">
        <v>316</v>
      </c>
      <c r="D342" s="42" t="s">
        <v>267</v>
      </c>
      <c r="E342" s="42" t="s">
        <v>325</v>
      </c>
      <c r="F342" s="3"/>
      <c r="G342" s="11">
        <f>G343</f>
        <v>0</v>
      </c>
    </row>
    <row r="343" spans="1:7" ht="15.75" hidden="1">
      <c r="A343" s="31" t="s">
        <v>326</v>
      </c>
      <c r="B343" s="42" t="s">
        <v>729</v>
      </c>
      <c r="C343" s="42" t="s">
        <v>316</v>
      </c>
      <c r="D343" s="42" t="s">
        <v>267</v>
      </c>
      <c r="E343" s="42" t="s">
        <v>327</v>
      </c>
      <c r="F343" s="3"/>
      <c r="G343" s="11"/>
    </row>
    <row r="344" spans="1:7" ht="63" hidden="1">
      <c r="A344" s="47" t="s">
        <v>313</v>
      </c>
      <c r="B344" s="42" t="s">
        <v>729</v>
      </c>
      <c r="C344" s="42" t="s">
        <v>316</v>
      </c>
      <c r="D344" s="42" t="s">
        <v>267</v>
      </c>
      <c r="E344" s="42"/>
      <c r="F344" s="2">
        <v>903</v>
      </c>
      <c r="G344" s="11">
        <v>0</v>
      </c>
    </row>
    <row r="345" spans="1:7" ht="47.25">
      <c r="A345" s="31" t="s">
        <v>334</v>
      </c>
      <c r="B345" s="42" t="s">
        <v>335</v>
      </c>
      <c r="C345" s="42" t="s">
        <v>316</v>
      </c>
      <c r="D345" s="42" t="s">
        <v>267</v>
      </c>
      <c r="E345" s="42"/>
      <c r="F345" s="3"/>
      <c r="G345" s="11">
        <f>G346</f>
        <v>50</v>
      </c>
    </row>
    <row r="346" spans="1:7" ht="63">
      <c r="A346" s="31" t="s">
        <v>324</v>
      </c>
      <c r="B346" s="42" t="s">
        <v>335</v>
      </c>
      <c r="C346" s="42" t="s">
        <v>316</v>
      </c>
      <c r="D346" s="42" t="s">
        <v>267</v>
      </c>
      <c r="E346" s="42" t="s">
        <v>325</v>
      </c>
      <c r="F346" s="3"/>
      <c r="G346" s="11">
        <f>G347</f>
        <v>50</v>
      </c>
    </row>
    <row r="347" spans="1:7" ht="15.75">
      <c r="A347" s="31" t="s">
        <v>326</v>
      </c>
      <c r="B347" s="42" t="s">
        <v>335</v>
      </c>
      <c r="C347" s="42" t="s">
        <v>316</v>
      </c>
      <c r="D347" s="42" t="s">
        <v>267</v>
      </c>
      <c r="E347" s="42" t="s">
        <v>327</v>
      </c>
      <c r="F347" s="3"/>
      <c r="G347" s="7">
        <f>'Прил.№4 ведомств.'!G301</f>
        <v>50</v>
      </c>
    </row>
    <row r="348" spans="1:7" ht="63">
      <c r="A348" s="47" t="s">
        <v>313</v>
      </c>
      <c r="B348" s="42" t="s">
        <v>321</v>
      </c>
      <c r="C348" s="42" t="s">
        <v>316</v>
      </c>
      <c r="D348" s="42" t="s">
        <v>267</v>
      </c>
      <c r="E348" s="42"/>
      <c r="F348" s="2">
        <v>903</v>
      </c>
      <c r="G348" s="11">
        <f>G327</f>
        <v>16445.6</v>
      </c>
    </row>
    <row r="349" spans="1:7" ht="47.25" hidden="1">
      <c r="A349" s="31" t="s">
        <v>671</v>
      </c>
      <c r="B349" s="42" t="s">
        <v>672</v>
      </c>
      <c r="C349" s="42" t="s">
        <v>316</v>
      </c>
      <c r="D349" s="42" t="s">
        <v>265</v>
      </c>
      <c r="E349" s="42"/>
      <c r="F349" s="3"/>
      <c r="G349" s="11">
        <f>G350</f>
        <v>0</v>
      </c>
    </row>
    <row r="350" spans="1:7" ht="63" hidden="1">
      <c r="A350" s="31" t="s">
        <v>324</v>
      </c>
      <c r="B350" s="42" t="s">
        <v>672</v>
      </c>
      <c r="C350" s="42" t="s">
        <v>316</v>
      </c>
      <c r="D350" s="42" t="s">
        <v>265</v>
      </c>
      <c r="E350" s="42" t="s">
        <v>325</v>
      </c>
      <c r="F350" s="3"/>
      <c r="G350" s="11">
        <f>G351</f>
        <v>0</v>
      </c>
    </row>
    <row r="351" spans="1:7" ht="15.75" hidden="1">
      <c r="A351" s="31" t="s">
        <v>326</v>
      </c>
      <c r="B351" s="42" t="s">
        <v>672</v>
      </c>
      <c r="C351" s="42" t="s">
        <v>316</v>
      </c>
      <c r="D351" s="42" t="s">
        <v>265</v>
      </c>
      <c r="E351" s="42" t="s">
        <v>327</v>
      </c>
      <c r="F351" s="3"/>
      <c r="G351" s="11"/>
    </row>
    <row r="352" spans="1:7" ht="63" hidden="1">
      <c r="A352" s="47" t="s">
        <v>313</v>
      </c>
      <c r="B352" s="42" t="s">
        <v>672</v>
      </c>
      <c r="C352" s="42" t="s">
        <v>316</v>
      </c>
      <c r="D352" s="42" t="s">
        <v>265</v>
      </c>
      <c r="E352" s="83"/>
      <c r="F352" s="2">
        <v>903</v>
      </c>
      <c r="G352" s="11">
        <v>0</v>
      </c>
    </row>
    <row r="353" spans="1:7" ht="79.5" customHeight="1">
      <c r="A353" s="43" t="s">
        <v>353</v>
      </c>
      <c r="B353" s="8" t="s">
        <v>354</v>
      </c>
      <c r="C353" s="8"/>
      <c r="D353" s="8"/>
      <c r="E353" s="83"/>
      <c r="F353" s="3"/>
      <c r="G353" s="68">
        <f>G354</f>
        <v>25326.4</v>
      </c>
    </row>
    <row r="354" spans="1:7" ht="15.75">
      <c r="A354" s="84" t="s">
        <v>350</v>
      </c>
      <c r="B354" s="42" t="s">
        <v>354</v>
      </c>
      <c r="C354" s="42" t="s">
        <v>351</v>
      </c>
      <c r="D354" s="84"/>
      <c r="E354" s="84"/>
      <c r="F354" s="2"/>
      <c r="G354" s="11">
        <f>G355</f>
        <v>25326.4</v>
      </c>
    </row>
    <row r="355" spans="1:7" ht="15.75">
      <c r="A355" s="84" t="s">
        <v>352</v>
      </c>
      <c r="B355" s="42" t="s">
        <v>354</v>
      </c>
      <c r="C355" s="42" t="s">
        <v>351</v>
      </c>
      <c r="D355" s="42" t="s">
        <v>170</v>
      </c>
      <c r="E355" s="84"/>
      <c r="F355" s="2"/>
      <c r="G355" s="11">
        <f>G356+G363+G366</f>
        <v>25326.4</v>
      </c>
    </row>
    <row r="356" spans="1:7" ht="63">
      <c r="A356" s="31" t="s">
        <v>355</v>
      </c>
      <c r="B356" s="42" t="s">
        <v>356</v>
      </c>
      <c r="C356" s="42" t="s">
        <v>351</v>
      </c>
      <c r="D356" s="42" t="s">
        <v>170</v>
      </c>
      <c r="E356" s="84"/>
      <c r="F356" s="2"/>
      <c r="G356" s="11">
        <f>G357</f>
        <v>23654.800000000003</v>
      </c>
    </row>
    <row r="357" spans="1:7" ht="63">
      <c r="A357" s="31" t="s">
        <v>324</v>
      </c>
      <c r="B357" s="42" t="s">
        <v>356</v>
      </c>
      <c r="C357" s="42" t="s">
        <v>351</v>
      </c>
      <c r="D357" s="42" t="s">
        <v>170</v>
      </c>
      <c r="E357" s="42" t="s">
        <v>325</v>
      </c>
      <c r="F357" s="2"/>
      <c r="G357" s="11">
        <f>G358</f>
        <v>23654.800000000003</v>
      </c>
    </row>
    <row r="358" spans="1:7" ht="15.75">
      <c r="A358" s="31" t="s">
        <v>326</v>
      </c>
      <c r="B358" s="42" t="s">
        <v>356</v>
      </c>
      <c r="C358" s="42" t="s">
        <v>351</v>
      </c>
      <c r="D358" s="42" t="s">
        <v>170</v>
      </c>
      <c r="E358" s="42" t="s">
        <v>327</v>
      </c>
      <c r="F358" s="2"/>
      <c r="G358" s="11">
        <f>'Прил.№4 ведомств.'!G334</f>
        <v>23654.800000000003</v>
      </c>
    </row>
    <row r="359" spans="1:7" ht="63" hidden="1">
      <c r="A359" s="31" t="s">
        <v>328</v>
      </c>
      <c r="B359" s="42" t="s">
        <v>676</v>
      </c>
      <c r="C359" s="42" t="s">
        <v>351</v>
      </c>
      <c r="D359" s="42" t="s">
        <v>170</v>
      </c>
      <c r="E359" s="42"/>
      <c r="F359" s="2"/>
      <c r="G359" s="11">
        <f>G360</f>
        <v>0</v>
      </c>
    </row>
    <row r="360" spans="1:7" ht="63" hidden="1">
      <c r="A360" s="31" t="s">
        <v>324</v>
      </c>
      <c r="B360" s="42" t="s">
        <v>676</v>
      </c>
      <c r="C360" s="42" t="s">
        <v>351</v>
      </c>
      <c r="D360" s="42" t="s">
        <v>170</v>
      </c>
      <c r="E360" s="42" t="s">
        <v>325</v>
      </c>
      <c r="F360" s="2"/>
      <c r="G360" s="11">
        <f>G361</f>
        <v>0</v>
      </c>
    </row>
    <row r="361" spans="1:7" ht="15.75" hidden="1">
      <c r="A361" s="31" t="s">
        <v>326</v>
      </c>
      <c r="B361" s="42" t="s">
        <v>676</v>
      </c>
      <c r="C361" s="42" t="s">
        <v>351</v>
      </c>
      <c r="D361" s="42" t="s">
        <v>170</v>
      </c>
      <c r="E361" s="42" t="s">
        <v>327</v>
      </c>
      <c r="F361" s="2"/>
      <c r="G361" s="11"/>
    </row>
    <row r="362" spans="1:7" ht="63" hidden="1">
      <c r="A362" s="47" t="s">
        <v>313</v>
      </c>
      <c r="B362" s="42" t="s">
        <v>676</v>
      </c>
      <c r="C362" s="42" t="s">
        <v>351</v>
      </c>
      <c r="D362" s="42" t="s">
        <v>170</v>
      </c>
      <c r="E362" s="42"/>
      <c r="F362" s="2">
        <v>903</v>
      </c>
      <c r="G362" s="11">
        <v>0</v>
      </c>
    </row>
    <row r="363" spans="1:7" ht="31.5">
      <c r="A363" s="31" t="s">
        <v>680</v>
      </c>
      <c r="B363" s="42" t="s">
        <v>358</v>
      </c>
      <c r="C363" s="42" t="s">
        <v>351</v>
      </c>
      <c r="D363" s="42" t="s">
        <v>170</v>
      </c>
      <c r="E363" s="42"/>
      <c r="F363" s="2"/>
      <c r="G363" s="11">
        <f>G364</f>
        <v>142.1</v>
      </c>
    </row>
    <row r="364" spans="1:7" ht="71.25" customHeight="1">
      <c r="A364" s="31" t="s">
        <v>324</v>
      </c>
      <c r="B364" s="42" t="s">
        <v>358</v>
      </c>
      <c r="C364" s="42" t="s">
        <v>351</v>
      </c>
      <c r="D364" s="42" t="s">
        <v>170</v>
      </c>
      <c r="E364" s="42" t="s">
        <v>325</v>
      </c>
      <c r="F364" s="2"/>
      <c r="G364" s="11">
        <f>G365</f>
        <v>142.1</v>
      </c>
    </row>
    <row r="365" spans="1:7" ht="15.75">
      <c r="A365" s="31" t="s">
        <v>326</v>
      </c>
      <c r="B365" s="42" t="s">
        <v>358</v>
      </c>
      <c r="C365" s="42" t="s">
        <v>351</v>
      </c>
      <c r="D365" s="42" t="s">
        <v>170</v>
      </c>
      <c r="E365" s="42" t="s">
        <v>327</v>
      </c>
      <c r="F365" s="2"/>
      <c r="G365" s="11">
        <f>'Прил.№4 ведомств.'!G340</f>
        <v>142.1</v>
      </c>
    </row>
    <row r="366" spans="1:7" ht="31.5">
      <c r="A366" s="31" t="s">
        <v>359</v>
      </c>
      <c r="B366" s="42" t="s">
        <v>360</v>
      </c>
      <c r="C366" s="42" t="s">
        <v>351</v>
      </c>
      <c r="D366" s="42" t="s">
        <v>170</v>
      </c>
      <c r="E366" s="42"/>
      <c r="F366" s="2"/>
      <c r="G366" s="11">
        <f>G367</f>
        <v>1529.5</v>
      </c>
    </row>
    <row r="367" spans="1:7" ht="63">
      <c r="A367" s="31" t="s">
        <v>324</v>
      </c>
      <c r="B367" s="42" t="s">
        <v>360</v>
      </c>
      <c r="C367" s="42" t="s">
        <v>351</v>
      </c>
      <c r="D367" s="42" t="s">
        <v>170</v>
      </c>
      <c r="E367" s="42" t="s">
        <v>325</v>
      </c>
      <c r="F367" s="2"/>
      <c r="G367" s="11">
        <f>G368</f>
        <v>1529.5</v>
      </c>
    </row>
    <row r="368" spans="1:7" ht="15.75">
      <c r="A368" s="31" t="s">
        <v>326</v>
      </c>
      <c r="B368" s="42" t="s">
        <v>360</v>
      </c>
      <c r="C368" s="42" t="s">
        <v>351</v>
      </c>
      <c r="D368" s="42" t="s">
        <v>170</v>
      </c>
      <c r="E368" s="42" t="s">
        <v>327</v>
      </c>
      <c r="F368" s="2"/>
      <c r="G368" s="11">
        <f>'Прил.№4 ведомств.'!G343</f>
        <v>1529.5</v>
      </c>
    </row>
    <row r="369" spans="1:7" ht="63">
      <c r="A369" s="47" t="s">
        <v>313</v>
      </c>
      <c r="B369" s="42" t="s">
        <v>354</v>
      </c>
      <c r="C369" s="42" t="s">
        <v>351</v>
      </c>
      <c r="D369" s="42" t="s">
        <v>170</v>
      </c>
      <c r="E369" s="42"/>
      <c r="F369" s="2">
        <v>903</v>
      </c>
      <c r="G369" s="11">
        <f>G353</f>
        <v>25326.4</v>
      </c>
    </row>
    <row r="370" spans="1:7" ht="31.5" hidden="1">
      <c r="A370" s="31" t="s">
        <v>336</v>
      </c>
      <c r="B370" s="42" t="s">
        <v>679</v>
      </c>
      <c r="C370" s="42" t="s">
        <v>351</v>
      </c>
      <c r="D370" s="42" t="s">
        <v>170</v>
      </c>
      <c r="E370" s="42"/>
      <c r="F370" s="2"/>
      <c r="G370" s="11">
        <f>G371</f>
        <v>0</v>
      </c>
    </row>
    <row r="371" spans="1:7" ht="63" hidden="1">
      <c r="A371" s="31" t="s">
        <v>324</v>
      </c>
      <c r="B371" s="42" t="s">
        <v>679</v>
      </c>
      <c r="C371" s="42" t="s">
        <v>351</v>
      </c>
      <c r="D371" s="42" t="s">
        <v>170</v>
      </c>
      <c r="E371" s="42" t="s">
        <v>325</v>
      </c>
      <c r="F371" s="2"/>
      <c r="G371" s="11">
        <f>G372</f>
        <v>0</v>
      </c>
    </row>
    <row r="372" spans="1:7" ht="15.75" hidden="1">
      <c r="A372" s="31" t="s">
        <v>326</v>
      </c>
      <c r="B372" s="42" t="s">
        <v>679</v>
      </c>
      <c r="C372" s="42" t="s">
        <v>351</v>
      </c>
      <c r="D372" s="42" t="s">
        <v>170</v>
      </c>
      <c r="E372" s="42" t="s">
        <v>327</v>
      </c>
      <c r="F372" s="2"/>
      <c r="G372" s="11"/>
    </row>
    <row r="373" spans="1:7" ht="63" hidden="1">
      <c r="A373" s="47" t="s">
        <v>313</v>
      </c>
      <c r="B373" s="42" t="s">
        <v>679</v>
      </c>
      <c r="C373" s="42" t="s">
        <v>351</v>
      </c>
      <c r="D373" s="42" t="s">
        <v>170</v>
      </c>
      <c r="E373" s="42"/>
      <c r="F373" s="2">
        <v>903</v>
      </c>
      <c r="G373" s="11">
        <v>0</v>
      </c>
    </row>
    <row r="374" spans="1:7" ht="63">
      <c r="A374" s="43" t="s">
        <v>364</v>
      </c>
      <c r="B374" s="8" t="s">
        <v>365</v>
      </c>
      <c r="C374" s="8"/>
      <c r="D374" s="8"/>
      <c r="E374" s="8"/>
      <c r="F374" s="86"/>
      <c r="G374" s="68">
        <f>G375</f>
        <v>16756.7</v>
      </c>
    </row>
    <row r="375" spans="1:7" ht="15.75">
      <c r="A375" s="84" t="s">
        <v>350</v>
      </c>
      <c r="B375" s="42" t="s">
        <v>365</v>
      </c>
      <c r="C375" s="42" t="s">
        <v>351</v>
      </c>
      <c r="D375" s="42"/>
      <c r="E375" s="8"/>
      <c r="F375" s="86"/>
      <c r="G375" s="11">
        <f>G376</f>
        <v>16756.7</v>
      </c>
    </row>
    <row r="376" spans="1:7" ht="15.75">
      <c r="A376" s="84" t="s">
        <v>352</v>
      </c>
      <c r="B376" s="42" t="s">
        <v>365</v>
      </c>
      <c r="C376" s="42" t="s">
        <v>351</v>
      </c>
      <c r="D376" s="42" t="s">
        <v>170</v>
      </c>
      <c r="E376" s="8"/>
      <c r="F376" s="86"/>
      <c r="G376" s="11">
        <f>G377+G396+G401+G380</f>
        <v>16756.7</v>
      </c>
    </row>
    <row r="377" spans="1:7" ht="63">
      <c r="A377" s="31" t="s">
        <v>355</v>
      </c>
      <c r="B377" s="42" t="s">
        <v>366</v>
      </c>
      <c r="C377" s="42" t="s">
        <v>351</v>
      </c>
      <c r="D377" s="42" t="s">
        <v>170</v>
      </c>
      <c r="E377" s="42"/>
      <c r="F377" s="85"/>
      <c r="G377" s="11">
        <f>G378</f>
        <v>16655.2</v>
      </c>
    </row>
    <row r="378" spans="1:7" ht="63">
      <c r="A378" s="31" t="s">
        <v>324</v>
      </c>
      <c r="B378" s="42" t="s">
        <v>366</v>
      </c>
      <c r="C378" s="42" t="s">
        <v>351</v>
      </c>
      <c r="D378" s="42" t="s">
        <v>170</v>
      </c>
      <c r="E378" s="42" t="s">
        <v>325</v>
      </c>
      <c r="F378" s="85"/>
      <c r="G378" s="11">
        <f>G379</f>
        <v>16655.2</v>
      </c>
    </row>
    <row r="379" spans="1:7" ht="15.75">
      <c r="A379" s="31" t="s">
        <v>326</v>
      </c>
      <c r="B379" s="42" t="s">
        <v>366</v>
      </c>
      <c r="C379" s="42" t="s">
        <v>351</v>
      </c>
      <c r="D379" s="42" t="s">
        <v>170</v>
      </c>
      <c r="E379" s="42" t="s">
        <v>327</v>
      </c>
      <c r="F379" s="85"/>
      <c r="G379" s="7">
        <f>'Прил.№4 ведомств.'!G363</f>
        <v>16655.2</v>
      </c>
    </row>
    <row r="380" spans="1:7" ht="63">
      <c r="A380" s="31" t="s">
        <v>328</v>
      </c>
      <c r="B380" s="42" t="s">
        <v>369</v>
      </c>
      <c r="C380" s="42" t="s">
        <v>351</v>
      </c>
      <c r="D380" s="42" t="s">
        <v>170</v>
      </c>
      <c r="E380" s="42"/>
      <c r="F380" s="85"/>
      <c r="G380" s="11">
        <f>G381</f>
        <v>96.1</v>
      </c>
    </row>
    <row r="381" spans="1:7" ht="63">
      <c r="A381" s="31" t="s">
        <v>324</v>
      </c>
      <c r="B381" s="42" t="s">
        <v>369</v>
      </c>
      <c r="C381" s="42" t="s">
        <v>351</v>
      </c>
      <c r="D381" s="42" t="s">
        <v>170</v>
      </c>
      <c r="E381" s="42" t="s">
        <v>325</v>
      </c>
      <c r="F381" s="85"/>
      <c r="G381" s="11">
        <f>G382</f>
        <v>96.1</v>
      </c>
    </row>
    <row r="382" spans="1:7" ht="15.75">
      <c r="A382" s="31" t="s">
        <v>326</v>
      </c>
      <c r="B382" s="42" t="s">
        <v>369</v>
      </c>
      <c r="C382" s="42" t="s">
        <v>351</v>
      </c>
      <c r="D382" s="42" t="s">
        <v>170</v>
      </c>
      <c r="E382" s="42" t="s">
        <v>327</v>
      </c>
      <c r="F382" s="85"/>
      <c r="G382" s="11">
        <f>'Прил.№4 ведомств.'!G337</f>
        <v>96.1</v>
      </c>
    </row>
    <row r="383" spans="1:7" ht="63" hidden="1">
      <c r="A383" s="47" t="s">
        <v>313</v>
      </c>
      <c r="B383" s="42" t="s">
        <v>730</v>
      </c>
      <c r="C383" s="42" t="s">
        <v>351</v>
      </c>
      <c r="D383" s="42" t="s">
        <v>170</v>
      </c>
      <c r="E383" s="42"/>
      <c r="F383" s="2">
        <v>903</v>
      </c>
      <c r="G383" s="11">
        <f>G380</f>
        <v>96.1</v>
      </c>
    </row>
    <row r="384" spans="1:7" ht="47.25" hidden="1">
      <c r="A384" s="26" t="s">
        <v>330</v>
      </c>
      <c r="B384" s="42" t="s">
        <v>370</v>
      </c>
      <c r="C384" s="42" t="s">
        <v>351</v>
      </c>
      <c r="D384" s="42" t="s">
        <v>170</v>
      </c>
      <c r="E384" s="42"/>
      <c r="F384" s="85"/>
      <c r="G384" s="11">
        <f>G385</f>
        <v>0</v>
      </c>
    </row>
    <row r="385" spans="1:7" ht="63" hidden="1">
      <c r="A385" s="31" t="s">
        <v>324</v>
      </c>
      <c r="B385" s="42" t="s">
        <v>370</v>
      </c>
      <c r="C385" s="42" t="s">
        <v>351</v>
      </c>
      <c r="D385" s="42" t="s">
        <v>170</v>
      </c>
      <c r="E385" s="42" t="s">
        <v>325</v>
      </c>
      <c r="F385" s="85"/>
      <c r="G385" s="11">
        <f>G386</f>
        <v>0</v>
      </c>
    </row>
    <row r="386" spans="1:7" ht="35.25" customHeight="1" hidden="1">
      <c r="A386" s="31" t="s">
        <v>326</v>
      </c>
      <c r="B386" s="42" t="s">
        <v>370</v>
      </c>
      <c r="C386" s="42" t="s">
        <v>351</v>
      </c>
      <c r="D386" s="42" t="s">
        <v>170</v>
      </c>
      <c r="E386" s="42" t="s">
        <v>327</v>
      </c>
      <c r="F386" s="85"/>
      <c r="G386" s="11"/>
    </row>
    <row r="387" spans="1:7" ht="63" hidden="1">
      <c r="A387" s="47" t="s">
        <v>313</v>
      </c>
      <c r="B387" s="42" t="s">
        <v>370</v>
      </c>
      <c r="C387" s="42" t="s">
        <v>351</v>
      </c>
      <c r="D387" s="42" t="s">
        <v>170</v>
      </c>
      <c r="E387" s="42"/>
      <c r="F387" s="2">
        <v>903</v>
      </c>
      <c r="G387" s="11">
        <f>G384</f>
        <v>0</v>
      </c>
    </row>
    <row r="388" spans="1:7" ht="31.5" hidden="1">
      <c r="A388" s="31" t="s">
        <v>731</v>
      </c>
      <c r="B388" s="42" t="s">
        <v>371</v>
      </c>
      <c r="C388" s="42" t="s">
        <v>351</v>
      </c>
      <c r="D388" s="42" t="s">
        <v>170</v>
      </c>
      <c r="E388" s="42"/>
      <c r="F388" s="85"/>
      <c r="G388" s="11">
        <f>G389</f>
        <v>0</v>
      </c>
    </row>
    <row r="389" spans="1:7" ht="63" hidden="1">
      <c r="A389" s="31" t="s">
        <v>324</v>
      </c>
      <c r="B389" s="42" t="s">
        <v>371</v>
      </c>
      <c r="C389" s="42" t="s">
        <v>351</v>
      </c>
      <c r="D389" s="42" t="s">
        <v>170</v>
      </c>
      <c r="E389" s="42" t="s">
        <v>325</v>
      </c>
      <c r="F389" s="85"/>
      <c r="G389" s="11">
        <f>G390</f>
        <v>0</v>
      </c>
    </row>
    <row r="390" spans="1:7" ht="15.75" hidden="1">
      <c r="A390" s="31" t="s">
        <v>326</v>
      </c>
      <c r="B390" s="42" t="s">
        <v>371</v>
      </c>
      <c r="C390" s="42" t="s">
        <v>351</v>
      </c>
      <c r="D390" s="42" t="s">
        <v>170</v>
      </c>
      <c r="E390" s="42" t="s">
        <v>327</v>
      </c>
      <c r="F390" s="85"/>
      <c r="G390" s="11"/>
    </row>
    <row r="391" spans="1:7" ht="63" hidden="1">
      <c r="A391" s="47" t="s">
        <v>313</v>
      </c>
      <c r="B391" s="42" t="s">
        <v>371</v>
      </c>
      <c r="C391" s="42" t="s">
        <v>351</v>
      </c>
      <c r="D391" s="42" t="s">
        <v>170</v>
      </c>
      <c r="E391" s="42"/>
      <c r="F391" s="2">
        <v>903</v>
      </c>
      <c r="G391" s="11">
        <f>G388</f>
        <v>0</v>
      </c>
    </row>
    <row r="392" spans="1:7" ht="31.5" hidden="1">
      <c r="A392" s="31" t="s">
        <v>336</v>
      </c>
      <c r="B392" s="42" t="s">
        <v>684</v>
      </c>
      <c r="C392" s="42" t="s">
        <v>351</v>
      </c>
      <c r="D392" s="42" t="s">
        <v>170</v>
      </c>
      <c r="E392" s="42"/>
      <c r="F392" s="85"/>
      <c r="G392" s="11">
        <f>G393</f>
        <v>0</v>
      </c>
    </row>
    <row r="393" spans="1:7" ht="63" hidden="1">
      <c r="A393" s="31" t="s">
        <v>324</v>
      </c>
      <c r="B393" s="42" t="s">
        <v>684</v>
      </c>
      <c r="C393" s="42" t="s">
        <v>351</v>
      </c>
      <c r="D393" s="42" t="s">
        <v>170</v>
      </c>
      <c r="E393" s="42" t="s">
        <v>325</v>
      </c>
      <c r="F393" s="85"/>
      <c r="G393" s="11">
        <f>G394</f>
        <v>0</v>
      </c>
    </row>
    <row r="394" spans="1:7" ht="15.75" hidden="1">
      <c r="A394" s="31" t="s">
        <v>326</v>
      </c>
      <c r="B394" s="42" t="s">
        <v>684</v>
      </c>
      <c r="C394" s="42" t="s">
        <v>351</v>
      </c>
      <c r="D394" s="42" t="s">
        <v>170</v>
      </c>
      <c r="E394" s="42" t="s">
        <v>327</v>
      </c>
      <c r="F394" s="85"/>
      <c r="G394" s="11"/>
    </row>
    <row r="395" spans="1:7" ht="63" hidden="1">
      <c r="A395" s="47" t="s">
        <v>313</v>
      </c>
      <c r="B395" s="42" t="s">
        <v>684</v>
      </c>
      <c r="C395" s="42" t="s">
        <v>351</v>
      </c>
      <c r="D395" s="42" t="s">
        <v>170</v>
      </c>
      <c r="E395" s="42"/>
      <c r="F395" s="2">
        <v>903</v>
      </c>
      <c r="G395" s="11">
        <f>G392</f>
        <v>0</v>
      </c>
    </row>
    <row r="396" spans="1:7" ht="31.5">
      <c r="A396" s="87" t="s">
        <v>732</v>
      </c>
      <c r="B396" s="42" t="s">
        <v>368</v>
      </c>
      <c r="C396" s="42" t="s">
        <v>351</v>
      </c>
      <c r="D396" s="42" t="s">
        <v>170</v>
      </c>
      <c r="E396" s="42"/>
      <c r="F396" s="2"/>
      <c r="G396" s="11">
        <f>G397+G399</f>
        <v>5</v>
      </c>
    </row>
    <row r="397" spans="1:7" ht="47.25" hidden="1">
      <c r="A397" s="31" t="s">
        <v>183</v>
      </c>
      <c r="B397" s="42" t="s">
        <v>368</v>
      </c>
      <c r="C397" s="42" t="s">
        <v>351</v>
      </c>
      <c r="D397" s="42" t="s">
        <v>170</v>
      </c>
      <c r="E397" s="42" t="s">
        <v>184</v>
      </c>
      <c r="F397" s="2"/>
      <c r="G397" s="11">
        <f>G398</f>
        <v>0</v>
      </c>
    </row>
    <row r="398" spans="1:7" ht="47.25" hidden="1">
      <c r="A398" s="31" t="s">
        <v>185</v>
      </c>
      <c r="B398" s="42" t="s">
        <v>368</v>
      </c>
      <c r="C398" s="42" t="s">
        <v>351</v>
      </c>
      <c r="D398" s="42" t="s">
        <v>170</v>
      </c>
      <c r="E398" s="42" t="s">
        <v>186</v>
      </c>
      <c r="F398" s="2"/>
      <c r="G398" s="11">
        <v>0</v>
      </c>
    </row>
    <row r="399" spans="1:7" ht="62.25" customHeight="1">
      <c r="A399" s="31" t="s">
        <v>324</v>
      </c>
      <c r="B399" s="42" t="s">
        <v>368</v>
      </c>
      <c r="C399" s="42" t="s">
        <v>351</v>
      </c>
      <c r="D399" s="42" t="s">
        <v>170</v>
      </c>
      <c r="E399" s="42" t="s">
        <v>325</v>
      </c>
      <c r="F399" s="2"/>
      <c r="G399" s="11">
        <f>G400</f>
        <v>5</v>
      </c>
    </row>
    <row r="400" spans="1:7" ht="15.75">
      <c r="A400" s="31" t="s">
        <v>326</v>
      </c>
      <c r="B400" s="42" t="s">
        <v>368</v>
      </c>
      <c r="C400" s="42" t="s">
        <v>351</v>
      </c>
      <c r="D400" s="42" t="s">
        <v>170</v>
      </c>
      <c r="E400" s="42" t="s">
        <v>327</v>
      </c>
      <c r="F400" s="2"/>
      <c r="G400" s="11">
        <f>'Прил.№4 ведомств.'!G368</f>
        <v>5</v>
      </c>
    </row>
    <row r="401" spans="1:7" ht="15.75">
      <c r="A401" s="26" t="s">
        <v>766</v>
      </c>
      <c r="B401" s="21" t="s">
        <v>767</v>
      </c>
      <c r="C401" s="42" t="s">
        <v>351</v>
      </c>
      <c r="D401" s="42" t="s">
        <v>170</v>
      </c>
      <c r="E401" s="42"/>
      <c r="F401" s="2"/>
      <c r="G401" s="11">
        <f>G402</f>
        <v>0.4</v>
      </c>
    </row>
    <row r="402" spans="1:7" ht="63">
      <c r="A402" s="26" t="s">
        <v>324</v>
      </c>
      <c r="B402" s="21" t="s">
        <v>767</v>
      </c>
      <c r="C402" s="42" t="s">
        <v>351</v>
      </c>
      <c r="D402" s="42" t="s">
        <v>170</v>
      </c>
      <c r="E402" s="42" t="s">
        <v>325</v>
      </c>
      <c r="F402" s="2"/>
      <c r="G402" s="11">
        <f>G403</f>
        <v>0.4</v>
      </c>
    </row>
    <row r="403" spans="1:7" ht="15.75">
      <c r="A403" s="26" t="s">
        <v>326</v>
      </c>
      <c r="B403" s="21" t="s">
        <v>767</v>
      </c>
      <c r="C403" s="42" t="s">
        <v>351</v>
      </c>
      <c r="D403" s="42" t="s">
        <v>170</v>
      </c>
      <c r="E403" s="42" t="s">
        <v>327</v>
      </c>
      <c r="F403" s="2"/>
      <c r="G403" s="11">
        <f>'Прил.№4 ведомств.'!G371</f>
        <v>0.4</v>
      </c>
    </row>
    <row r="404" spans="1:7" ht="63">
      <c r="A404" s="47" t="s">
        <v>313</v>
      </c>
      <c r="B404" s="42" t="s">
        <v>365</v>
      </c>
      <c r="C404" s="42" t="s">
        <v>351</v>
      </c>
      <c r="D404" s="42" t="s">
        <v>170</v>
      </c>
      <c r="E404" s="42"/>
      <c r="F404" s="2">
        <v>903</v>
      </c>
      <c r="G404" s="11">
        <f>G374</f>
        <v>16756.7</v>
      </c>
    </row>
    <row r="405" spans="1:7" ht="47.25" hidden="1">
      <c r="A405" s="70" t="s">
        <v>373</v>
      </c>
      <c r="B405" s="42" t="s">
        <v>374</v>
      </c>
      <c r="C405" s="42" t="s">
        <v>351</v>
      </c>
      <c r="D405" s="42" t="s">
        <v>170</v>
      </c>
      <c r="E405" s="42"/>
      <c r="F405" s="2"/>
      <c r="G405" s="11">
        <f>G406</f>
        <v>0</v>
      </c>
    </row>
    <row r="406" spans="1:7" ht="63" hidden="1">
      <c r="A406" s="31" t="s">
        <v>324</v>
      </c>
      <c r="B406" s="42" t="s">
        <v>374</v>
      </c>
      <c r="C406" s="42" t="s">
        <v>351</v>
      </c>
      <c r="D406" s="42" t="s">
        <v>170</v>
      </c>
      <c r="E406" s="42" t="s">
        <v>325</v>
      </c>
      <c r="F406" s="2"/>
      <c r="G406" s="11"/>
    </row>
    <row r="407" spans="1:7" ht="15.75" hidden="1">
      <c r="A407" s="31" t="s">
        <v>326</v>
      </c>
      <c r="B407" s="42" t="s">
        <v>374</v>
      </c>
      <c r="C407" s="42" t="s">
        <v>351</v>
      </c>
      <c r="D407" s="42" t="s">
        <v>170</v>
      </c>
      <c r="E407" s="42" t="s">
        <v>327</v>
      </c>
      <c r="F407" s="2"/>
      <c r="G407" s="11"/>
    </row>
    <row r="408" spans="1:7" ht="63" hidden="1">
      <c r="A408" s="47" t="s">
        <v>313</v>
      </c>
      <c r="B408" s="42" t="s">
        <v>374</v>
      </c>
      <c r="C408" s="42" t="s">
        <v>351</v>
      </c>
      <c r="D408" s="42" t="s">
        <v>170</v>
      </c>
      <c r="E408" s="42"/>
      <c r="F408" s="2">
        <v>903</v>
      </c>
      <c r="G408" s="11">
        <f>G407</f>
        <v>0</v>
      </c>
    </row>
    <row r="409" spans="1:7" ht="78.75">
      <c r="A409" s="43" t="s">
        <v>375</v>
      </c>
      <c r="B409" s="8" t="s">
        <v>376</v>
      </c>
      <c r="C409" s="83"/>
      <c r="D409" s="83"/>
      <c r="E409" s="83"/>
      <c r="F409" s="83"/>
      <c r="G409" s="68">
        <f>G410</f>
        <v>200</v>
      </c>
    </row>
    <row r="410" spans="1:7" ht="15.75">
      <c r="A410" s="84" t="s">
        <v>350</v>
      </c>
      <c r="B410" s="42" t="s">
        <v>376</v>
      </c>
      <c r="C410" s="42" t="s">
        <v>351</v>
      </c>
      <c r="D410" s="84"/>
      <c r="E410" s="84"/>
      <c r="F410" s="84"/>
      <c r="G410" s="11">
        <f>G411</f>
        <v>200</v>
      </c>
    </row>
    <row r="411" spans="1:7" ht="15.75">
      <c r="A411" s="84" t="s">
        <v>352</v>
      </c>
      <c r="B411" s="42" t="s">
        <v>376</v>
      </c>
      <c r="C411" s="42" t="s">
        <v>351</v>
      </c>
      <c r="D411" s="42" t="s">
        <v>170</v>
      </c>
      <c r="E411" s="84"/>
      <c r="F411" s="84"/>
      <c r="G411" s="11">
        <f>G412</f>
        <v>200</v>
      </c>
    </row>
    <row r="412" spans="1:7" ht="63">
      <c r="A412" s="31" t="s">
        <v>377</v>
      </c>
      <c r="B412" s="42" t="s">
        <v>378</v>
      </c>
      <c r="C412" s="42" t="s">
        <v>351</v>
      </c>
      <c r="D412" s="42" t="s">
        <v>170</v>
      </c>
      <c r="E412" s="84"/>
      <c r="F412" s="84"/>
      <c r="G412" s="11">
        <f>G413</f>
        <v>200</v>
      </c>
    </row>
    <row r="413" spans="1:7" ht="63">
      <c r="A413" s="26" t="s">
        <v>324</v>
      </c>
      <c r="B413" s="42" t="s">
        <v>378</v>
      </c>
      <c r="C413" s="42" t="s">
        <v>351</v>
      </c>
      <c r="D413" s="42" t="s">
        <v>170</v>
      </c>
      <c r="E413" s="42" t="s">
        <v>325</v>
      </c>
      <c r="F413" s="84"/>
      <c r="G413" s="11">
        <f>G414</f>
        <v>200</v>
      </c>
    </row>
    <row r="414" spans="1:7" ht="15.75">
      <c r="A414" s="26" t="s">
        <v>326</v>
      </c>
      <c r="B414" s="42" t="s">
        <v>378</v>
      </c>
      <c r="C414" s="42" t="s">
        <v>351</v>
      </c>
      <c r="D414" s="42" t="s">
        <v>170</v>
      </c>
      <c r="E414" s="42" t="s">
        <v>327</v>
      </c>
      <c r="F414" s="84"/>
      <c r="G414" s="11">
        <f>'Прил.№4 ведомств.'!G393</f>
        <v>200</v>
      </c>
    </row>
    <row r="415" spans="1:7" ht="63" hidden="1">
      <c r="A415" s="47" t="s">
        <v>733</v>
      </c>
      <c r="B415" s="42" t="s">
        <v>378</v>
      </c>
      <c r="C415" s="42" t="s">
        <v>351</v>
      </c>
      <c r="D415" s="42" t="s">
        <v>170</v>
      </c>
      <c r="E415" s="42"/>
      <c r="F415" s="84"/>
      <c r="G415" s="11">
        <f>G416</f>
        <v>0</v>
      </c>
    </row>
    <row r="416" spans="1:7" ht="63" hidden="1">
      <c r="A416" s="31" t="s">
        <v>324</v>
      </c>
      <c r="B416" s="42" t="s">
        <v>378</v>
      </c>
      <c r="C416" s="42" t="s">
        <v>351</v>
      </c>
      <c r="D416" s="42" t="s">
        <v>170</v>
      </c>
      <c r="E416" s="42" t="s">
        <v>325</v>
      </c>
      <c r="F416" s="84"/>
      <c r="G416" s="11">
        <f>G417</f>
        <v>0</v>
      </c>
    </row>
    <row r="417" spans="1:7" ht="15.75" hidden="1">
      <c r="A417" s="31" t="s">
        <v>326</v>
      </c>
      <c r="B417" s="42" t="s">
        <v>378</v>
      </c>
      <c r="C417" s="42" t="s">
        <v>351</v>
      </c>
      <c r="D417" s="42" t="s">
        <v>170</v>
      </c>
      <c r="E417" s="42" t="s">
        <v>327</v>
      </c>
      <c r="F417" s="84"/>
      <c r="G417" s="11"/>
    </row>
    <row r="418" spans="1:7" ht="63">
      <c r="A418" s="47" t="s">
        <v>313</v>
      </c>
      <c r="B418" s="42" t="s">
        <v>376</v>
      </c>
      <c r="C418" s="42" t="s">
        <v>351</v>
      </c>
      <c r="D418" s="42" t="s">
        <v>170</v>
      </c>
      <c r="E418" s="84"/>
      <c r="F418" s="2">
        <v>903</v>
      </c>
      <c r="G418" s="11">
        <f>G409</f>
        <v>200</v>
      </c>
    </row>
    <row r="419" spans="1:7" ht="63">
      <c r="A419" s="43" t="s">
        <v>595</v>
      </c>
      <c r="B419" s="8" t="s">
        <v>596</v>
      </c>
      <c r="C419" s="2"/>
      <c r="D419" s="2"/>
      <c r="E419" s="2"/>
      <c r="F419" s="2"/>
      <c r="G419" s="68">
        <f>G420+G433</f>
        <v>12375.499999999998</v>
      </c>
    </row>
    <row r="420" spans="1:7" ht="78.75">
      <c r="A420" s="43" t="s">
        <v>597</v>
      </c>
      <c r="B420" s="8" t="s">
        <v>598</v>
      </c>
      <c r="C420" s="8"/>
      <c r="D420" s="8"/>
      <c r="E420" s="3"/>
      <c r="F420" s="3"/>
      <c r="G420" s="68">
        <f>G421</f>
        <v>8697.3</v>
      </c>
    </row>
    <row r="421" spans="1:7" ht="15.75">
      <c r="A421" s="84" t="s">
        <v>443</v>
      </c>
      <c r="B421" s="42" t="s">
        <v>598</v>
      </c>
      <c r="C421" s="42" t="s">
        <v>286</v>
      </c>
      <c r="D421" s="42"/>
      <c r="E421" s="2"/>
      <c r="F421" s="2"/>
      <c r="G421" s="11">
        <f>G422</f>
        <v>8697.3</v>
      </c>
    </row>
    <row r="422" spans="1:7" ht="15.75">
      <c r="A422" s="84" t="s">
        <v>594</v>
      </c>
      <c r="B422" s="42" t="s">
        <v>598</v>
      </c>
      <c r="C422" s="42" t="s">
        <v>286</v>
      </c>
      <c r="D422" s="42" t="s">
        <v>267</v>
      </c>
      <c r="E422" s="2"/>
      <c r="F422" s="2"/>
      <c r="G422" s="11">
        <f>G423+G426+G429</f>
        <v>8697.3</v>
      </c>
    </row>
    <row r="423" spans="1:7" ht="31.5">
      <c r="A423" s="26" t="s">
        <v>599</v>
      </c>
      <c r="B423" s="21" t="s">
        <v>600</v>
      </c>
      <c r="C423" s="42" t="s">
        <v>286</v>
      </c>
      <c r="D423" s="42" t="s">
        <v>267</v>
      </c>
      <c r="E423" s="2"/>
      <c r="F423" s="2"/>
      <c r="G423" s="11">
        <f>G424</f>
        <v>253.4</v>
      </c>
    </row>
    <row r="424" spans="1:7" ht="51" customHeight="1">
      <c r="A424" s="26" t="s">
        <v>183</v>
      </c>
      <c r="B424" s="21" t="s">
        <v>600</v>
      </c>
      <c r="C424" s="42" t="s">
        <v>286</v>
      </c>
      <c r="D424" s="42" t="s">
        <v>267</v>
      </c>
      <c r="E424" s="2">
        <v>200</v>
      </c>
      <c r="F424" s="2"/>
      <c r="G424" s="11">
        <f>G425</f>
        <v>253.4</v>
      </c>
    </row>
    <row r="425" spans="1:7" ht="47.25">
      <c r="A425" s="26" t="s">
        <v>185</v>
      </c>
      <c r="B425" s="21" t="s">
        <v>600</v>
      </c>
      <c r="C425" s="42" t="s">
        <v>286</v>
      </c>
      <c r="D425" s="42" t="s">
        <v>267</v>
      </c>
      <c r="E425" s="2">
        <v>240</v>
      </c>
      <c r="F425" s="2"/>
      <c r="G425" s="11">
        <f>'Прил.№4 ведомств.'!G983</f>
        <v>253.4</v>
      </c>
    </row>
    <row r="426" spans="1:7" ht="31.5" customHeight="1">
      <c r="A426" s="26" t="s">
        <v>601</v>
      </c>
      <c r="B426" s="21" t="s">
        <v>602</v>
      </c>
      <c r="C426" s="42" t="s">
        <v>286</v>
      </c>
      <c r="D426" s="42" t="s">
        <v>267</v>
      </c>
      <c r="E426" s="2"/>
      <c r="F426" s="2"/>
      <c r="G426" s="11">
        <f>G427</f>
        <v>5258.6</v>
      </c>
    </row>
    <row r="427" spans="1:7" ht="47.25">
      <c r="A427" s="26" t="s">
        <v>183</v>
      </c>
      <c r="B427" s="21" t="s">
        <v>602</v>
      </c>
      <c r="C427" s="42" t="s">
        <v>286</v>
      </c>
      <c r="D427" s="42" t="s">
        <v>267</v>
      </c>
      <c r="E427" s="2">
        <v>200</v>
      </c>
      <c r="F427" s="2"/>
      <c r="G427" s="11">
        <f>G428</f>
        <v>5258.6</v>
      </c>
    </row>
    <row r="428" spans="1:7" ht="47.25">
      <c r="A428" s="26" t="s">
        <v>185</v>
      </c>
      <c r="B428" s="21" t="s">
        <v>602</v>
      </c>
      <c r="C428" s="42" t="s">
        <v>286</v>
      </c>
      <c r="D428" s="42" t="s">
        <v>267</v>
      </c>
      <c r="E428" s="2">
        <v>240</v>
      </c>
      <c r="F428" s="2"/>
      <c r="G428" s="11">
        <f>'Прил.№4 ведомств.'!G986</f>
        <v>5258.6</v>
      </c>
    </row>
    <row r="429" spans="1:7" ht="31.5">
      <c r="A429" s="26" t="s">
        <v>603</v>
      </c>
      <c r="B429" s="21" t="s">
        <v>604</v>
      </c>
      <c r="C429" s="42" t="s">
        <v>286</v>
      </c>
      <c r="D429" s="42" t="s">
        <v>267</v>
      </c>
      <c r="E429" s="2"/>
      <c r="F429" s="2"/>
      <c r="G429" s="11">
        <f>G430</f>
        <v>3185.3</v>
      </c>
    </row>
    <row r="430" spans="1:7" ht="47.25">
      <c r="A430" s="26" t="s">
        <v>183</v>
      </c>
      <c r="B430" s="21" t="s">
        <v>604</v>
      </c>
      <c r="C430" s="42" t="s">
        <v>286</v>
      </c>
      <c r="D430" s="42" t="s">
        <v>267</v>
      </c>
      <c r="E430" s="2">
        <v>200</v>
      </c>
      <c r="F430" s="2"/>
      <c r="G430" s="11">
        <f>G431</f>
        <v>3185.3</v>
      </c>
    </row>
    <row r="431" spans="1:7" ht="47.25">
      <c r="A431" s="26" t="s">
        <v>185</v>
      </c>
      <c r="B431" s="21" t="s">
        <v>604</v>
      </c>
      <c r="C431" s="42" t="s">
        <v>286</v>
      </c>
      <c r="D431" s="42" t="s">
        <v>267</v>
      </c>
      <c r="E431" s="2">
        <v>240</v>
      </c>
      <c r="F431" s="2"/>
      <c r="G431" s="11">
        <f>'Прил.№4 ведомств.'!G991</f>
        <v>3185.3</v>
      </c>
    </row>
    <row r="432" spans="1:7" ht="47.25">
      <c r="A432" s="47" t="s">
        <v>701</v>
      </c>
      <c r="B432" s="42" t="s">
        <v>598</v>
      </c>
      <c r="C432" s="42" t="s">
        <v>286</v>
      </c>
      <c r="D432" s="42" t="s">
        <v>267</v>
      </c>
      <c r="E432" s="2"/>
      <c r="F432" s="2">
        <v>908</v>
      </c>
      <c r="G432" s="11">
        <f>G420</f>
        <v>8697.3</v>
      </c>
    </row>
    <row r="433" spans="1:7" ht="63">
      <c r="A433" s="24" t="s">
        <v>605</v>
      </c>
      <c r="B433" s="8" t="s">
        <v>606</v>
      </c>
      <c r="C433" s="8"/>
      <c r="D433" s="8"/>
      <c r="E433" s="3"/>
      <c r="F433" s="3"/>
      <c r="G433" s="68">
        <f>G434</f>
        <v>3678.1999999999994</v>
      </c>
    </row>
    <row r="434" spans="1:7" ht="15.75">
      <c r="A434" s="84" t="s">
        <v>443</v>
      </c>
      <c r="B434" s="42" t="s">
        <v>606</v>
      </c>
      <c r="C434" s="42" t="s">
        <v>286</v>
      </c>
      <c r="D434" s="42"/>
      <c r="E434" s="2"/>
      <c r="F434" s="2"/>
      <c r="G434" s="11">
        <f>G435</f>
        <v>3678.1999999999994</v>
      </c>
    </row>
    <row r="435" spans="1:7" ht="15.75">
      <c r="A435" s="84" t="s">
        <v>594</v>
      </c>
      <c r="B435" s="42" t="s">
        <v>606</v>
      </c>
      <c r="C435" s="42" t="s">
        <v>286</v>
      </c>
      <c r="D435" s="42" t="s">
        <v>267</v>
      </c>
      <c r="E435" s="2"/>
      <c r="F435" s="2"/>
      <c r="G435" s="11">
        <f>G436+G441+G444+G447</f>
        <v>3678.1999999999994</v>
      </c>
    </row>
    <row r="436" spans="1:7" ht="31.5">
      <c r="A436" s="26" t="s">
        <v>603</v>
      </c>
      <c r="B436" s="21" t="s">
        <v>607</v>
      </c>
      <c r="C436" s="42" t="s">
        <v>286</v>
      </c>
      <c r="D436" s="42" t="s">
        <v>267</v>
      </c>
      <c r="E436" s="2"/>
      <c r="F436" s="2"/>
      <c r="G436" s="11">
        <f>G437+G439</f>
        <v>1112.3999999999999</v>
      </c>
    </row>
    <row r="437" spans="1:7" ht="110.25">
      <c r="A437" s="26" t="s">
        <v>179</v>
      </c>
      <c r="B437" s="21" t="s">
        <v>607</v>
      </c>
      <c r="C437" s="42" t="s">
        <v>286</v>
      </c>
      <c r="D437" s="42" t="s">
        <v>267</v>
      </c>
      <c r="E437" s="2">
        <v>100</v>
      </c>
      <c r="F437" s="2"/>
      <c r="G437" s="11">
        <f>G438</f>
        <v>892.8</v>
      </c>
    </row>
    <row r="438" spans="1:7" ht="31.5">
      <c r="A438" s="48" t="s">
        <v>394</v>
      </c>
      <c r="B438" s="21" t="s">
        <v>607</v>
      </c>
      <c r="C438" s="42" t="s">
        <v>286</v>
      </c>
      <c r="D438" s="42" t="s">
        <v>267</v>
      </c>
      <c r="E438" s="2">
        <v>110</v>
      </c>
      <c r="F438" s="2"/>
      <c r="G438" s="11">
        <f>'Прил.№4 ведомств.'!G998</f>
        <v>892.8</v>
      </c>
    </row>
    <row r="439" spans="1:7" ht="47.25">
      <c r="A439" s="26" t="s">
        <v>183</v>
      </c>
      <c r="B439" s="21" t="s">
        <v>607</v>
      </c>
      <c r="C439" s="42" t="s">
        <v>286</v>
      </c>
      <c r="D439" s="42" t="s">
        <v>267</v>
      </c>
      <c r="E439" s="2">
        <v>200</v>
      </c>
      <c r="F439" s="2"/>
      <c r="G439" s="11">
        <f>G440</f>
        <v>219.6</v>
      </c>
    </row>
    <row r="440" spans="1:7" ht="47.25">
      <c r="A440" s="26" t="s">
        <v>185</v>
      </c>
      <c r="B440" s="21" t="s">
        <v>607</v>
      </c>
      <c r="C440" s="42" t="s">
        <v>286</v>
      </c>
      <c r="D440" s="42" t="s">
        <v>267</v>
      </c>
      <c r="E440" s="2">
        <v>240</v>
      </c>
      <c r="F440" s="2"/>
      <c r="G440" s="11">
        <f>'Прил.№4 ведомств.'!G1000</f>
        <v>219.6</v>
      </c>
    </row>
    <row r="441" spans="1:7" ht="15.75">
      <c r="A441" s="26" t="s">
        <v>608</v>
      </c>
      <c r="B441" s="21" t="s">
        <v>609</v>
      </c>
      <c r="C441" s="42" t="s">
        <v>286</v>
      </c>
      <c r="D441" s="42" t="s">
        <v>267</v>
      </c>
      <c r="E441" s="2"/>
      <c r="F441" s="2"/>
      <c r="G441" s="11">
        <f>G442</f>
        <v>86.6</v>
      </c>
    </row>
    <row r="442" spans="1:7" ht="47.25">
      <c r="A442" s="26" t="s">
        <v>183</v>
      </c>
      <c r="B442" s="21" t="s">
        <v>609</v>
      </c>
      <c r="C442" s="42" t="s">
        <v>286</v>
      </c>
      <c r="D442" s="42" t="s">
        <v>267</v>
      </c>
      <c r="E442" s="2">
        <v>200</v>
      </c>
      <c r="F442" s="2"/>
      <c r="G442" s="11">
        <f>G443</f>
        <v>86.6</v>
      </c>
    </row>
    <row r="443" spans="1:7" ht="47.25">
      <c r="A443" s="26" t="s">
        <v>185</v>
      </c>
      <c r="B443" s="21" t="s">
        <v>609</v>
      </c>
      <c r="C443" s="42" t="s">
        <v>286</v>
      </c>
      <c r="D443" s="42" t="s">
        <v>267</v>
      </c>
      <c r="E443" s="2">
        <v>240</v>
      </c>
      <c r="F443" s="2"/>
      <c r="G443" s="11">
        <f>'Прил.№4 ведомств.'!G1003</f>
        <v>86.6</v>
      </c>
    </row>
    <row r="444" spans="1:7" ht="63">
      <c r="A444" s="122" t="s">
        <v>610</v>
      </c>
      <c r="B444" s="21" t="s">
        <v>611</v>
      </c>
      <c r="C444" s="42" t="s">
        <v>286</v>
      </c>
      <c r="D444" s="42" t="s">
        <v>267</v>
      </c>
      <c r="E444" s="2"/>
      <c r="F444" s="2"/>
      <c r="G444" s="11">
        <f>G445</f>
        <v>2130.6</v>
      </c>
    </row>
    <row r="445" spans="1:7" ht="47.25">
      <c r="A445" s="26" t="s">
        <v>183</v>
      </c>
      <c r="B445" s="21" t="s">
        <v>611</v>
      </c>
      <c r="C445" s="42" t="s">
        <v>286</v>
      </c>
      <c r="D445" s="42" t="s">
        <v>267</v>
      </c>
      <c r="E445" s="2">
        <v>200</v>
      </c>
      <c r="F445" s="2"/>
      <c r="G445" s="11">
        <f>G446</f>
        <v>2130.6</v>
      </c>
    </row>
    <row r="446" spans="1:7" ht="47.25">
      <c r="A446" s="26" t="s">
        <v>185</v>
      </c>
      <c r="B446" s="21" t="s">
        <v>611</v>
      </c>
      <c r="C446" s="42" t="s">
        <v>286</v>
      </c>
      <c r="D446" s="42" t="s">
        <v>267</v>
      </c>
      <c r="E446" s="2">
        <v>240</v>
      </c>
      <c r="F446" s="2"/>
      <c r="G446" s="11">
        <f>'Прил.№4 ведомств.'!G1006</f>
        <v>2130.6</v>
      </c>
    </row>
    <row r="447" spans="1:7" ht="31.5">
      <c r="A447" s="122" t="s">
        <v>612</v>
      </c>
      <c r="B447" s="21" t="s">
        <v>613</v>
      </c>
      <c r="C447" s="42" t="s">
        <v>286</v>
      </c>
      <c r="D447" s="42" t="s">
        <v>267</v>
      </c>
      <c r="E447" s="2"/>
      <c r="F447" s="2"/>
      <c r="G447" s="11">
        <f>G448</f>
        <v>348.6</v>
      </c>
    </row>
    <row r="448" spans="1:7" ht="47.25">
      <c r="A448" s="26" t="s">
        <v>183</v>
      </c>
      <c r="B448" s="21" t="s">
        <v>613</v>
      </c>
      <c r="C448" s="42" t="s">
        <v>286</v>
      </c>
      <c r="D448" s="42" t="s">
        <v>267</v>
      </c>
      <c r="E448" s="2">
        <v>200</v>
      </c>
      <c r="F448" s="2"/>
      <c r="G448" s="11">
        <f>G449</f>
        <v>348.6</v>
      </c>
    </row>
    <row r="449" spans="1:7" ht="47.25">
      <c r="A449" s="26" t="s">
        <v>185</v>
      </c>
      <c r="B449" s="21" t="s">
        <v>613</v>
      </c>
      <c r="C449" s="42" t="s">
        <v>286</v>
      </c>
      <c r="D449" s="42" t="s">
        <v>267</v>
      </c>
      <c r="E449" s="2">
        <v>240</v>
      </c>
      <c r="F449" s="2"/>
      <c r="G449" s="11">
        <f>'Прил.№4 ведомств.'!G1009</f>
        <v>348.6</v>
      </c>
    </row>
    <row r="450" spans="1:7" ht="47.25">
      <c r="A450" s="47" t="s">
        <v>701</v>
      </c>
      <c r="B450" s="21" t="s">
        <v>606</v>
      </c>
      <c r="C450" s="42" t="s">
        <v>286</v>
      </c>
      <c r="D450" s="42" t="s">
        <v>267</v>
      </c>
      <c r="E450" s="2"/>
      <c r="F450" s="2">
        <v>908</v>
      </c>
      <c r="G450" s="11">
        <f>G433</f>
        <v>3678.1999999999994</v>
      </c>
    </row>
    <row r="451" spans="1:7" ht="78.75">
      <c r="A451" s="36" t="s">
        <v>233</v>
      </c>
      <c r="B451" s="203" t="s">
        <v>234</v>
      </c>
      <c r="C451" s="8"/>
      <c r="D451" s="8"/>
      <c r="E451" s="8"/>
      <c r="F451" s="3"/>
      <c r="G451" s="68">
        <f>G452</f>
        <v>120</v>
      </c>
    </row>
    <row r="452" spans="1:7" ht="15.75">
      <c r="A452" s="26" t="s">
        <v>169</v>
      </c>
      <c r="B452" s="6" t="s">
        <v>234</v>
      </c>
      <c r="C452" s="42" t="s">
        <v>170</v>
      </c>
      <c r="D452" s="42"/>
      <c r="E452" s="42"/>
      <c r="F452" s="2"/>
      <c r="G452" s="11">
        <f>G453</f>
        <v>120</v>
      </c>
    </row>
    <row r="453" spans="1:7" ht="31.5">
      <c r="A453" s="26" t="s">
        <v>191</v>
      </c>
      <c r="B453" s="32" t="s">
        <v>234</v>
      </c>
      <c r="C453" s="42" t="s">
        <v>170</v>
      </c>
      <c r="D453" s="42" t="s">
        <v>192</v>
      </c>
      <c r="E453" s="42"/>
      <c r="F453" s="2"/>
      <c r="G453" s="11">
        <f>G454</f>
        <v>120</v>
      </c>
    </row>
    <row r="454" spans="1:7" ht="47.25">
      <c r="A454" s="31" t="s">
        <v>209</v>
      </c>
      <c r="B454" s="21" t="s">
        <v>235</v>
      </c>
      <c r="C454" s="42" t="s">
        <v>170</v>
      </c>
      <c r="D454" s="42" t="s">
        <v>192</v>
      </c>
      <c r="E454" s="42"/>
      <c r="F454" s="2"/>
      <c r="G454" s="11">
        <f>G455</f>
        <v>120</v>
      </c>
    </row>
    <row r="455" spans="1:7" ht="47.25">
      <c r="A455" s="31" t="s">
        <v>183</v>
      </c>
      <c r="B455" s="21" t="s">
        <v>235</v>
      </c>
      <c r="C455" s="42" t="s">
        <v>170</v>
      </c>
      <c r="D455" s="42" t="s">
        <v>192</v>
      </c>
      <c r="E455" s="42" t="s">
        <v>197</v>
      </c>
      <c r="F455" s="2"/>
      <c r="G455" s="11">
        <f>G456</f>
        <v>120</v>
      </c>
    </row>
    <row r="456" spans="1:7" ht="78.75">
      <c r="A456" s="31" t="s">
        <v>236</v>
      </c>
      <c r="B456" s="21" t="s">
        <v>235</v>
      </c>
      <c r="C456" s="42" t="s">
        <v>170</v>
      </c>
      <c r="D456" s="42" t="s">
        <v>192</v>
      </c>
      <c r="E456" s="42" t="s">
        <v>212</v>
      </c>
      <c r="F456" s="2"/>
      <c r="G456" s="11">
        <f>'Прил.№4 ведомств.'!G96</f>
        <v>120</v>
      </c>
    </row>
    <row r="457" spans="1:7" ht="31.5">
      <c r="A457" s="31" t="s">
        <v>200</v>
      </c>
      <c r="B457" s="32" t="s">
        <v>234</v>
      </c>
      <c r="C457" s="42" t="s">
        <v>170</v>
      </c>
      <c r="D457" s="42" t="s">
        <v>192</v>
      </c>
      <c r="E457" s="42"/>
      <c r="F457" s="2">
        <v>902</v>
      </c>
      <c r="G457" s="11">
        <f>G451</f>
        <v>120</v>
      </c>
    </row>
    <row r="458" spans="1:7" ht="94.5">
      <c r="A458" s="43" t="s">
        <v>734</v>
      </c>
      <c r="B458" s="8" t="s">
        <v>571</v>
      </c>
      <c r="C458" s="8"/>
      <c r="D458" s="8"/>
      <c r="E458" s="83"/>
      <c r="F458" s="3"/>
      <c r="G458" s="68">
        <f>G459</f>
        <v>5427.9</v>
      </c>
    </row>
    <row r="459" spans="1:7" ht="15.75">
      <c r="A459" s="31" t="s">
        <v>443</v>
      </c>
      <c r="B459" s="42" t="s">
        <v>571</v>
      </c>
      <c r="C459" s="42" t="s">
        <v>286</v>
      </c>
      <c r="D459" s="42"/>
      <c r="E459" s="84"/>
      <c r="F459" s="2"/>
      <c r="G459" s="11">
        <f>G460</f>
        <v>5427.9</v>
      </c>
    </row>
    <row r="460" spans="1:7" ht="15.75">
      <c r="A460" s="31" t="s">
        <v>570</v>
      </c>
      <c r="B460" s="42" t="s">
        <v>571</v>
      </c>
      <c r="C460" s="42" t="s">
        <v>286</v>
      </c>
      <c r="D460" s="42" t="s">
        <v>265</v>
      </c>
      <c r="E460" s="84"/>
      <c r="F460" s="2"/>
      <c r="G460" s="11">
        <f>G465+G468+G471+G474+G477+G480+G483</f>
        <v>5427.9</v>
      </c>
    </row>
    <row r="461" spans="1:7" ht="63" hidden="1">
      <c r="A461" s="37" t="s">
        <v>572</v>
      </c>
      <c r="B461" s="21" t="s">
        <v>573</v>
      </c>
      <c r="C461" s="42" t="s">
        <v>286</v>
      </c>
      <c r="D461" s="42" t="s">
        <v>265</v>
      </c>
      <c r="E461" s="84"/>
      <c r="F461" s="2"/>
      <c r="G461" s="11">
        <f>G462</f>
        <v>0</v>
      </c>
    </row>
    <row r="462" spans="1:7" ht="47.25" hidden="1">
      <c r="A462" s="31" t="s">
        <v>183</v>
      </c>
      <c r="B462" s="21" t="s">
        <v>573</v>
      </c>
      <c r="C462" s="42" t="s">
        <v>286</v>
      </c>
      <c r="D462" s="42" t="s">
        <v>265</v>
      </c>
      <c r="E462" s="42" t="s">
        <v>184</v>
      </c>
      <c r="F462" s="2"/>
      <c r="G462" s="11">
        <f>G463</f>
        <v>0</v>
      </c>
    </row>
    <row r="463" spans="1:7" ht="47.25" hidden="1">
      <c r="A463" s="31" t="s">
        <v>185</v>
      </c>
      <c r="B463" s="21" t="s">
        <v>573</v>
      </c>
      <c r="C463" s="42" t="s">
        <v>286</v>
      </c>
      <c r="D463" s="42" t="s">
        <v>265</v>
      </c>
      <c r="E463" s="42" t="s">
        <v>186</v>
      </c>
      <c r="F463" s="2"/>
      <c r="G463" s="11"/>
    </row>
    <row r="464" spans="1:7" ht="47.25" hidden="1">
      <c r="A464" s="47" t="s">
        <v>701</v>
      </c>
      <c r="B464" s="21" t="s">
        <v>573</v>
      </c>
      <c r="C464" s="42"/>
      <c r="D464" s="42"/>
      <c r="E464" s="42"/>
      <c r="F464" s="2">
        <v>908</v>
      </c>
      <c r="G464" s="11">
        <f>G461</f>
        <v>0</v>
      </c>
    </row>
    <row r="465" spans="1:7" ht="15.75">
      <c r="A465" s="122" t="s">
        <v>574</v>
      </c>
      <c r="B465" s="21" t="s">
        <v>575</v>
      </c>
      <c r="C465" s="42" t="s">
        <v>286</v>
      </c>
      <c r="D465" s="42" t="s">
        <v>265</v>
      </c>
      <c r="E465" s="42"/>
      <c r="F465" s="2"/>
      <c r="G465" s="11">
        <f>G466</f>
        <v>450</v>
      </c>
    </row>
    <row r="466" spans="1:7" ht="47.25">
      <c r="A466" s="33" t="s">
        <v>183</v>
      </c>
      <c r="B466" s="21" t="s">
        <v>575</v>
      </c>
      <c r="C466" s="42" t="s">
        <v>286</v>
      </c>
      <c r="D466" s="42" t="s">
        <v>265</v>
      </c>
      <c r="E466" s="42" t="s">
        <v>184</v>
      </c>
      <c r="F466" s="2"/>
      <c r="G466" s="11">
        <f>G467</f>
        <v>450</v>
      </c>
    </row>
    <row r="467" spans="1:7" ht="47.25">
      <c r="A467" s="33" t="s">
        <v>185</v>
      </c>
      <c r="B467" s="21" t="s">
        <v>575</v>
      </c>
      <c r="C467" s="42" t="s">
        <v>286</v>
      </c>
      <c r="D467" s="42" t="s">
        <v>265</v>
      </c>
      <c r="E467" s="42" t="s">
        <v>186</v>
      </c>
      <c r="F467" s="2"/>
      <c r="G467" s="11">
        <f>'Прил.№4 ведомств.'!G924</f>
        <v>450</v>
      </c>
    </row>
    <row r="468" spans="1:7" ht="15.75">
      <c r="A468" s="122" t="s">
        <v>576</v>
      </c>
      <c r="B468" s="21" t="s">
        <v>577</v>
      </c>
      <c r="C468" s="42" t="s">
        <v>286</v>
      </c>
      <c r="D468" s="42" t="s">
        <v>265</v>
      </c>
      <c r="E468" s="42"/>
      <c r="F468" s="2"/>
      <c r="G468" s="11">
        <f>G469</f>
        <v>3107</v>
      </c>
    </row>
    <row r="469" spans="1:7" ht="47.25">
      <c r="A469" s="33" t="s">
        <v>183</v>
      </c>
      <c r="B469" s="21" t="s">
        <v>577</v>
      </c>
      <c r="C469" s="42" t="s">
        <v>286</v>
      </c>
      <c r="D469" s="42" t="s">
        <v>265</v>
      </c>
      <c r="E469" s="42" t="s">
        <v>184</v>
      </c>
      <c r="F469" s="2"/>
      <c r="G469" s="11">
        <f>G470</f>
        <v>3107</v>
      </c>
    </row>
    <row r="470" spans="1:7" ht="47.25">
      <c r="A470" s="33" t="s">
        <v>185</v>
      </c>
      <c r="B470" s="21" t="s">
        <v>577</v>
      </c>
      <c r="C470" s="42" t="s">
        <v>286</v>
      </c>
      <c r="D470" s="42" t="s">
        <v>265</v>
      </c>
      <c r="E470" s="42" t="s">
        <v>186</v>
      </c>
      <c r="F470" s="2"/>
      <c r="G470" s="11">
        <f>'Прил.№4 ведомств.'!G927</f>
        <v>3107</v>
      </c>
    </row>
    <row r="471" spans="1:7" ht="15.75">
      <c r="A471" s="122" t="s">
        <v>578</v>
      </c>
      <c r="B471" s="21" t="s">
        <v>579</v>
      </c>
      <c r="C471" s="42" t="s">
        <v>286</v>
      </c>
      <c r="D471" s="42" t="s">
        <v>265</v>
      </c>
      <c r="E471" s="42"/>
      <c r="F471" s="2"/>
      <c r="G471" s="11">
        <f>G472</f>
        <v>1389.8999999999999</v>
      </c>
    </row>
    <row r="472" spans="1:7" ht="47.25">
      <c r="A472" s="33" t="s">
        <v>183</v>
      </c>
      <c r="B472" s="21" t="s">
        <v>579</v>
      </c>
      <c r="C472" s="42" t="s">
        <v>286</v>
      </c>
      <c r="D472" s="42" t="s">
        <v>265</v>
      </c>
      <c r="E472" s="42" t="s">
        <v>184</v>
      </c>
      <c r="F472" s="2"/>
      <c r="G472" s="11">
        <f>G473</f>
        <v>1389.8999999999999</v>
      </c>
    </row>
    <row r="473" spans="1:7" ht="47.25">
      <c r="A473" s="33" t="s">
        <v>185</v>
      </c>
      <c r="B473" s="21" t="s">
        <v>579</v>
      </c>
      <c r="C473" s="42" t="s">
        <v>286</v>
      </c>
      <c r="D473" s="42" t="s">
        <v>265</v>
      </c>
      <c r="E473" s="42" t="s">
        <v>186</v>
      </c>
      <c r="F473" s="2"/>
      <c r="G473" s="11">
        <f>'Прил.№4 ведомств.'!G932</f>
        <v>1389.8999999999999</v>
      </c>
    </row>
    <row r="474" spans="1:7" ht="31.5">
      <c r="A474" s="122" t="s">
        <v>580</v>
      </c>
      <c r="B474" s="21" t="s">
        <v>581</v>
      </c>
      <c r="C474" s="42" t="s">
        <v>286</v>
      </c>
      <c r="D474" s="42" t="s">
        <v>265</v>
      </c>
      <c r="E474" s="42"/>
      <c r="F474" s="2"/>
      <c r="G474" s="11">
        <f>G475</f>
        <v>159.10000000000002</v>
      </c>
    </row>
    <row r="475" spans="1:7" ht="47.25">
      <c r="A475" s="33" t="s">
        <v>183</v>
      </c>
      <c r="B475" s="21" t="s">
        <v>581</v>
      </c>
      <c r="C475" s="42" t="s">
        <v>286</v>
      </c>
      <c r="D475" s="42" t="s">
        <v>265</v>
      </c>
      <c r="E475" s="42" t="s">
        <v>184</v>
      </c>
      <c r="F475" s="2"/>
      <c r="G475" s="11">
        <f>G476</f>
        <v>159.10000000000002</v>
      </c>
    </row>
    <row r="476" spans="1:7" ht="47.25">
      <c r="A476" s="33" t="s">
        <v>185</v>
      </c>
      <c r="B476" s="21" t="s">
        <v>581</v>
      </c>
      <c r="C476" s="42" t="s">
        <v>286</v>
      </c>
      <c r="D476" s="42" t="s">
        <v>265</v>
      </c>
      <c r="E476" s="42" t="s">
        <v>186</v>
      </c>
      <c r="F476" s="2"/>
      <c r="G476" s="11">
        <f>'Прил.№4 ведомств.'!G937</f>
        <v>159.10000000000002</v>
      </c>
    </row>
    <row r="477" spans="1:7" ht="15.75">
      <c r="A477" s="122" t="s">
        <v>582</v>
      </c>
      <c r="B477" s="21" t="s">
        <v>583</v>
      </c>
      <c r="C477" s="42" t="s">
        <v>286</v>
      </c>
      <c r="D477" s="42" t="s">
        <v>265</v>
      </c>
      <c r="E477" s="42"/>
      <c r="F477" s="2"/>
      <c r="G477" s="11">
        <f>G478</f>
        <v>272.9</v>
      </c>
    </row>
    <row r="478" spans="1:7" ht="47.25">
      <c r="A478" s="33" t="s">
        <v>183</v>
      </c>
      <c r="B478" s="21" t="s">
        <v>583</v>
      </c>
      <c r="C478" s="42" t="s">
        <v>286</v>
      </c>
      <c r="D478" s="42" t="s">
        <v>265</v>
      </c>
      <c r="E478" s="42" t="s">
        <v>184</v>
      </c>
      <c r="F478" s="2"/>
      <c r="G478" s="11">
        <f>G479</f>
        <v>272.9</v>
      </c>
    </row>
    <row r="479" spans="1:7" ht="47.25">
      <c r="A479" s="33" t="s">
        <v>185</v>
      </c>
      <c r="B479" s="21" t="s">
        <v>583</v>
      </c>
      <c r="C479" s="42" t="s">
        <v>286</v>
      </c>
      <c r="D479" s="42" t="s">
        <v>265</v>
      </c>
      <c r="E479" s="42" t="s">
        <v>186</v>
      </c>
      <c r="F479" s="2"/>
      <c r="G479" s="11">
        <f>'Прил.№4 ведомств.'!G940</f>
        <v>272.9</v>
      </c>
    </row>
    <row r="480" spans="1:7" ht="31.5" hidden="1">
      <c r="A480" s="120" t="s">
        <v>584</v>
      </c>
      <c r="B480" s="21" t="s">
        <v>585</v>
      </c>
      <c r="C480" s="42" t="s">
        <v>286</v>
      </c>
      <c r="D480" s="42" t="s">
        <v>265</v>
      </c>
      <c r="E480" s="42"/>
      <c r="F480" s="2"/>
      <c r="G480" s="11">
        <f>G481</f>
        <v>0</v>
      </c>
    </row>
    <row r="481" spans="1:7" ht="47.25" hidden="1">
      <c r="A481" s="33" t="s">
        <v>183</v>
      </c>
      <c r="B481" s="21" t="s">
        <v>585</v>
      </c>
      <c r="C481" s="42" t="s">
        <v>286</v>
      </c>
      <c r="D481" s="42" t="s">
        <v>265</v>
      </c>
      <c r="E481" s="42"/>
      <c r="F481" s="2"/>
      <c r="G481" s="11">
        <f>G482</f>
        <v>0</v>
      </c>
    </row>
    <row r="482" spans="1:7" ht="47.25" hidden="1">
      <c r="A482" s="33" t="s">
        <v>185</v>
      </c>
      <c r="B482" s="21" t="s">
        <v>585</v>
      </c>
      <c r="C482" s="42" t="s">
        <v>286</v>
      </c>
      <c r="D482" s="42" t="s">
        <v>265</v>
      </c>
      <c r="E482" s="42"/>
      <c r="F482" s="2"/>
      <c r="G482" s="11"/>
    </row>
    <row r="483" spans="1:7" ht="31.5">
      <c r="A483" s="120" t="s">
        <v>586</v>
      </c>
      <c r="B483" s="21" t="s">
        <v>587</v>
      </c>
      <c r="C483" s="42" t="s">
        <v>286</v>
      </c>
      <c r="D483" s="42" t="s">
        <v>265</v>
      </c>
      <c r="E483" s="42"/>
      <c r="F483" s="2"/>
      <c r="G483" s="11">
        <f>G484</f>
        <v>49</v>
      </c>
    </row>
    <row r="484" spans="1:7" ht="47.25">
      <c r="A484" s="26" t="s">
        <v>183</v>
      </c>
      <c r="B484" s="21" t="s">
        <v>587</v>
      </c>
      <c r="C484" s="42" t="s">
        <v>286</v>
      </c>
      <c r="D484" s="42" t="s">
        <v>265</v>
      </c>
      <c r="E484" s="2">
        <v>200</v>
      </c>
      <c r="F484" s="88"/>
      <c r="G484" s="7">
        <f>G485</f>
        <v>49</v>
      </c>
    </row>
    <row r="485" spans="1:7" ht="47.25">
      <c r="A485" s="26" t="s">
        <v>185</v>
      </c>
      <c r="B485" s="21" t="s">
        <v>587</v>
      </c>
      <c r="C485" s="42" t="s">
        <v>286</v>
      </c>
      <c r="D485" s="42" t="s">
        <v>265</v>
      </c>
      <c r="E485" s="2">
        <v>240</v>
      </c>
      <c r="F485" s="88"/>
      <c r="G485" s="7">
        <f>'Прил.№4 ведомств.'!G946</f>
        <v>49</v>
      </c>
    </row>
    <row r="486" spans="1:7" ht="47.25">
      <c r="A486" s="47" t="s">
        <v>701</v>
      </c>
      <c r="B486" s="21" t="s">
        <v>571</v>
      </c>
      <c r="C486" s="42"/>
      <c r="D486" s="42"/>
      <c r="E486" s="2"/>
      <c r="F486" s="2">
        <v>908</v>
      </c>
      <c r="G486" s="7">
        <f>G458</f>
        <v>5427.9</v>
      </c>
    </row>
    <row r="487" spans="1:7" ht="63">
      <c r="A487" s="24" t="s">
        <v>386</v>
      </c>
      <c r="B487" s="25" t="s">
        <v>387</v>
      </c>
      <c r="C487" s="8"/>
      <c r="D487" s="8"/>
      <c r="E487" s="3"/>
      <c r="F487" s="3"/>
      <c r="G487" s="4">
        <f>G488+G499</f>
        <v>145</v>
      </c>
    </row>
    <row r="488" spans="1:7" ht="15.75">
      <c r="A488" s="26" t="s">
        <v>315</v>
      </c>
      <c r="B488" s="21" t="s">
        <v>387</v>
      </c>
      <c r="C488" s="42" t="s">
        <v>316</v>
      </c>
      <c r="D488" s="42"/>
      <c r="E488" s="2"/>
      <c r="F488" s="2"/>
      <c r="G488" s="7">
        <f>G489</f>
        <v>20</v>
      </c>
    </row>
    <row r="489" spans="1:7" ht="31.5">
      <c r="A489" s="26" t="s">
        <v>347</v>
      </c>
      <c r="B489" s="21" t="s">
        <v>387</v>
      </c>
      <c r="C489" s="42" t="s">
        <v>316</v>
      </c>
      <c r="D489" s="42" t="s">
        <v>271</v>
      </c>
      <c r="E489" s="2"/>
      <c r="F489" s="2"/>
      <c r="G489" s="7">
        <f>G490+G493</f>
        <v>20</v>
      </c>
    </row>
    <row r="490" spans="1:7" ht="47.25">
      <c r="A490" s="26" t="s">
        <v>388</v>
      </c>
      <c r="B490" s="21" t="s">
        <v>389</v>
      </c>
      <c r="C490" s="42" t="s">
        <v>316</v>
      </c>
      <c r="D490" s="42" t="s">
        <v>271</v>
      </c>
      <c r="E490" s="2"/>
      <c r="F490" s="2"/>
      <c r="G490" s="7">
        <f>G491</f>
        <v>0</v>
      </c>
    </row>
    <row r="491" spans="1:7" ht="47.25">
      <c r="A491" s="26" t="s">
        <v>183</v>
      </c>
      <c r="B491" s="21" t="s">
        <v>389</v>
      </c>
      <c r="C491" s="42" t="s">
        <v>316</v>
      </c>
      <c r="D491" s="42" t="s">
        <v>271</v>
      </c>
      <c r="E491" s="2">
        <v>200</v>
      </c>
      <c r="F491" s="2"/>
      <c r="G491" s="7">
        <f>G492</f>
        <v>0</v>
      </c>
    </row>
    <row r="492" spans="1:7" ht="47.25">
      <c r="A492" s="26" t="s">
        <v>185</v>
      </c>
      <c r="B492" s="21" t="s">
        <v>389</v>
      </c>
      <c r="C492" s="42" t="s">
        <v>316</v>
      </c>
      <c r="D492" s="42" t="s">
        <v>271</v>
      </c>
      <c r="E492" s="2">
        <v>240</v>
      </c>
      <c r="F492" s="2"/>
      <c r="G492" s="7">
        <f>'Прил.№4 ведомств.'!G749</f>
        <v>0</v>
      </c>
    </row>
    <row r="493" spans="1:7" ht="78.75">
      <c r="A493" s="26" t="s">
        <v>529</v>
      </c>
      <c r="B493" s="21" t="s">
        <v>530</v>
      </c>
      <c r="C493" s="42" t="s">
        <v>316</v>
      </c>
      <c r="D493" s="42" t="s">
        <v>271</v>
      </c>
      <c r="E493" s="2"/>
      <c r="F493" s="2"/>
      <c r="G493" s="7">
        <f>G494+G496</f>
        <v>20</v>
      </c>
    </row>
    <row r="494" spans="1:7" ht="110.25">
      <c r="A494" s="26" t="s">
        <v>179</v>
      </c>
      <c r="B494" s="21" t="s">
        <v>530</v>
      </c>
      <c r="C494" s="42" t="s">
        <v>316</v>
      </c>
      <c r="D494" s="42" t="s">
        <v>271</v>
      </c>
      <c r="E494" s="2">
        <v>100</v>
      </c>
      <c r="F494" s="2"/>
      <c r="G494" s="7">
        <f>G495</f>
        <v>5</v>
      </c>
    </row>
    <row r="495" spans="1:7" ht="31.5">
      <c r="A495" s="26" t="s">
        <v>394</v>
      </c>
      <c r="B495" s="21" t="s">
        <v>530</v>
      </c>
      <c r="C495" s="42" t="s">
        <v>316</v>
      </c>
      <c r="D495" s="42" t="s">
        <v>271</v>
      </c>
      <c r="E495" s="2">
        <v>110</v>
      </c>
      <c r="F495" s="2"/>
      <c r="G495" s="7">
        <f>'Прил.№4 ведомств.'!G752</f>
        <v>5</v>
      </c>
    </row>
    <row r="496" spans="1:7" ht="47.25">
      <c r="A496" s="26" t="s">
        <v>183</v>
      </c>
      <c r="B496" s="21" t="s">
        <v>530</v>
      </c>
      <c r="C496" s="42" t="s">
        <v>316</v>
      </c>
      <c r="D496" s="42" t="s">
        <v>271</v>
      </c>
      <c r="E496" s="2">
        <v>200</v>
      </c>
      <c r="F496" s="2"/>
      <c r="G496" s="7">
        <f>G497</f>
        <v>15</v>
      </c>
    </row>
    <row r="497" spans="1:7" ht="47.25">
      <c r="A497" s="26" t="s">
        <v>185</v>
      </c>
      <c r="B497" s="21" t="s">
        <v>530</v>
      </c>
      <c r="C497" s="42" t="s">
        <v>316</v>
      </c>
      <c r="D497" s="42" t="s">
        <v>271</v>
      </c>
      <c r="E497" s="2">
        <v>240</v>
      </c>
      <c r="F497" s="2"/>
      <c r="G497" s="7">
        <f>'Прил.№4 ведомств.'!G754</f>
        <v>15</v>
      </c>
    </row>
    <row r="498" spans="1:7" ht="47.25">
      <c r="A498" s="31" t="s">
        <v>456</v>
      </c>
      <c r="B498" s="21" t="s">
        <v>387</v>
      </c>
      <c r="C498" s="42" t="s">
        <v>316</v>
      </c>
      <c r="D498" s="42" t="s">
        <v>271</v>
      </c>
      <c r="E498" s="2"/>
      <c r="F498" s="2">
        <v>906</v>
      </c>
      <c r="G498" s="7">
        <f>G490+G493</f>
        <v>20</v>
      </c>
    </row>
    <row r="499" spans="1:7" ht="15.75">
      <c r="A499" s="84" t="s">
        <v>350</v>
      </c>
      <c r="B499" s="21" t="s">
        <v>387</v>
      </c>
      <c r="C499" s="42" t="s">
        <v>351</v>
      </c>
      <c r="D499" s="42"/>
      <c r="E499" s="2"/>
      <c r="F499" s="2"/>
      <c r="G499" s="7">
        <f>G500</f>
        <v>125</v>
      </c>
    </row>
    <row r="500" spans="1:7" ht="31.5">
      <c r="A500" s="26" t="s">
        <v>385</v>
      </c>
      <c r="B500" s="21" t="s">
        <v>387</v>
      </c>
      <c r="C500" s="42" t="s">
        <v>351</v>
      </c>
      <c r="D500" s="42" t="s">
        <v>202</v>
      </c>
      <c r="E500" s="2"/>
      <c r="F500" s="2"/>
      <c r="G500" s="7">
        <f>G501+G504+G507</f>
        <v>125</v>
      </c>
    </row>
    <row r="501" spans="1:7" ht="47.25" hidden="1">
      <c r="A501" s="26" t="s">
        <v>388</v>
      </c>
      <c r="B501" s="21" t="s">
        <v>389</v>
      </c>
      <c r="C501" s="42" t="s">
        <v>351</v>
      </c>
      <c r="D501" s="42" t="s">
        <v>202</v>
      </c>
      <c r="E501" s="2"/>
      <c r="F501" s="2"/>
      <c r="G501" s="7">
        <f>G502</f>
        <v>0</v>
      </c>
    </row>
    <row r="502" spans="1:7" ht="47.25" hidden="1">
      <c r="A502" s="26" t="s">
        <v>183</v>
      </c>
      <c r="B502" s="21" t="s">
        <v>389</v>
      </c>
      <c r="C502" s="42" t="s">
        <v>351</v>
      </c>
      <c r="D502" s="42" t="s">
        <v>202</v>
      </c>
      <c r="E502" s="2">
        <v>200</v>
      </c>
      <c r="F502" s="2"/>
      <c r="G502" s="7">
        <f>G503</f>
        <v>0</v>
      </c>
    </row>
    <row r="503" spans="1:7" ht="47.25" hidden="1">
      <c r="A503" s="26" t="s">
        <v>185</v>
      </c>
      <c r="B503" s="21" t="s">
        <v>389</v>
      </c>
      <c r="C503" s="42" t="s">
        <v>351</v>
      </c>
      <c r="D503" s="42" t="s">
        <v>202</v>
      </c>
      <c r="E503" s="2">
        <v>240</v>
      </c>
      <c r="F503" s="2"/>
      <c r="G503" s="7">
        <f>'Прил.№4 ведомств.'!G419</f>
        <v>0</v>
      </c>
    </row>
    <row r="504" spans="1:7" ht="31.5">
      <c r="A504" s="26" t="s">
        <v>390</v>
      </c>
      <c r="B504" s="21" t="s">
        <v>391</v>
      </c>
      <c r="C504" s="42" t="s">
        <v>351</v>
      </c>
      <c r="D504" s="42" t="s">
        <v>202</v>
      </c>
      <c r="E504" s="2"/>
      <c r="F504" s="2"/>
      <c r="G504" s="7">
        <f>G505</f>
        <v>20</v>
      </c>
    </row>
    <row r="505" spans="1:7" ht="47.25">
      <c r="A505" s="26" t="s">
        <v>183</v>
      </c>
      <c r="B505" s="21" t="s">
        <v>391</v>
      </c>
      <c r="C505" s="42" t="s">
        <v>351</v>
      </c>
      <c r="D505" s="42" t="s">
        <v>202</v>
      </c>
      <c r="E505" s="2">
        <v>200</v>
      </c>
      <c r="F505" s="2"/>
      <c r="G505" s="7">
        <f>G506</f>
        <v>20</v>
      </c>
    </row>
    <row r="506" spans="1:7" ht="47.25">
      <c r="A506" s="26" t="s">
        <v>185</v>
      </c>
      <c r="B506" s="21" t="s">
        <v>391</v>
      </c>
      <c r="C506" s="42" t="s">
        <v>351</v>
      </c>
      <c r="D506" s="42" t="s">
        <v>202</v>
      </c>
      <c r="E506" s="2">
        <v>240</v>
      </c>
      <c r="F506" s="2"/>
      <c r="G506" s="7">
        <f>'Прил.№4 ведомств.'!G425</f>
        <v>20</v>
      </c>
    </row>
    <row r="507" spans="1:7" ht="47.25">
      <c r="A507" s="26" t="s">
        <v>762</v>
      </c>
      <c r="B507" s="21" t="s">
        <v>763</v>
      </c>
      <c r="C507" s="42" t="s">
        <v>351</v>
      </c>
      <c r="D507" s="42" t="s">
        <v>202</v>
      </c>
      <c r="E507" s="2"/>
      <c r="F507" s="2"/>
      <c r="G507" s="7">
        <f>G508</f>
        <v>105</v>
      </c>
    </row>
    <row r="508" spans="1:7" ht="47.25">
      <c r="A508" s="26" t="s">
        <v>183</v>
      </c>
      <c r="B508" s="21" t="s">
        <v>763</v>
      </c>
      <c r="C508" s="42" t="s">
        <v>351</v>
      </c>
      <c r="D508" s="42" t="s">
        <v>202</v>
      </c>
      <c r="E508" s="2">
        <v>200</v>
      </c>
      <c r="F508" s="2"/>
      <c r="G508" s="7">
        <f>G509</f>
        <v>105</v>
      </c>
    </row>
    <row r="509" spans="1:7" ht="47.25">
      <c r="A509" s="26" t="s">
        <v>185</v>
      </c>
      <c r="B509" s="21" t="s">
        <v>763</v>
      </c>
      <c r="C509" s="42" t="s">
        <v>351</v>
      </c>
      <c r="D509" s="42" t="s">
        <v>202</v>
      </c>
      <c r="E509" s="2">
        <v>240</v>
      </c>
      <c r="F509" s="2"/>
      <c r="G509" s="7">
        <f>'Прил.№4 ведомств.'!G431</f>
        <v>105</v>
      </c>
    </row>
    <row r="510" spans="1:7" ht="63">
      <c r="A510" s="47" t="s">
        <v>313</v>
      </c>
      <c r="B510" s="21" t="s">
        <v>387</v>
      </c>
      <c r="C510" s="42" t="s">
        <v>351</v>
      </c>
      <c r="D510" s="42" t="s">
        <v>202</v>
      </c>
      <c r="E510" s="2"/>
      <c r="F510" s="2">
        <v>903</v>
      </c>
      <c r="G510" s="7">
        <f>G499</f>
        <v>125</v>
      </c>
    </row>
    <row r="511" spans="1:7" ht="78.75">
      <c r="A511" s="43" t="s">
        <v>805</v>
      </c>
      <c r="B511" s="25" t="s">
        <v>803</v>
      </c>
      <c r="C511" s="8"/>
      <c r="D511" s="8"/>
      <c r="E511" s="3"/>
      <c r="F511" s="3"/>
      <c r="G511" s="4">
        <f>G512+G521</f>
        <v>34</v>
      </c>
    </row>
    <row r="512" spans="1:9" s="145" customFormat="1" ht="15.75">
      <c r="A512" s="31" t="s">
        <v>169</v>
      </c>
      <c r="B512" s="21" t="s">
        <v>803</v>
      </c>
      <c r="C512" s="42" t="s">
        <v>170</v>
      </c>
      <c r="D512" s="42"/>
      <c r="E512" s="2"/>
      <c r="F512" s="2"/>
      <c r="G512" s="7">
        <f>G513</f>
        <v>29</v>
      </c>
      <c r="I512" s="146"/>
    </row>
    <row r="513" spans="1:9" s="145" customFormat="1" ht="31.5">
      <c r="A513" s="31" t="s">
        <v>191</v>
      </c>
      <c r="B513" s="21" t="s">
        <v>803</v>
      </c>
      <c r="C513" s="42" t="s">
        <v>170</v>
      </c>
      <c r="D513" s="42" t="s">
        <v>192</v>
      </c>
      <c r="E513" s="2"/>
      <c r="F513" s="2"/>
      <c r="G513" s="7">
        <f>G514+G517</f>
        <v>29</v>
      </c>
      <c r="I513" s="146"/>
    </row>
    <row r="514" spans="1:7" ht="47.25">
      <c r="A514" s="33" t="s">
        <v>209</v>
      </c>
      <c r="B514" s="21" t="s">
        <v>811</v>
      </c>
      <c r="C514" s="42" t="s">
        <v>170</v>
      </c>
      <c r="D514" s="42" t="s">
        <v>192</v>
      </c>
      <c r="E514" s="2"/>
      <c r="F514" s="2"/>
      <c r="G514" s="7">
        <f>G515</f>
        <v>29</v>
      </c>
    </row>
    <row r="515" spans="1:7" ht="47.25">
      <c r="A515" s="26" t="s">
        <v>183</v>
      </c>
      <c r="B515" s="21" t="s">
        <v>811</v>
      </c>
      <c r="C515" s="42" t="s">
        <v>170</v>
      </c>
      <c r="D515" s="42" t="s">
        <v>192</v>
      </c>
      <c r="E515" s="2">
        <v>200</v>
      </c>
      <c r="F515" s="2"/>
      <c r="G515" s="7">
        <f>G516</f>
        <v>29</v>
      </c>
    </row>
    <row r="516" spans="1:7" ht="47.25">
      <c r="A516" s="26" t="s">
        <v>185</v>
      </c>
      <c r="B516" s="21" t="s">
        <v>811</v>
      </c>
      <c r="C516" s="42" t="s">
        <v>170</v>
      </c>
      <c r="D516" s="42" t="s">
        <v>192</v>
      </c>
      <c r="E516" s="2">
        <v>240</v>
      </c>
      <c r="F516" s="2"/>
      <c r="G516" s="7">
        <f>'Прил.№4 ведомств.'!G100</f>
        <v>29</v>
      </c>
    </row>
    <row r="517" spans="1:7" ht="66" customHeight="1" hidden="1">
      <c r="A517" s="31"/>
      <c r="B517" s="21" t="s">
        <v>804</v>
      </c>
      <c r="C517" s="42" t="s">
        <v>170</v>
      </c>
      <c r="D517" s="42" t="s">
        <v>192</v>
      </c>
      <c r="E517" s="2"/>
      <c r="F517" s="2"/>
      <c r="G517" s="7">
        <f>G518</f>
        <v>0</v>
      </c>
    </row>
    <row r="518" spans="1:7" ht="47.25" hidden="1">
      <c r="A518" s="26" t="s">
        <v>183</v>
      </c>
      <c r="B518" s="21" t="s">
        <v>804</v>
      </c>
      <c r="C518" s="42" t="s">
        <v>170</v>
      </c>
      <c r="D518" s="42" t="s">
        <v>192</v>
      </c>
      <c r="E518" s="2">
        <v>200</v>
      </c>
      <c r="F518" s="2"/>
      <c r="G518" s="7">
        <f>G519</f>
        <v>0</v>
      </c>
    </row>
    <row r="519" spans="1:7" ht="47.25" hidden="1">
      <c r="A519" s="26" t="s">
        <v>185</v>
      </c>
      <c r="B519" s="21" t="s">
        <v>804</v>
      </c>
      <c r="C519" s="42" t="s">
        <v>170</v>
      </c>
      <c r="D519" s="42" t="s">
        <v>192</v>
      </c>
      <c r="E519" s="2">
        <v>240</v>
      </c>
      <c r="F519" s="2"/>
      <c r="G519" s="7">
        <f>'Прил.№4 ведомств.'!G103</f>
        <v>0</v>
      </c>
    </row>
    <row r="520" spans="1:7" ht="31.5">
      <c r="A520" s="31" t="s">
        <v>200</v>
      </c>
      <c r="B520" s="21" t="s">
        <v>803</v>
      </c>
      <c r="C520" s="42" t="s">
        <v>170</v>
      </c>
      <c r="D520" s="42" t="s">
        <v>192</v>
      </c>
      <c r="E520" s="2"/>
      <c r="F520" s="2">
        <v>902</v>
      </c>
      <c r="G520" s="7">
        <f>G511</f>
        <v>34</v>
      </c>
    </row>
    <row r="521" spans="1:9" s="145" customFormat="1" ht="15.75">
      <c r="A521" s="26" t="s">
        <v>350</v>
      </c>
      <c r="B521" s="21" t="s">
        <v>803</v>
      </c>
      <c r="C521" s="42" t="s">
        <v>351</v>
      </c>
      <c r="D521" s="42"/>
      <c r="E521" s="2"/>
      <c r="F521" s="2"/>
      <c r="G521" s="7">
        <f>G522</f>
        <v>5</v>
      </c>
      <c r="I521" s="146"/>
    </row>
    <row r="522" spans="1:7" ht="31.5">
      <c r="A522" s="43" t="s">
        <v>385</v>
      </c>
      <c r="B522" s="21" t="s">
        <v>803</v>
      </c>
      <c r="C522" s="42" t="s">
        <v>351</v>
      </c>
      <c r="D522" s="42" t="s">
        <v>202</v>
      </c>
      <c r="E522" s="2"/>
      <c r="F522" s="2"/>
      <c r="G522" s="7">
        <f>G523</f>
        <v>5</v>
      </c>
    </row>
    <row r="523" spans="1:7" ht="47.25">
      <c r="A523" s="33" t="s">
        <v>209</v>
      </c>
      <c r="B523" s="21" t="s">
        <v>811</v>
      </c>
      <c r="C523" s="42" t="s">
        <v>351</v>
      </c>
      <c r="D523" s="42" t="s">
        <v>202</v>
      </c>
      <c r="E523" s="2"/>
      <c r="F523" s="2"/>
      <c r="G523" s="7">
        <f>G524</f>
        <v>5</v>
      </c>
    </row>
    <row r="524" spans="1:7" ht="47.25">
      <c r="A524" s="26" t="s">
        <v>183</v>
      </c>
      <c r="B524" s="21" t="s">
        <v>811</v>
      </c>
      <c r="C524" s="42" t="s">
        <v>351</v>
      </c>
      <c r="D524" s="42" t="s">
        <v>202</v>
      </c>
      <c r="E524" s="2">
        <v>200</v>
      </c>
      <c r="F524" s="2"/>
      <c r="G524" s="7">
        <f>G525</f>
        <v>5</v>
      </c>
    </row>
    <row r="525" spans="1:7" ht="47.25">
      <c r="A525" s="26" t="s">
        <v>185</v>
      </c>
      <c r="B525" s="21" t="s">
        <v>811</v>
      </c>
      <c r="C525" s="42" t="s">
        <v>351</v>
      </c>
      <c r="D525" s="42" t="s">
        <v>202</v>
      </c>
      <c r="E525" s="2">
        <v>240</v>
      </c>
      <c r="F525" s="2"/>
      <c r="G525" s="7">
        <f>'Прил.№4 ведомств.'!G438</f>
        <v>5</v>
      </c>
    </row>
    <row r="526" spans="1:7" ht="63">
      <c r="A526" s="47" t="s">
        <v>313</v>
      </c>
      <c r="B526" s="21" t="s">
        <v>803</v>
      </c>
      <c r="C526" s="42" t="s">
        <v>351</v>
      </c>
      <c r="D526" s="42" t="s">
        <v>202</v>
      </c>
      <c r="E526" s="2"/>
      <c r="F526" s="2">
        <v>903</v>
      </c>
      <c r="G526" s="7">
        <f>G522</f>
        <v>5</v>
      </c>
    </row>
    <row r="527" spans="1:7" ht="78.75">
      <c r="A527" s="24" t="s">
        <v>807</v>
      </c>
      <c r="B527" s="25" t="s">
        <v>809</v>
      </c>
      <c r="C527" s="8"/>
      <c r="D527" s="8"/>
      <c r="E527" s="3"/>
      <c r="F527" s="3"/>
      <c r="G527" s="4">
        <f>G528</f>
        <v>600</v>
      </c>
    </row>
    <row r="528" spans="1:7" ht="15.75">
      <c r="A528" s="26" t="s">
        <v>443</v>
      </c>
      <c r="B528" s="21" t="s">
        <v>809</v>
      </c>
      <c r="C528" s="42" t="s">
        <v>286</v>
      </c>
      <c r="D528" s="42"/>
      <c r="E528" s="2"/>
      <c r="F528" s="2"/>
      <c r="G528" s="7">
        <f>G529</f>
        <v>600</v>
      </c>
    </row>
    <row r="529" spans="1:7" ht="15.75">
      <c r="A529" s="26" t="s">
        <v>594</v>
      </c>
      <c r="B529" s="21" t="s">
        <v>809</v>
      </c>
      <c r="C529" s="42" t="s">
        <v>286</v>
      </c>
      <c r="D529" s="42" t="s">
        <v>267</v>
      </c>
      <c r="E529" s="2"/>
      <c r="F529" s="2"/>
      <c r="G529" s="7">
        <f>G530</f>
        <v>600</v>
      </c>
    </row>
    <row r="530" spans="1:7" ht="31.5">
      <c r="A530" s="150" t="s">
        <v>808</v>
      </c>
      <c r="B530" s="21" t="s">
        <v>810</v>
      </c>
      <c r="C530" s="42" t="s">
        <v>286</v>
      </c>
      <c r="D530" s="42" t="s">
        <v>267</v>
      </c>
      <c r="E530" s="2"/>
      <c r="F530" s="2"/>
      <c r="G530" s="7">
        <f>G531</f>
        <v>600</v>
      </c>
    </row>
    <row r="531" spans="1:7" ht="47.25">
      <c r="A531" s="26" t="s">
        <v>183</v>
      </c>
      <c r="B531" s="21" t="s">
        <v>810</v>
      </c>
      <c r="C531" s="42" t="s">
        <v>286</v>
      </c>
      <c r="D531" s="42" t="s">
        <v>267</v>
      </c>
      <c r="E531" s="2">
        <v>200</v>
      </c>
      <c r="F531" s="2"/>
      <c r="G531" s="7">
        <f>G532</f>
        <v>600</v>
      </c>
    </row>
    <row r="532" spans="1:7" ht="47.25">
      <c r="A532" s="26" t="s">
        <v>185</v>
      </c>
      <c r="B532" s="21" t="s">
        <v>810</v>
      </c>
      <c r="C532" s="42" t="s">
        <v>286</v>
      </c>
      <c r="D532" s="42" t="s">
        <v>267</v>
      </c>
      <c r="E532" s="2">
        <v>240</v>
      </c>
      <c r="F532" s="2"/>
      <c r="G532" s="7">
        <f>'Прил.№4 ведомств.'!G1013</f>
        <v>600</v>
      </c>
    </row>
    <row r="533" spans="1:7" ht="47.25">
      <c r="A533" s="47" t="s">
        <v>701</v>
      </c>
      <c r="B533" s="21" t="s">
        <v>809</v>
      </c>
      <c r="C533" s="42" t="s">
        <v>286</v>
      </c>
      <c r="D533" s="42" t="s">
        <v>267</v>
      </c>
      <c r="E533" s="2"/>
      <c r="F533" s="2">
        <v>908</v>
      </c>
      <c r="G533" s="7">
        <f>G527</f>
        <v>600</v>
      </c>
    </row>
    <row r="534" spans="1:7" ht="15.75">
      <c r="A534" s="83" t="s">
        <v>735</v>
      </c>
      <c r="B534" s="83"/>
      <c r="C534" s="83"/>
      <c r="D534" s="89"/>
      <c r="E534" s="89"/>
      <c r="F534" s="89"/>
      <c r="G534" s="144">
        <f>G10+G19+G102+G217+G224+G242+G249+G271+G326+G409+G419+G451+G458+G487+G511+G527</f>
        <v>222940.79999999996</v>
      </c>
    </row>
  </sheetData>
  <mergeCells count="1">
    <mergeCell ref="A5:G5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60" workbookViewId="0" topLeftCell="A29">
      <selection activeCell="G6" sqref="G6"/>
    </sheetView>
  </sheetViews>
  <sheetFormatPr defaultColWidth="9.140625" defaultRowHeight="15"/>
  <cols>
    <col min="1" max="1" width="33.28125" style="0" customWidth="1"/>
    <col min="2" max="2" width="7.7109375" style="0" customWidth="1"/>
    <col min="4" max="4" width="8.00390625" style="0" customWidth="1"/>
    <col min="5" max="5" width="15.8515625" style="0" customWidth="1"/>
    <col min="7" max="8" width="16.8515625" style="0" customWidth="1"/>
    <col min="9" max="9" width="15.00390625" style="0" customWidth="1"/>
  </cols>
  <sheetData>
    <row r="1" ht="18.75">
      <c r="H1" s="343" t="s">
        <v>694</v>
      </c>
    </row>
    <row r="2" ht="18.75">
      <c r="H2" s="343" t="s">
        <v>1045</v>
      </c>
    </row>
    <row r="3" ht="18.75">
      <c r="H3" s="343" t="s">
        <v>1026</v>
      </c>
    </row>
    <row r="4" ht="18.75">
      <c r="H4" s="343" t="s">
        <v>1046</v>
      </c>
    </row>
    <row r="5" ht="18.75">
      <c r="H5" s="343" t="s">
        <v>1047</v>
      </c>
    </row>
    <row r="6" ht="18.75">
      <c r="G6" s="343"/>
    </row>
    <row r="7" spans="1:9" ht="15.75">
      <c r="A7" s="13"/>
      <c r="B7" s="13"/>
      <c r="C7" s="13"/>
      <c r="D7" s="13"/>
      <c r="E7" s="13"/>
      <c r="F7" s="13"/>
      <c r="G7" s="73"/>
      <c r="H7" s="73"/>
      <c r="I7" s="73"/>
    </row>
    <row r="8" spans="1:9" ht="15" customHeight="1">
      <c r="A8" s="342" t="s">
        <v>1034</v>
      </c>
      <c r="B8" s="342"/>
      <c r="C8" s="342"/>
      <c r="D8" s="342"/>
      <c r="E8" s="342"/>
      <c r="F8" s="342"/>
      <c r="G8" s="342"/>
      <c r="H8" s="342"/>
      <c r="I8" s="342"/>
    </row>
    <row r="9" spans="1:9" ht="15" customHeight="1">
      <c r="A9" s="342"/>
      <c r="B9" s="342"/>
      <c r="C9" s="342"/>
      <c r="D9" s="342"/>
      <c r="E9" s="342"/>
      <c r="F9" s="342"/>
      <c r="G9" s="342"/>
      <c r="H9" s="342"/>
      <c r="I9" s="342"/>
    </row>
    <row r="10" spans="1:9" ht="15.75">
      <c r="A10" s="13"/>
      <c r="B10" s="13"/>
      <c r="C10" s="13"/>
      <c r="D10" s="13"/>
      <c r="E10" s="90"/>
      <c r="F10" s="90"/>
      <c r="G10" s="76"/>
      <c r="H10" s="76"/>
      <c r="I10" s="76"/>
    </row>
    <row r="11" spans="1:9" ht="63">
      <c r="A11" s="91" t="s">
        <v>646</v>
      </c>
      <c r="B11" s="91" t="s">
        <v>699</v>
      </c>
      <c r="C11" s="91" t="s">
        <v>696</v>
      </c>
      <c r="D11" s="91" t="s">
        <v>697</v>
      </c>
      <c r="E11" s="91" t="s">
        <v>695</v>
      </c>
      <c r="F11" s="91" t="s">
        <v>698</v>
      </c>
      <c r="G11" s="293" t="s">
        <v>1023</v>
      </c>
      <c r="H11" s="293" t="s">
        <v>1028</v>
      </c>
      <c r="I11" s="293" t="s">
        <v>1024</v>
      </c>
    </row>
    <row r="12" spans="1:9" ht="95.25" customHeight="1" hidden="1">
      <c r="A12" s="337" t="s">
        <v>736</v>
      </c>
      <c r="B12" s="337"/>
      <c r="C12" s="337"/>
      <c r="D12" s="337"/>
      <c r="E12" s="337"/>
      <c r="F12" s="337"/>
      <c r="G12" s="92">
        <f>G14</f>
        <v>0</v>
      </c>
      <c r="H12" s="92">
        <f>H14</f>
        <v>0</v>
      </c>
      <c r="I12" s="92">
        <f>I14</f>
        <v>0</v>
      </c>
    </row>
    <row r="13" spans="1:9" ht="78.75" hidden="1">
      <c r="A13" s="5" t="s">
        <v>737</v>
      </c>
      <c r="B13" s="5">
        <v>903</v>
      </c>
      <c r="C13" s="5"/>
      <c r="D13" s="5"/>
      <c r="E13" s="5"/>
      <c r="F13" s="5"/>
      <c r="G13" s="92">
        <f aca="true" t="shared" si="0" ref="G13:I14">G14</f>
        <v>0</v>
      </c>
      <c r="H13" s="92">
        <f t="shared" si="0"/>
        <v>0</v>
      </c>
      <c r="I13" s="92">
        <f t="shared" si="0"/>
        <v>0</v>
      </c>
    </row>
    <row r="14" spans="1:9" ht="15.75" hidden="1">
      <c r="A14" s="47" t="s">
        <v>295</v>
      </c>
      <c r="B14" s="6">
        <v>903</v>
      </c>
      <c r="C14" s="42" t="s">
        <v>296</v>
      </c>
      <c r="D14" s="42"/>
      <c r="E14" s="42"/>
      <c r="F14" s="42"/>
      <c r="G14" s="93">
        <f t="shared" si="0"/>
        <v>0</v>
      </c>
      <c r="H14" s="93">
        <f t="shared" si="0"/>
        <v>0</v>
      </c>
      <c r="I14" s="93">
        <f t="shared" si="0"/>
        <v>0</v>
      </c>
    </row>
    <row r="15" spans="1:9" ht="15.75" hidden="1">
      <c r="A15" s="31" t="s">
        <v>173</v>
      </c>
      <c r="B15" s="6">
        <v>903</v>
      </c>
      <c r="C15" s="42" t="s">
        <v>296</v>
      </c>
      <c r="D15" s="42" t="s">
        <v>267</v>
      </c>
      <c r="E15" s="42" t="s">
        <v>174</v>
      </c>
      <c r="F15" s="42"/>
      <c r="G15" s="93">
        <f>G17</f>
        <v>0</v>
      </c>
      <c r="H15" s="93">
        <f>H17</f>
        <v>0</v>
      </c>
      <c r="I15" s="93">
        <f>I17</f>
        <v>0</v>
      </c>
    </row>
    <row r="16" spans="1:9" ht="31.5" hidden="1">
      <c r="A16" s="31" t="s">
        <v>193</v>
      </c>
      <c r="B16" s="6">
        <v>903</v>
      </c>
      <c r="C16" s="42" t="s">
        <v>296</v>
      </c>
      <c r="D16" s="42" t="s">
        <v>267</v>
      </c>
      <c r="E16" s="42" t="s">
        <v>194</v>
      </c>
      <c r="F16" s="42"/>
      <c r="G16" s="93">
        <f aca="true" t="shared" si="1" ref="G16:I18">G17</f>
        <v>0</v>
      </c>
      <c r="H16" s="93">
        <f t="shared" si="1"/>
        <v>0</v>
      </c>
      <c r="I16" s="93">
        <f t="shared" si="1"/>
        <v>0</v>
      </c>
    </row>
    <row r="17" spans="1:9" ht="31.5" hidden="1">
      <c r="A17" s="31" t="s">
        <v>253</v>
      </c>
      <c r="B17" s="6">
        <v>903</v>
      </c>
      <c r="C17" s="42" t="s">
        <v>296</v>
      </c>
      <c r="D17" s="42" t="s">
        <v>267</v>
      </c>
      <c r="E17" s="42" t="s">
        <v>254</v>
      </c>
      <c r="F17" s="42"/>
      <c r="G17" s="93">
        <f t="shared" si="1"/>
        <v>0</v>
      </c>
      <c r="H17" s="93">
        <f t="shared" si="1"/>
        <v>0</v>
      </c>
      <c r="I17" s="93">
        <f t="shared" si="1"/>
        <v>0</v>
      </c>
    </row>
    <row r="18" spans="1:9" ht="31.5" hidden="1">
      <c r="A18" s="31" t="s">
        <v>300</v>
      </c>
      <c r="B18" s="6">
        <v>903</v>
      </c>
      <c r="C18" s="42" t="s">
        <v>296</v>
      </c>
      <c r="D18" s="42" t="s">
        <v>267</v>
      </c>
      <c r="E18" s="42" t="s">
        <v>254</v>
      </c>
      <c r="F18" s="42" t="s">
        <v>301</v>
      </c>
      <c r="G18" s="93">
        <f t="shared" si="1"/>
        <v>0</v>
      </c>
      <c r="H18" s="93">
        <f t="shared" si="1"/>
        <v>0</v>
      </c>
      <c r="I18" s="93">
        <f t="shared" si="1"/>
        <v>0</v>
      </c>
    </row>
    <row r="19" spans="1:9" ht="47.25" hidden="1">
      <c r="A19" s="31" t="s">
        <v>400</v>
      </c>
      <c r="B19" s="6">
        <v>903</v>
      </c>
      <c r="C19" s="42" t="s">
        <v>296</v>
      </c>
      <c r="D19" s="42" t="s">
        <v>267</v>
      </c>
      <c r="E19" s="42" t="s">
        <v>254</v>
      </c>
      <c r="F19" s="42" t="s">
        <v>401</v>
      </c>
      <c r="G19" s="93"/>
      <c r="H19" s="93"/>
      <c r="I19" s="93"/>
    </row>
    <row r="20" spans="1:9" ht="64.5" customHeight="1" hidden="1">
      <c r="A20" s="339" t="s">
        <v>919</v>
      </c>
      <c r="B20" s="340"/>
      <c r="C20" s="340"/>
      <c r="D20" s="340"/>
      <c r="E20" s="340"/>
      <c r="F20" s="341"/>
      <c r="G20" s="92">
        <f aca="true" t="shared" si="2" ref="G20:I27">G21</f>
        <v>9066.4</v>
      </c>
      <c r="H20" s="92">
        <f t="shared" si="2"/>
        <v>4536.8</v>
      </c>
      <c r="I20" s="92">
        <f t="shared" si="2"/>
        <v>50.03970705020736</v>
      </c>
    </row>
    <row r="21" spans="1:9" ht="50.25" customHeight="1" hidden="1">
      <c r="A21" s="241" t="s">
        <v>200</v>
      </c>
      <c r="B21" s="241">
        <v>902</v>
      </c>
      <c r="C21" s="241"/>
      <c r="D21" s="241"/>
      <c r="E21" s="241"/>
      <c r="F21" s="241"/>
      <c r="G21" s="92">
        <f t="shared" si="2"/>
        <v>9066.4</v>
      </c>
      <c r="H21" s="92">
        <f t="shared" si="2"/>
        <v>4536.8</v>
      </c>
      <c r="I21" s="92">
        <f t="shared" si="2"/>
        <v>50.03970705020736</v>
      </c>
    </row>
    <row r="22" spans="1:9" ht="15.75" hidden="1">
      <c r="A22" s="24" t="s">
        <v>295</v>
      </c>
      <c r="B22" s="20">
        <v>902</v>
      </c>
      <c r="C22" s="25" t="s">
        <v>296</v>
      </c>
      <c r="D22" s="25"/>
      <c r="E22" s="25"/>
      <c r="F22" s="25"/>
      <c r="G22" s="92">
        <f t="shared" si="2"/>
        <v>9066.4</v>
      </c>
      <c r="H22" s="92">
        <f t="shared" si="2"/>
        <v>4536.8</v>
      </c>
      <c r="I22" s="92">
        <f t="shared" si="2"/>
        <v>50.03970705020736</v>
      </c>
    </row>
    <row r="23" spans="1:9" ht="15.75" hidden="1">
      <c r="A23" s="24" t="s">
        <v>297</v>
      </c>
      <c r="B23" s="20">
        <v>902</v>
      </c>
      <c r="C23" s="25" t="s">
        <v>296</v>
      </c>
      <c r="D23" s="25" t="s">
        <v>170</v>
      </c>
      <c r="E23" s="25"/>
      <c r="F23" s="25"/>
      <c r="G23" s="92">
        <f t="shared" si="2"/>
        <v>9066.4</v>
      </c>
      <c r="H23" s="92">
        <f t="shared" si="2"/>
        <v>4536.8</v>
      </c>
      <c r="I23" s="92">
        <f t="shared" si="2"/>
        <v>50.03970705020736</v>
      </c>
    </row>
    <row r="24" spans="1:9" ht="15.75" hidden="1">
      <c r="A24" s="26" t="s">
        <v>173</v>
      </c>
      <c r="B24" s="17">
        <v>902</v>
      </c>
      <c r="C24" s="21" t="s">
        <v>296</v>
      </c>
      <c r="D24" s="21" t="s">
        <v>170</v>
      </c>
      <c r="E24" s="21" t="s">
        <v>174</v>
      </c>
      <c r="F24" s="21"/>
      <c r="G24" s="93">
        <f t="shared" si="2"/>
        <v>9066.4</v>
      </c>
      <c r="H24" s="93">
        <f t="shared" si="2"/>
        <v>4536.8</v>
      </c>
      <c r="I24" s="93">
        <f t="shared" si="2"/>
        <v>50.03970705020736</v>
      </c>
    </row>
    <row r="25" spans="1:9" ht="31.5" hidden="1">
      <c r="A25" s="26" t="s">
        <v>193</v>
      </c>
      <c r="B25" s="17">
        <v>902</v>
      </c>
      <c r="C25" s="21" t="s">
        <v>296</v>
      </c>
      <c r="D25" s="21" t="s">
        <v>170</v>
      </c>
      <c r="E25" s="21" t="s">
        <v>194</v>
      </c>
      <c r="F25" s="21"/>
      <c r="G25" s="93">
        <f t="shared" si="2"/>
        <v>9066.4</v>
      </c>
      <c r="H25" s="93">
        <f t="shared" si="2"/>
        <v>4536.8</v>
      </c>
      <c r="I25" s="93">
        <f t="shared" si="2"/>
        <v>50.03970705020736</v>
      </c>
    </row>
    <row r="26" spans="1:9" ht="31.5" hidden="1">
      <c r="A26" s="26" t="s">
        <v>298</v>
      </c>
      <c r="B26" s="17">
        <v>902</v>
      </c>
      <c r="C26" s="21" t="s">
        <v>296</v>
      </c>
      <c r="D26" s="21" t="s">
        <v>170</v>
      </c>
      <c r="E26" s="21" t="s">
        <v>299</v>
      </c>
      <c r="F26" s="21"/>
      <c r="G26" s="93">
        <f t="shared" si="2"/>
        <v>9066.4</v>
      </c>
      <c r="H26" s="93">
        <f t="shared" si="2"/>
        <v>4536.8</v>
      </c>
      <c r="I26" s="93">
        <f t="shared" si="2"/>
        <v>50.03970705020736</v>
      </c>
    </row>
    <row r="27" spans="1:9" ht="31.5" hidden="1">
      <c r="A27" s="26" t="s">
        <v>300</v>
      </c>
      <c r="B27" s="17">
        <v>902</v>
      </c>
      <c r="C27" s="21" t="s">
        <v>296</v>
      </c>
      <c r="D27" s="21" t="s">
        <v>170</v>
      </c>
      <c r="E27" s="21" t="s">
        <v>299</v>
      </c>
      <c r="F27" s="21" t="s">
        <v>301</v>
      </c>
      <c r="G27" s="93">
        <f t="shared" si="2"/>
        <v>9066.4</v>
      </c>
      <c r="H27" s="93">
        <f t="shared" si="2"/>
        <v>4536.8</v>
      </c>
      <c r="I27" s="93">
        <f t="shared" si="2"/>
        <v>50.03970705020736</v>
      </c>
    </row>
    <row r="28" spans="1:9" ht="63" hidden="1">
      <c r="A28" s="26" t="s">
        <v>302</v>
      </c>
      <c r="B28" s="17">
        <v>902</v>
      </c>
      <c r="C28" s="21" t="s">
        <v>296</v>
      </c>
      <c r="D28" s="21" t="s">
        <v>170</v>
      </c>
      <c r="E28" s="21" t="s">
        <v>299</v>
      </c>
      <c r="F28" s="21" t="s">
        <v>401</v>
      </c>
      <c r="G28" s="93">
        <f>'Прил.№4 ведомств.'!M224</f>
        <v>9066.4</v>
      </c>
      <c r="H28" s="93">
        <f>'Прил.№4 ведомств.'!N224</f>
        <v>4536.8</v>
      </c>
      <c r="I28" s="93">
        <f>'Прил.№4 ведомств.'!O224</f>
        <v>50.03970705020736</v>
      </c>
    </row>
    <row r="29" spans="1:9" ht="59.25" customHeight="1">
      <c r="A29" s="338" t="s">
        <v>738</v>
      </c>
      <c r="B29" s="338"/>
      <c r="C29" s="338"/>
      <c r="D29" s="338"/>
      <c r="E29" s="338"/>
      <c r="F29" s="338"/>
      <c r="G29" s="92">
        <f>G31</f>
        <v>1743</v>
      </c>
      <c r="H29" s="92">
        <f>H31</f>
        <v>924.7</v>
      </c>
      <c r="I29" s="92">
        <f>H29/G29*100</f>
        <v>53.05220883534136</v>
      </c>
    </row>
    <row r="30" spans="1:9" ht="78.75">
      <c r="A30" s="5" t="s">
        <v>737</v>
      </c>
      <c r="B30" s="5">
        <v>903</v>
      </c>
      <c r="C30" s="5"/>
      <c r="D30" s="5"/>
      <c r="E30" s="5"/>
      <c r="F30" s="5"/>
      <c r="G30" s="92">
        <f aca="true" t="shared" si="3" ref="G30:H32">G31</f>
        <v>1743</v>
      </c>
      <c r="H30" s="92">
        <f t="shared" si="3"/>
        <v>924.7</v>
      </c>
      <c r="I30" s="92">
        <f aca="true" t="shared" si="4" ref="I30:I49">H30/G30*100</f>
        <v>53.05220883534136</v>
      </c>
    </row>
    <row r="31" spans="1:9" ht="15.75">
      <c r="A31" s="94" t="s">
        <v>295</v>
      </c>
      <c r="B31" s="10" t="s">
        <v>705</v>
      </c>
      <c r="C31" s="10" t="s">
        <v>296</v>
      </c>
      <c r="D31" s="10"/>
      <c r="E31" s="10"/>
      <c r="F31" s="10"/>
      <c r="G31" s="95">
        <f t="shared" si="3"/>
        <v>1743</v>
      </c>
      <c r="H31" s="95">
        <f t="shared" si="3"/>
        <v>924.7</v>
      </c>
      <c r="I31" s="93">
        <f t="shared" si="4"/>
        <v>53.05220883534136</v>
      </c>
    </row>
    <row r="32" spans="1:9" ht="31.5">
      <c r="A32" s="31" t="s">
        <v>304</v>
      </c>
      <c r="B32" s="6">
        <v>903</v>
      </c>
      <c r="C32" s="42" t="s">
        <v>296</v>
      </c>
      <c r="D32" s="42" t="s">
        <v>267</v>
      </c>
      <c r="E32" s="42"/>
      <c r="F32" s="42"/>
      <c r="G32" s="93">
        <f t="shared" si="3"/>
        <v>1743</v>
      </c>
      <c r="H32" s="93">
        <f t="shared" si="3"/>
        <v>924.7</v>
      </c>
      <c r="I32" s="93">
        <f t="shared" si="4"/>
        <v>53.05220883534136</v>
      </c>
    </row>
    <row r="33" spans="1:9" ht="78.75">
      <c r="A33" s="31" t="s">
        <v>739</v>
      </c>
      <c r="B33" s="6">
        <v>903</v>
      </c>
      <c r="C33" s="42" t="s">
        <v>296</v>
      </c>
      <c r="D33" s="42" t="s">
        <v>267</v>
      </c>
      <c r="E33" s="42" t="s">
        <v>396</v>
      </c>
      <c r="F33" s="42"/>
      <c r="G33" s="93">
        <f>G37+G34+G41+G45</f>
        <v>1743</v>
      </c>
      <c r="H33" s="93">
        <f>H37+H34+H41+H45</f>
        <v>924.7</v>
      </c>
      <c r="I33" s="93">
        <f t="shared" si="4"/>
        <v>53.05220883534136</v>
      </c>
    </row>
    <row r="34" spans="1:9" ht="47.25">
      <c r="A34" s="31" t="s">
        <v>397</v>
      </c>
      <c r="B34" s="6">
        <v>903</v>
      </c>
      <c r="C34" s="42" t="s">
        <v>296</v>
      </c>
      <c r="D34" s="42" t="s">
        <v>267</v>
      </c>
      <c r="E34" s="42" t="s">
        <v>398</v>
      </c>
      <c r="F34" s="42"/>
      <c r="G34" s="93">
        <f>G35</f>
        <v>25</v>
      </c>
      <c r="H34" s="93">
        <f>H35</f>
        <v>25</v>
      </c>
      <c r="I34" s="93">
        <f t="shared" si="4"/>
        <v>100</v>
      </c>
    </row>
    <row r="35" spans="1:9" ht="31.5">
      <c r="A35" s="31" t="s">
        <v>300</v>
      </c>
      <c r="B35" s="6">
        <v>903</v>
      </c>
      <c r="C35" s="42" t="s">
        <v>296</v>
      </c>
      <c r="D35" s="42" t="s">
        <v>267</v>
      </c>
      <c r="E35" s="42" t="s">
        <v>399</v>
      </c>
      <c r="F35" s="42" t="s">
        <v>301</v>
      </c>
      <c r="G35" s="93">
        <f>G36</f>
        <v>25</v>
      </c>
      <c r="H35" s="93">
        <f>H36</f>
        <v>25</v>
      </c>
      <c r="I35" s="93">
        <f t="shared" si="4"/>
        <v>100</v>
      </c>
    </row>
    <row r="36" spans="1:9" ht="47.25">
      <c r="A36" s="31" t="s">
        <v>400</v>
      </c>
      <c r="B36" s="6">
        <v>903</v>
      </c>
      <c r="C36" s="42" t="s">
        <v>296</v>
      </c>
      <c r="D36" s="42" t="s">
        <v>267</v>
      </c>
      <c r="E36" s="42" t="s">
        <v>399</v>
      </c>
      <c r="F36" s="42" t="s">
        <v>401</v>
      </c>
      <c r="G36" s="93">
        <f>'Прил.№4 ведомств.'!M464</f>
        <v>25</v>
      </c>
      <c r="H36" s="93">
        <f>'Прил.№4 ведомств.'!N464</f>
        <v>25</v>
      </c>
      <c r="I36" s="93">
        <f t="shared" si="4"/>
        <v>100</v>
      </c>
    </row>
    <row r="37" spans="1:9" ht="63">
      <c r="A37" s="47" t="s">
        <v>707</v>
      </c>
      <c r="B37" s="6">
        <v>903</v>
      </c>
      <c r="C37" s="42" t="s">
        <v>296</v>
      </c>
      <c r="D37" s="42" t="s">
        <v>267</v>
      </c>
      <c r="E37" s="42" t="s">
        <v>408</v>
      </c>
      <c r="F37" s="42"/>
      <c r="G37" s="93">
        <f aca="true" t="shared" si="5" ref="G37:H39">G38</f>
        <v>420</v>
      </c>
      <c r="H37" s="93">
        <f t="shared" si="5"/>
        <v>200</v>
      </c>
      <c r="I37" s="93">
        <f t="shared" si="4"/>
        <v>47.61904761904761</v>
      </c>
    </row>
    <row r="38" spans="1:9" ht="47.25">
      <c r="A38" s="31" t="s">
        <v>209</v>
      </c>
      <c r="B38" s="6">
        <v>903</v>
      </c>
      <c r="C38" s="42" t="s">
        <v>296</v>
      </c>
      <c r="D38" s="42" t="s">
        <v>267</v>
      </c>
      <c r="E38" s="42" t="s">
        <v>409</v>
      </c>
      <c r="F38" s="42"/>
      <c r="G38" s="93">
        <f t="shared" si="5"/>
        <v>420</v>
      </c>
      <c r="H38" s="93">
        <f t="shared" si="5"/>
        <v>200</v>
      </c>
      <c r="I38" s="93">
        <f t="shared" si="4"/>
        <v>47.61904761904761</v>
      </c>
    </row>
    <row r="39" spans="1:9" ht="31.5">
      <c r="A39" s="31" t="s">
        <v>300</v>
      </c>
      <c r="B39" s="6">
        <v>903</v>
      </c>
      <c r="C39" s="42" t="s">
        <v>296</v>
      </c>
      <c r="D39" s="42" t="s">
        <v>267</v>
      </c>
      <c r="E39" s="42" t="s">
        <v>409</v>
      </c>
      <c r="F39" s="42" t="s">
        <v>301</v>
      </c>
      <c r="G39" s="93">
        <f t="shared" si="5"/>
        <v>420</v>
      </c>
      <c r="H39" s="93">
        <f t="shared" si="5"/>
        <v>200</v>
      </c>
      <c r="I39" s="93">
        <f t="shared" si="4"/>
        <v>47.61904761904761</v>
      </c>
    </row>
    <row r="40" spans="1:9" ht="47.25">
      <c r="A40" s="31" t="s">
        <v>400</v>
      </c>
      <c r="B40" s="96">
        <v>903</v>
      </c>
      <c r="C40" s="42" t="s">
        <v>296</v>
      </c>
      <c r="D40" s="42" t="s">
        <v>267</v>
      </c>
      <c r="E40" s="42" t="s">
        <v>409</v>
      </c>
      <c r="F40" s="97" t="s">
        <v>401</v>
      </c>
      <c r="G40" s="93">
        <f>'Прил.№4 ведомств.'!M475</f>
        <v>420</v>
      </c>
      <c r="H40" s="93">
        <f>'Прил.№4 ведомств.'!N475</f>
        <v>200</v>
      </c>
      <c r="I40" s="93">
        <f t="shared" si="4"/>
        <v>47.61904761904761</v>
      </c>
    </row>
    <row r="41" spans="1:9" ht="31.5">
      <c r="A41" s="47" t="s">
        <v>709</v>
      </c>
      <c r="B41" s="6">
        <v>903</v>
      </c>
      <c r="C41" s="42" t="s">
        <v>296</v>
      </c>
      <c r="D41" s="42" t="s">
        <v>267</v>
      </c>
      <c r="E41" s="42" t="s">
        <v>411</v>
      </c>
      <c r="F41" s="42"/>
      <c r="G41" s="85">
        <f aca="true" t="shared" si="6" ref="G41:H43">G42</f>
        <v>1048</v>
      </c>
      <c r="H41" s="85">
        <f t="shared" si="6"/>
        <v>559.7</v>
      </c>
      <c r="I41" s="93">
        <f t="shared" si="4"/>
        <v>53.406488549618324</v>
      </c>
    </row>
    <row r="42" spans="1:9" ht="47.25">
      <c r="A42" s="31" t="s">
        <v>209</v>
      </c>
      <c r="B42" s="6">
        <v>903</v>
      </c>
      <c r="C42" s="98" t="s">
        <v>296</v>
      </c>
      <c r="D42" s="98" t="s">
        <v>267</v>
      </c>
      <c r="E42" s="42" t="s">
        <v>412</v>
      </c>
      <c r="F42" s="98"/>
      <c r="G42" s="85">
        <f t="shared" si="6"/>
        <v>1048</v>
      </c>
      <c r="H42" s="85">
        <f t="shared" si="6"/>
        <v>559.7</v>
      </c>
      <c r="I42" s="93">
        <f t="shared" si="4"/>
        <v>53.406488549618324</v>
      </c>
    </row>
    <row r="43" spans="1:9" ht="31.5">
      <c r="A43" s="31" t="s">
        <v>300</v>
      </c>
      <c r="B43" s="6">
        <v>903</v>
      </c>
      <c r="C43" s="42" t="s">
        <v>296</v>
      </c>
      <c r="D43" s="42" t="s">
        <v>267</v>
      </c>
      <c r="E43" s="42" t="s">
        <v>412</v>
      </c>
      <c r="F43" s="42" t="s">
        <v>301</v>
      </c>
      <c r="G43" s="85">
        <f t="shared" si="6"/>
        <v>1048</v>
      </c>
      <c r="H43" s="85">
        <f t="shared" si="6"/>
        <v>559.7</v>
      </c>
      <c r="I43" s="93">
        <f t="shared" si="4"/>
        <v>53.406488549618324</v>
      </c>
    </row>
    <row r="44" spans="1:9" ht="47.25">
      <c r="A44" s="31" t="s">
        <v>400</v>
      </c>
      <c r="B44" s="6">
        <v>903</v>
      </c>
      <c r="C44" s="42" t="s">
        <v>296</v>
      </c>
      <c r="D44" s="42" t="s">
        <v>267</v>
      </c>
      <c r="E44" s="42" t="s">
        <v>412</v>
      </c>
      <c r="F44" s="42" t="s">
        <v>401</v>
      </c>
      <c r="G44" s="85">
        <f>'Прил.№4 ведомств.'!M481</f>
        <v>1048</v>
      </c>
      <c r="H44" s="85">
        <f>'Прил.№4 ведомств.'!N481</f>
        <v>559.7</v>
      </c>
      <c r="I44" s="93">
        <f t="shared" si="4"/>
        <v>53.406488549618324</v>
      </c>
    </row>
    <row r="45" spans="1:9" ht="47.25">
      <c r="A45" s="31" t="s">
        <v>413</v>
      </c>
      <c r="B45" s="66">
        <v>903</v>
      </c>
      <c r="C45" s="98" t="s">
        <v>296</v>
      </c>
      <c r="D45" s="98" t="s">
        <v>267</v>
      </c>
      <c r="E45" s="98" t="s">
        <v>414</v>
      </c>
      <c r="F45" s="98"/>
      <c r="G45" s="93">
        <f aca="true" t="shared" si="7" ref="G45:H47">G46</f>
        <v>250</v>
      </c>
      <c r="H45" s="93">
        <f t="shared" si="7"/>
        <v>140</v>
      </c>
      <c r="I45" s="93">
        <f t="shared" si="4"/>
        <v>56.00000000000001</v>
      </c>
    </row>
    <row r="46" spans="1:9" ht="47.25">
      <c r="A46" s="31" t="s">
        <v>209</v>
      </c>
      <c r="B46" s="6">
        <v>903</v>
      </c>
      <c r="C46" s="98" t="s">
        <v>296</v>
      </c>
      <c r="D46" s="98" t="s">
        <v>267</v>
      </c>
      <c r="E46" s="98" t="s">
        <v>415</v>
      </c>
      <c r="F46" s="98"/>
      <c r="G46" s="93">
        <f t="shared" si="7"/>
        <v>250</v>
      </c>
      <c r="H46" s="93">
        <f t="shared" si="7"/>
        <v>140</v>
      </c>
      <c r="I46" s="93">
        <f t="shared" si="4"/>
        <v>56.00000000000001</v>
      </c>
    </row>
    <row r="47" spans="1:9" ht="31.5">
      <c r="A47" s="31" t="s">
        <v>300</v>
      </c>
      <c r="B47" s="6">
        <v>903</v>
      </c>
      <c r="C47" s="98" t="s">
        <v>296</v>
      </c>
      <c r="D47" s="98" t="s">
        <v>267</v>
      </c>
      <c r="E47" s="98" t="s">
        <v>415</v>
      </c>
      <c r="F47" s="98" t="s">
        <v>301</v>
      </c>
      <c r="G47" s="93">
        <f t="shared" si="7"/>
        <v>250</v>
      </c>
      <c r="H47" s="93">
        <f t="shared" si="7"/>
        <v>140</v>
      </c>
      <c r="I47" s="93">
        <f t="shared" si="4"/>
        <v>56.00000000000001</v>
      </c>
    </row>
    <row r="48" spans="1:9" ht="47.25">
      <c r="A48" s="31" t="s">
        <v>400</v>
      </c>
      <c r="B48" s="6">
        <v>903</v>
      </c>
      <c r="C48" s="98" t="s">
        <v>296</v>
      </c>
      <c r="D48" s="98" t="s">
        <v>267</v>
      </c>
      <c r="E48" s="98" t="s">
        <v>415</v>
      </c>
      <c r="F48" s="98" t="s">
        <v>401</v>
      </c>
      <c r="G48" s="99">
        <f>'Прил.№4 ведомств.'!M485</f>
        <v>250</v>
      </c>
      <c r="H48" s="99">
        <f>'Прил.№4 ведомств.'!N485</f>
        <v>140</v>
      </c>
      <c r="I48" s="93">
        <f t="shared" si="4"/>
        <v>56.00000000000001</v>
      </c>
    </row>
    <row r="49" spans="1:9" ht="15.75">
      <c r="A49" s="43" t="s">
        <v>735</v>
      </c>
      <c r="B49" s="43"/>
      <c r="C49" s="100"/>
      <c r="D49" s="100"/>
      <c r="E49" s="100"/>
      <c r="F49" s="100"/>
      <c r="G49" s="101">
        <f>G29</f>
        <v>1743</v>
      </c>
      <c r="H49" s="101">
        <f>H29</f>
        <v>924.7</v>
      </c>
      <c r="I49" s="92">
        <f t="shared" si="4"/>
        <v>53.05220883534136</v>
      </c>
    </row>
  </sheetData>
  <mergeCells count="4">
    <mergeCell ref="A12:F12"/>
    <mergeCell ref="A29:F29"/>
    <mergeCell ref="A20:F20"/>
    <mergeCell ref="A8:I9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BreakPreview" zoomScale="93" zoomScaleSheetLayoutView="93" workbookViewId="0" topLeftCell="A1">
      <selection activeCell="J1" sqref="J1"/>
    </sheetView>
  </sheetViews>
  <sheetFormatPr defaultColWidth="9.140625" defaultRowHeight="15"/>
  <cols>
    <col min="1" max="1" width="36.00390625" style="0" customWidth="1"/>
    <col min="2" max="2" width="51.7109375" style="0" customWidth="1"/>
    <col min="3" max="3" width="12.57421875" style="0" hidden="1" customWidth="1"/>
    <col min="4" max="4" width="11.28125" style="0" hidden="1" customWidth="1"/>
    <col min="5" max="5" width="10.57421875" style="0" hidden="1" customWidth="1"/>
    <col min="6" max="6" width="10.140625" style="0" hidden="1" customWidth="1"/>
    <col min="7" max="9" width="9.28125" style="0" hidden="1" customWidth="1"/>
    <col min="10" max="10" width="13.00390625" style="0" customWidth="1"/>
    <col min="11" max="11" width="14.8515625" style="0" customWidth="1"/>
    <col min="12" max="12" width="13.57421875" style="0" customWidth="1"/>
  </cols>
  <sheetData>
    <row r="1" spans="1:12" ht="18.75">
      <c r="A1" s="13"/>
      <c r="J1" s="343" t="s">
        <v>740</v>
      </c>
      <c r="K1" s="294"/>
      <c r="L1" s="13"/>
    </row>
    <row r="2" spans="1:12" ht="18.75">
      <c r="A2" s="13"/>
      <c r="J2" s="343" t="s">
        <v>1045</v>
      </c>
      <c r="K2" s="294"/>
      <c r="L2" s="13"/>
    </row>
    <row r="3" spans="1:12" ht="18.75">
      <c r="A3" s="13"/>
      <c r="J3" s="343" t="s">
        <v>1026</v>
      </c>
      <c r="K3" s="294"/>
      <c r="L3" s="13"/>
    </row>
    <row r="4" spans="1:12" ht="18.75">
      <c r="A4" s="13"/>
      <c r="B4" s="13"/>
      <c r="J4" s="343" t="s">
        <v>1046</v>
      </c>
      <c r="K4" s="294"/>
      <c r="L4" s="13"/>
    </row>
    <row r="5" spans="1:12" ht="18.75">
      <c r="A5" s="13"/>
      <c r="B5" s="13"/>
      <c r="C5" s="13"/>
      <c r="J5" s="343" t="s">
        <v>1047</v>
      </c>
      <c r="K5" s="296"/>
      <c r="L5" s="294"/>
    </row>
    <row r="6" spans="1:3" ht="15.75">
      <c r="A6" s="13"/>
      <c r="B6" s="13"/>
      <c r="C6" s="13"/>
    </row>
    <row r="7" spans="1:12" ht="16.5">
      <c r="A7" s="326" t="s">
        <v>1032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</row>
    <row r="8" spans="1:12" ht="16.5">
      <c r="A8" s="326" t="s">
        <v>1033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</row>
    <row r="9" spans="1:12" ht="15.75">
      <c r="A9" s="13"/>
      <c r="B9" s="13"/>
      <c r="J9" s="102"/>
      <c r="K9" s="102"/>
      <c r="L9" s="102"/>
    </row>
    <row r="10" spans="1:12" ht="78.75">
      <c r="A10" s="91" t="s">
        <v>741</v>
      </c>
      <c r="B10" s="91" t="s">
        <v>742</v>
      </c>
      <c r="C10" s="91" t="s">
        <v>884</v>
      </c>
      <c r="D10" s="77" t="s">
        <v>847</v>
      </c>
      <c r="E10" s="77" t="s">
        <v>848</v>
      </c>
      <c r="F10" s="77" t="s">
        <v>971</v>
      </c>
      <c r="G10" s="211" t="s">
        <v>875</v>
      </c>
      <c r="H10" s="211" t="s">
        <v>876</v>
      </c>
      <c r="I10" s="211" t="s">
        <v>877</v>
      </c>
      <c r="J10" s="298" t="s">
        <v>1023</v>
      </c>
      <c r="K10" s="298" t="s">
        <v>1028</v>
      </c>
      <c r="L10" s="298" t="s">
        <v>1024</v>
      </c>
    </row>
    <row r="11" spans="1:12" ht="15.75">
      <c r="A11" s="91">
        <v>1</v>
      </c>
      <c r="B11" s="91">
        <v>2</v>
      </c>
      <c r="C11" s="91">
        <v>3</v>
      </c>
      <c r="D11" s="77">
        <v>4</v>
      </c>
      <c r="E11" s="77">
        <v>5</v>
      </c>
      <c r="F11" s="77">
        <v>6</v>
      </c>
      <c r="G11" s="77">
        <v>7</v>
      </c>
      <c r="H11" s="77">
        <v>8</v>
      </c>
      <c r="I11" s="77">
        <v>9</v>
      </c>
      <c r="J11" s="77">
        <v>3</v>
      </c>
      <c r="K11" s="77">
        <v>4</v>
      </c>
      <c r="L11" s="77">
        <v>5</v>
      </c>
    </row>
    <row r="12" spans="1:12" ht="33">
      <c r="A12" s="103" t="s">
        <v>743</v>
      </c>
      <c r="B12" s="104" t="s">
        <v>744</v>
      </c>
      <c r="C12" s="105" t="e">
        <f>C13-C15</f>
        <v>#REF!</v>
      </c>
      <c r="D12" s="105">
        <f aca="true" t="shared" si="0" ref="D12:E12">D13-D15</f>
        <v>2034.1</v>
      </c>
      <c r="E12" s="105" t="e">
        <f t="shared" si="0"/>
        <v>#REF!</v>
      </c>
      <c r="F12" s="235" t="e">
        <f aca="true" t="shared" si="1" ref="F12:F17">C12</f>
        <v>#REF!</v>
      </c>
      <c r="G12" s="105">
        <f aca="true" t="shared" si="2" ref="G12:J12">G13-G15</f>
        <v>0</v>
      </c>
      <c r="H12" s="105">
        <f t="shared" si="2"/>
        <v>0</v>
      </c>
      <c r="I12" s="105">
        <f t="shared" si="2"/>
        <v>0</v>
      </c>
      <c r="J12" s="105">
        <f t="shared" si="2"/>
        <v>28966.080000000075</v>
      </c>
      <c r="K12" s="105">
        <f aca="true" t="shared" si="3" ref="K12">K13-K15</f>
        <v>7993.0999999999185</v>
      </c>
      <c r="L12" s="105"/>
    </row>
    <row r="13" spans="1:12" ht="31.5">
      <c r="A13" s="106" t="s">
        <v>745</v>
      </c>
      <c r="B13" s="107" t="s">
        <v>746</v>
      </c>
      <c r="C13" s="68">
        <f>C14</f>
        <v>59703</v>
      </c>
      <c r="D13" s="68">
        <f aca="true" t="shared" si="4" ref="D13:E13">D14</f>
        <v>2034.1</v>
      </c>
      <c r="E13" s="68">
        <f t="shared" si="4"/>
        <v>57668.9</v>
      </c>
      <c r="F13" s="235">
        <f t="shared" si="1"/>
        <v>59703</v>
      </c>
      <c r="G13" s="234">
        <f>G14</f>
        <v>0</v>
      </c>
      <c r="H13" s="234">
        <f aca="true" t="shared" si="5" ref="H13:K13">H14</f>
        <v>0</v>
      </c>
      <c r="I13" s="234">
        <f t="shared" si="5"/>
        <v>0</v>
      </c>
      <c r="J13" s="233">
        <f t="shared" si="5"/>
        <v>59703</v>
      </c>
      <c r="K13" s="233">
        <f t="shared" si="5"/>
        <v>59703</v>
      </c>
      <c r="L13" s="233"/>
    </row>
    <row r="14" spans="1:12" ht="31.5">
      <c r="A14" s="108" t="s">
        <v>747</v>
      </c>
      <c r="B14" s="109" t="s">
        <v>748</v>
      </c>
      <c r="C14" s="110">
        <v>59703</v>
      </c>
      <c r="D14" s="110">
        <v>2034.1</v>
      </c>
      <c r="E14" s="110">
        <f>C14-D14</f>
        <v>57668.9</v>
      </c>
      <c r="F14" s="233">
        <f t="shared" si="1"/>
        <v>59703</v>
      </c>
      <c r="G14" s="234">
        <v>0</v>
      </c>
      <c r="H14" s="234">
        <v>0</v>
      </c>
      <c r="I14" s="234">
        <v>0</v>
      </c>
      <c r="J14" s="267">
        <v>59703</v>
      </c>
      <c r="K14" s="267">
        <v>59703</v>
      </c>
      <c r="L14" s="267"/>
    </row>
    <row r="15" spans="1:19" ht="31.5">
      <c r="A15" s="106" t="s">
        <v>749</v>
      </c>
      <c r="B15" s="107" t="s">
        <v>750</v>
      </c>
      <c r="C15" s="68" t="e">
        <f>C16</f>
        <v>#REF!</v>
      </c>
      <c r="D15" s="68">
        <f aca="true" t="shared" si="6" ref="D15:E15">D16</f>
        <v>0</v>
      </c>
      <c r="E15" s="68" t="e">
        <f t="shared" si="6"/>
        <v>#REF!</v>
      </c>
      <c r="F15" s="235" t="e">
        <f t="shared" si="1"/>
        <v>#REF!</v>
      </c>
      <c r="G15" s="105">
        <f aca="true" t="shared" si="7" ref="G15:K15">G16</f>
        <v>0</v>
      </c>
      <c r="H15" s="105">
        <f t="shared" si="7"/>
        <v>0</v>
      </c>
      <c r="I15" s="105">
        <f t="shared" si="7"/>
        <v>0</v>
      </c>
      <c r="J15" s="105">
        <f t="shared" si="7"/>
        <v>30736.919999999925</v>
      </c>
      <c r="K15" s="105">
        <f t="shared" si="7"/>
        <v>51709.90000000008</v>
      </c>
      <c r="L15" s="105"/>
      <c r="O15">
        <f>665442.2</f>
        <v>665442.2</v>
      </c>
      <c r="P15">
        <v>598396.1</v>
      </c>
      <c r="Q15">
        <f>P15-O15</f>
        <v>-67046.09999999998</v>
      </c>
      <c r="R15">
        <v>-21968</v>
      </c>
      <c r="S15">
        <f>Q15-R15</f>
        <v>-45078.09999999998</v>
      </c>
    </row>
    <row r="16" spans="1:12" ht="31.5">
      <c r="A16" s="108" t="s">
        <v>751</v>
      </c>
      <c r="B16" s="109" t="s">
        <v>752</v>
      </c>
      <c r="C16" s="110" t="e">
        <f>C13+C22</f>
        <v>#REF!</v>
      </c>
      <c r="D16" s="110"/>
      <c r="E16" s="110" t="e">
        <f aca="true" t="shared" si="8" ref="E16">E13+E22</f>
        <v>#REF!</v>
      </c>
      <c r="F16" s="233" t="e">
        <f t="shared" si="1"/>
        <v>#REF!</v>
      </c>
      <c r="G16" s="234">
        <v>0</v>
      </c>
      <c r="H16" s="234">
        <v>0</v>
      </c>
      <c r="I16" s="234">
        <v>0</v>
      </c>
      <c r="J16" s="267">
        <f>J14+J22</f>
        <v>30736.919999999925</v>
      </c>
      <c r="K16" s="267">
        <f>K14+K22</f>
        <v>51709.90000000008</v>
      </c>
      <c r="L16" s="267"/>
    </row>
    <row r="17" spans="1:12" ht="16.5">
      <c r="A17" s="106" t="s">
        <v>735</v>
      </c>
      <c r="B17" s="109"/>
      <c r="C17" s="4" t="e">
        <f>C14-C16</f>
        <v>#REF!</v>
      </c>
      <c r="D17" s="4">
        <f aca="true" t="shared" si="9" ref="D17:E17">D14-D16</f>
        <v>2034.1</v>
      </c>
      <c r="E17" s="4" t="e">
        <f t="shared" si="9"/>
        <v>#REF!</v>
      </c>
      <c r="F17" s="235" t="e">
        <f t="shared" si="1"/>
        <v>#REF!</v>
      </c>
      <c r="G17" s="232">
        <f aca="true" t="shared" si="10" ref="G17:J17">G14-G16</f>
        <v>0</v>
      </c>
      <c r="H17" s="232">
        <f t="shared" si="10"/>
        <v>0</v>
      </c>
      <c r="I17" s="232">
        <f t="shared" si="10"/>
        <v>0</v>
      </c>
      <c r="J17" s="232">
        <f t="shared" si="10"/>
        <v>28966.080000000075</v>
      </c>
      <c r="K17" s="232">
        <f aca="true" t="shared" si="11" ref="K17">K14-K16</f>
        <v>7993.0999999999185</v>
      </c>
      <c r="L17" s="232">
        <f>K17/J17*100</f>
        <v>27.59469006506886</v>
      </c>
    </row>
    <row r="20" spans="2:12" ht="15">
      <c r="B20" t="s">
        <v>753</v>
      </c>
      <c r="C20" s="23" t="e">
        <f>'прил.№1 доходы'!C161</f>
        <v>#REF!</v>
      </c>
      <c r="D20">
        <v>201909.8</v>
      </c>
      <c r="E20" s="23" t="e">
        <f>C20-D20</f>
        <v>#REF!</v>
      </c>
      <c r="F20" s="23" t="e">
        <f>'прил.№1 доходы'!E161</f>
        <v>#REF!</v>
      </c>
      <c r="G20" t="e">
        <f>'прил.№1 доходы'!F161</f>
        <v>#REF!</v>
      </c>
      <c r="H20" t="e">
        <f>'прил.№1 доходы'!G161</f>
        <v>#REF!</v>
      </c>
      <c r="I20" t="e">
        <f>'прил.№1 доходы'!H161</f>
        <v>#REF!</v>
      </c>
      <c r="J20">
        <v>678306.1</v>
      </c>
      <c r="K20">
        <v>360014.9</v>
      </c>
      <c r="L20">
        <f>'прил.№1 доходы'!M161</f>
        <v>0</v>
      </c>
    </row>
    <row r="21" spans="2:12" ht="15">
      <c r="B21" t="s">
        <v>754</v>
      </c>
      <c r="C21" s="23">
        <f>'прил.№2 Рд,пр'!D52</f>
        <v>665442.2</v>
      </c>
      <c r="D21">
        <f>D20+3210</f>
        <v>205119.8</v>
      </c>
      <c r="E21" s="23">
        <f>C21-D21</f>
        <v>460322.39999999997</v>
      </c>
      <c r="F21" s="23">
        <f>'прил.№2 Рд,пр'!E52</f>
        <v>638134.3364705883</v>
      </c>
      <c r="G21">
        <f>'прил.№2 Рд,пр'!F52</f>
        <v>747288</v>
      </c>
      <c r="H21">
        <f>'прил.№2 Рд,пр'!G52</f>
        <v>743098.7000000001</v>
      </c>
      <c r="I21">
        <f>'прил.№2 Рд,пр'!H52</f>
        <v>741645.1000000001</v>
      </c>
      <c r="J21">
        <f>'прил.№2 Рд,пр'!I52</f>
        <v>707272.18</v>
      </c>
      <c r="K21">
        <f>'прил.№2 Рд,пр'!J52</f>
        <v>368007.99999999994</v>
      </c>
      <c r="L21">
        <f>'прил.№2 Рд,пр'!K52</f>
        <v>52.03201969572731</v>
      </c>
    </row>
    <row r="22" spans="2:12" ht="15">
      <c r="B22" t="s">
        <v>755</v>
      </c>
      <c r="C22" s="23" t="e">
        <f>C20-C21</f>
        <v>#REF!</v>
      </c>
      <c r="D22" s="23">
        <f aca="true" t="shared" si="12" ref="D22:F22">D20-D21</f>
        <v>-3210</v>
      </c>
      <c r="E22" s="23" t="e">
        <f t="shared" si="12"/>
        <v>#REF!</v>
      </c>
      <c r="F22" s="23" t="e">
        <f t="shared" si="12"/>
        <v>#REF!</v>
      </c>
      <c r="G22" t="e">
        <f>G20-G21</f>
        <v>#REF!</v>
      </c>
      <c r="H22" t="e">
        <f aca="true" t="shared" si="13" ref="H22:J22">H20-H21</f>
        <v>#REF!</v>
      </c>
      <c r="I22" t="e">
        <f t="shared" si="13"/>
        <v>#REF!</v>
      </c>
      <c r="J22">
        <f t="shared" si="13"/>
        <v>-28966.080000000075</v>
      </c>
      <c r="K22">
        <f aca="true" t="shared" si="14" ref="K22:L22">K20-K21</f>
        <v>-7993.0999999999185</v>
      </c>
      <c r="L22">
        <f t="shared" si="14"/>
        <v>-52.03201969572731</v>
      </c>
    </row>
  </sheetData>
  <mergeCells count="2">
    <mergeCell ref="A7:L7"/>
    <mergeCell ref="A8:L8"/>
  </mergeCells>
  <printOptions/>
  <pageMargins left="0.2362204724409449" right="0.2362204724409449" top="1.1811023622047245" bottom="0.7480314960629921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2018-07-31T01:20:19Z</dcterms:modified>
  <cp:category/>
  <cp:version/>
  <cp:contentType/>
  <cp:contentStatus/>
</cp:coreProperties>
</file>