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75" windowWidth="14250" windowHeight="10365" tabRatio="835" activeTab="14"/>
  </bookViews>
  <sheets>
    <sheet name="пр.1дох.21" sheetId="1" r:id="rId1"/>
    <sheet name="Пр.1.1. дох.22-23" sheetId="12" state="hidden" r:id="rId2"/>
    <sheet name="пр.4.1. рдпр 22-23" sheetId="13" state="hidden" r:id="rId3"/>
    <sheet name="пр.2 Рд,пр 21" sheetId="2" r:id="rId4"/>
    <sheet name="Пр.3 Рд,пр, ЦС,ВР 21" sheetId="3" r:id="rId5"/>
    <sheet name="пр.5.1.рдпрцс 22-23" sheetId="14" state="hidden" r:id="rId6"/>
    <sheet name="Пр.4 ведом.21" sheetId="4" r:id="rId7"/>
    <sheet name="Прил.№5 ведомств.старая" sheetId="10" state="hidden" r:id="rId8"/>
    <sheet name="пр.6.1.ведом.22-23" sheetId="15" state="hidden" r:id="rId9"/>
    <sheet name="пр.5 МП 21" sheetId="5" r:id="rId10"/>
    <sheet name="прил.№6 МП старая" sheetId="11" state="hidden" r:id="rId11"/>
    <sheet name="пр.7.1.МП 22-23" sheetId="16" state="hidden" r:id="rId12"/>
    <sheet name="пр.6 публ. 21" sheetId="6" r:id="rId13"/>
    <sheet name="пр.8.1.публ.22-23" sheetId="17" state="hidden" r:id="rId14"/>
    <sheet name="пр.7 ист-ки 21" sheetId="7" r:id="rId15"/>
    <sheet name="пр.8.1.ист-ки 22-23 " sheetId="18" state="hidden" r:id="rId16"/>
  </sheets>
  <definedNames>
    <definedName name="_xlnm._FilterDatabase" localSheetId="0" hidden="1">пр.1дох.21!$A$1:$C$169</definedName>
    <definedName name="_xlnm._FilterDatabase" localSheetId="4" hidden="1">'Пр.3 Рд,пр, ЦС,ВР 21'!$A$9:$F$968</definedName>
    <definedName name="_xlnm._FilterDatabase" localSheetId="6" hidden="1">'Пр.4 ведом.21'!$A$9:$G$9</definedName>
    <definedName name="_xlnm._FilterDatabase" localSheetId="5" hidden="1">'пр.5.1.рдпрцс 22-23'!$A$7:$G$972</definedName>
    <definedName name="_xlnm.Print_Area" localSheetId="1">'Пр.1.1. дох.22-23'!$A$1:$D$155</definedName>
    <definedName name="_xlnm.Print_Area" localSheetId="0">пр.1дох.21!$A$1:$E$169</definedName>
    <definedName name="_xlnm.Print_Area" localSheetId="3">'пр.2 Рд,пр 21'!$A$1:$F$55</definedName>
    <definedName name="_xlnm.Print_Area" localSheetId="4">'Пр.3 Рд,пр, ЦС,ВР 21'!$A$1:$H$966</definedName>
    <definedName name="_xlnm.Print_Area" localSheetId="6">'Пр.4 ведом.21'!$A$1:$I$1066</definedName>
    <definedName name="_xlnm.Print_Area" localSheetId="9">'пр.5 МП 21'!$A$1:$I$877</definedName>
    <definedName name="_xlnm.Print_Area" localSheetId="5">'пр.5.1.рдпрцс 22-23'!$A$1:$G$970</definedName>
    <definedName name="_xlnm.Print_Area" localSheetId="8">'пр.6.1.ведом.22-23'!$A$1:$AM$1108</definedName>
    <definedName name="_xlnm.Print_Area" localSheetId="14">'пр.7 ист-ки 21'!$A$1:$E$19</definedName>
    <definedName name="_xlnm.Print_Area" localSheetId="11">'пр.7.1.МП 22-23'!$A$1:$H$893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888" i="4" l="1"/>
  <c r="H591" i="4"/>
  <c r="G363" i="4"/>
  <c r="G369" i="4"/>
  <c r="G93" i="4"/>
  <c r="G99" i="4"/>
  <c r="G97" i="4"/>
  <c r="D20" i="1" l="1"/>
  <c r="D153" i="1" l="1"/>
  <c r="D152" i="1" s="1"/>
  <c r="D108" i="1"/>
  <c r="D107" i="1" s="1"/>
  <c r="D166" i="1"/>
  <c r="D29" i="1" l="1"/>
  <c r="D31" i="1"/>
  <c r="D19" i="1"/>
  <c r="C19" i="1" l="1"/>
  <c r="D142" i="1"/>
  <c r="D126" i="1"/>
  <c r="D125" i="1" s="1"/>
  <c r="D74" i="1"/>
  <c r="D12" i="1"/>
  <c r="K1069" i="4" l="1"/>
  <c r="K1071" i="4" s="1"/>
  <c r="T1069" i="4"/>
  <c r="R1070" i="4"/>
  <c r="T1074" i="4" s="1"/>
  <c r="L1071" i="4"/>
  <c r="M1071" i="4"/>
  <c r="N1071" i="4"/>
  <c r="O1071" i="4"/>
  <c r="P1071" i="4"/>
  <c r="Q1071" i="4"/>
  <c r="S1071" i="4"/>
  <c r="T1071" i="4"/>
  <c r="AB1080" i="4"/>
  <c r="K1081" i="4"/>
  <c r="L1081" i="4"/>
  <c r="M1081" i="4"/>
  <c r="N1081" i="4"/>
  <c r="O1081" i="4"/>
  <c r="P1081" i="4"/>
  <c r="Q1081" i="4"/>
  <c r="R1081" i="4"/>
  <c r="V1081" i="4"/>
  <c r="W1081" i="4"/>
  <c r="X1081" i="4"/>
  <c r="Y1081" i="4"/>
  <c r="Z1081" i="4"/>
  <c r="AA1081" i="4"/>
  <c r="Q1084" i="4"/>
  <c r="W1084" i="4"/>
  <c r="X1084" i="4"/>
  <c r="D13" i="7"/>
  <c r="I46" i="6"/>
  <c r="I45" i="6"/>
  <c r="I22" i="6"/>
  <c r="H44" i="6"/>
  <c r="H43" i="6" s="1"/>
  <c r="H42" i="6" s="1"/>
  <c r="H41" i="6" s="1"/>
  <c r="H40" i="6"/>
  <c r="H39" i="6" s="1"/>
  <c r="H38" i="6" s="1"/>
  <c r="H37" i="6" s="1"/>
  <c r="H36" i="6" s="1"/>
  <c r="H35" i="6" s="1"/>
  <c r="H34" i="6"/>
  <c r="H33" i="6" s="1"/>
  <c r="H32" i="6" s="1"/>
  <c r="H31" i="6" s="1"/>
  <c r="H30" i="6" s="1"/>
  <c r="H29" i="6" s="1"/>
  <c r="H28" i="6"/>
  <c r="H27" i="6" s="1"/>
  <c r="H26" i="6" s="1"/>
  <c r="H25" i="6" s="1"/>
  <c r="H24" i="6" s="1"/>
  <c r="H23" i="6" s="1"/>
  <c r="H21" i="6"/>
  <c r="H20" i="6" s="1"/>
  <c r="H19" i="6" s="1"/>
  <c r="H18" i="6" s="1"/>
  <c r="H17" i="6" s="1"/>
  <c r="H15" i="6"/>
  <c r="H14" i="6" s="1"/>
  <c r="H13" i="6" s="1"/>
  <c r="H12" i="6" s="1"/>
  <c r="H11" i="6" s="1"/>
  <c r="H16" i="6" s="1"/>
  <c r="I626" i="5"/>
  <c r="H867" i="5"/>
  <c r="H866" i="5" s="1"/>
  <c r="H859" i="5"/>
  <c r="H835" i="5"/>
  <c r="H836" i="5" s="1"/>
  <c r="H822" i="5"/>
  <c r="H810" i="5"/>
  <c r="H801" i="5"/>
  <c r="H796" i="5"/>
  <c r="H789" i="5"/>
  <c r="H785" i="5"/>
  <c r="H786" i="5" s="1"/>
  <c r="H777" i="5"/>
  <c r="H778" i="5" s="1"/>
  <c r="H773" i="5"/>
  <c r="H769" i="5"/>
  <c r="H765" i="5"/>
  <c r="H761" i="5"/>
  <c r="H758" i="5"/>
  <c r="H674" i="5"/>
  <c r="H666" i="5"/>
  <c r="H665" i="5" s="1"/>
  <c r="H663" i="5"/>
  <c r="H659" i="5"/>
  <c r="H655" i="5"/>
  <c r="H654" i="5" s="1"/>
  <c r="H641" i="5"/>
  <c r="H634" i="5"/>
  <c r="H633" i="5" s="1"/>
  <c r="H627" i="5"/>
  <c r="H625" i="5"/>
  <c r="H624" i="5" s="1"/>
  <c r="H623" i="5" s="1"/>
  <c r="H622" i="5" s="1"/>
  <c r="H620" i="5"/>
  <c r="H614" i="5"/>
  <c r="H609" i="5"/>
  <c r="H610" i="5" s="1"/>
  <c r="H604" i="5"/>
  <c r="H595" i="5"/>
  <c r="H594" i="5" s="1"/>
  <c r="H588" i="5"/>
  <c r="H574" i="5"/>
  <c r="H567" i="5"/>
  <c r="H553" i="5"/>
  <c r="H554" i="5" s="1"/>
  <c r="H549" i="5"/>
  <c r="H542" i="5"/>
  <c r="H541" i="5" s="1"/>
  <c r="H530" i="5"/>
  <c r="H529" i="5" s="1"/>
  <c r="H507" i="5"/>
  <c r="H506" i="5" s="1"/>
  <c r="H500" i="5"/>
  <c r="H454" i="5"/>
  <c r="H444" i="5"/>
  <c r="H430" i="5"/>
  <c r="H426" i="5"/>
  <c r="H427" i="5" s="1"/>
  <c r="H419" i="5"/>
  <c r="H415" i="5"/>
  <c r="H411" i="5"/>
  <c r="H396" i="5"/>
  <c r="H381" i="5"/>
  <c r="H318" i="5"/>
  <c r="H317" i="5" s="1"/>
  <c r="H274" i="5"/>
  <c r="H275" i="5" s="1"/>
  <c r="H265" i="5"/>
  <c r="H261" i="5"/>
  <c r="H243" i="5"/>
  <c r="H239" i="5"/>
  <c r="H240" i="5" s="1"/>
  <c r="H235" i="5"/>
  <c r="H225" i="5"/>
  <c r="H221" i="5"/>
  <c r="H210" i="5"/>
  <c r="H181" i="5"/>
  <c r="H153" i="5"/>
  <c r="H135" i="5"/>
  <c r="H122" i="5"/>
  <c r="H119" i="5"/>
  <c r="H120" i="5" s="1"/>
  <c r="H112" i="5"/>
  <c r="H111" i="5" s="1"/>
  <c r="H96" i="5"/>
  <c r="H89" i="5"/>
  <c r="H88" i="5" s="1"/>
  <c r="H75" i="5"/>
  <c r="H67" i="5"/>
  <c r="H59" i="5"/>
  <c r="H58" i="5" s="1"/>
  <c r="H57" i="5" s="1"/>
  <c r="H29" i="5"/>
  <c r="H28" i="5" s="1"/>
  <c r="H23" i="5"/>
  <c r="H24" i="5" s="1"/>
  <c r="H16" i="5"/>
  <c r="H15" i="5" s="1"/>
  <c r="H14" i="5" s="1"/>
  <c r="I1065" i="4"/>
  <c r="I1062" i="4"/>
  <c r="I1060" i="4"/>
  <c r="I1054" i="4"/>
  <c r="I1051" i="4"/>
  <c r="I1049" i="4"/>
  <c r="I1046" i="4"/>
  <c r="I1044" i="4"/>
  <c r="I1036" i="4"/>
  <c r="I1028" i="4"/>
  <c r="I1023" i="4"/>
  <c r="I1014" i="4"/>
  <c r="I1009" i="4"/>
  <c r="I1004" i="4"/>
  <c r="I1001" i="4"/>
  <c r="I999" i="4"/>
  <c r="I986" i="4"/>
  <c r="I983" i="4"/>
  <c r="I979" i="4"/>
  <c r="I976" i="4"/>
  <c r="I973" i="4"/>
  <c r="I971" i="4"/>
  <c r="I968" i="4"/>
  <c r="I965" i="4"/>
  <c r="I961" i="4"/>
  <c r="I956" i="4"/>
  <c r="I952" i="4"/>
  <c r="I936" i="4"/>
  <c r="I932" i="4"/>
  <c r="I928" i="4"/>
  <c r="I924" i="4"/>
  <c r="I920" i="4"/>
  <c r="I916" i="4"/>
  <c r="I907" i="4"/>
  <c r="I904" i="4"/>
  <c r="I902" i="4"/>
  <c r="I899" i="4"/>
  <c r="I896" i="4"/>
  <c r="I894" i="4"/>
  <c r="I890" i="4"/>
  <c r="I885" i="4"/>
  <c r="I884" i="4"/>
  <c r="I882" i="4"/>
  <c r="I876" i="4"/>
  <c r="I873" i="4"/>
  <c r="I870" i="4"/>
  <c r="I868" i="4"/>
  <c r="I861" i="4"/>
  <c r="I857" i="4"/>
  <c r="I853" i="4"/>
  <c r="I847" i="4"/>
  <c r="I840" i="4"/>
  <c r="I833" i="4"/>
  <c r="I829" i="4"/>
  <c r="I826" i="4"/>
  <c r="I816" i="4"/>
  <c r="I811" i="4"/>
  <c r="I806" i="4"/>
  <c r="I790" i="4"/>
  <c r="I777" i="4"/>
  <c r="I774" i="4"/>
  <c r="I770" i="4"/>
  <c r="I767" i="4"/>
  <c r="I764" i="4"/>
  <c r="I753" i="4"/>
  <c r="I745" i="4"/>
  <c r="I740" i="4"/>
  <c r="I729" i="4"/>
  <c r="I726" i="4"/>
  <c r="I724" i="4"/>
  <c r="I712" i="4"/>
  <c r="I703" i="4"/>
  <c r="I696" i="4"/>
  <c r="I693" i="4"/>
  <c r="I686" i="4"/>
  <c r="I680" i="4"/>
  <c r="I675" i="4"/>
  <c r="I639" i="4"/>
  <c r="I632" i="4"/>
  <c r="I629" i="4"/>
  <c r="I626" i="4"/>
  <c r="I622" i="4"/>
  <c r="I616" i="4"/>
  <c r="I613" i="4"/>
  <c r="I610" i="4"/>
  <c r="I607" i="4"/>
  <c r="I597" i="4"/>
  <c r="I592" i="4"/>
  <c r="I587" i="4"/>
  <c r="I584" i="4"/>
  <c r="I573" i="4"/>
  <c r="I570" i="4"/>
  <c r="I563" i="4"/>
  <c r="I560" i="4"/>
  <c r="I556" i="4"/>
  <c r="I550" i="4"/>
  <c r="I547" i="4"/>
  <c r="I536" i="4"/>
  <c r="I528" i="4"/>
  <c r="I498" i="4"/>
  <c r="I494" i="4"/>
  <c r="I489" i="4"/>
  <c r="I474" i="4"/>
  <c r="I470" i="4"/>
  <c r="I459" i="4"/>
  <c r="I455" i="4"/>
  <c r="I453" i="4"/>
  <c r="I449" i="4"/>
  <c r="I444" i="4"/>
  <c r="I436" i="4"/>
  <c r="I425" i="4"/>
  <c r="I422" i="4"/>
  <c r="I413" i="4"/>
  <c r="I410" i="4"/>
  <c r="I397" i="4"/>
  <c r="I392" i="4"/>
  <c r="I388" i="4"/>
  <c r="I380" i="4"/>
  <c r="I376" i="4"/>
  <c r="I369" i="4"/>
  <c r="I345" i="4"/>
  <c r="I335" i="4"/>
  <c r="I320" i="4"/>
  <c r="I312" i="4"/>
  <c r="I309" i="4"/>
  <c r="I305" i="4"/>
  <c r="I296" i="4"/>
  <c r="I278" i="4"/>
  <c r="I274" i="4"/>
  <c r="I266" i="4"/>
  <c r="I258" i="4"/>
  <c r="I253" i="4"/>
  <c r="I250" i="4"/>
  <c r="I247" i="4"/>
  <c r="I244" i="4"/>
  <c r="I241" i="4"/>
  <c r="I219" i="4"/>
  <c r="I213" i="4"/>
  <c r="I206" i="4"/>
  <c r="I182" i="4"/>
  <c r="I179" i="4"/>
  <c r="I177" i="4"/>
  <c r="I170" i="4"/>
  <c r="I163" i="4"/>
  <c r="I156" i="4"/>
  <c r="I151" i="4"/>
  <c r="I146" i="4"/>
  <c r="I142" i="4"/>
  <c r="I137" i="4"/>
  <c r="I132" i="4"/>
  <c r="I126" i="4"/>
  <c r="I124" i="4"/>
  <c r="I118" i="4"/>
  <c r="I115" i="4"/>
  <c r="I109" i="4"/>
  <c r="I106" i="4"/>
  <c r="I102" i="4"/>
  <c r="I99" i="4"/>
  <c r="I97" i="4"/>
  <c r="I93" i="4"/>
  <c r="I78" i="4"/>
  <c r="I73" i="4"/>
  <c r="I70" i="4"/>
  <c r="I63" i="4"/>
  <c r="I60" i="4"/>
  <c r="I40" i="4"/>
  <c r="I38" i="4"/>
  <c r="I30" i="4"/>
  <c r="I24" i="4"/>
  <c r="H99" i="3"/>
  <c r="F21" i="2"/>
  <c r="E20" i="2"/>
  <c r="G960" i="3"/>
  <c r="G957" i="3"/>
  <c r="G953" i="3"/>
  <c r="G944" i="3"/>
  <c r="G939" i="3"/>
  <c r="G934" i="3"/>
  <c r="G918" i="3"/>
  <c r="G905" i="3"/>
  <c r="G903" i="3"/>
  <c r="G902" i="3"/>
  <c r="G900" i="3"/>
  <c r="G898" i="3"/>
  <c r="G897" i="3"/>
  <c r="G895" i="3"/>
  <c r="G894" i="3"/>
  <c r="G892" i="3"/>
  <c r="G891" i="3"/>
  <c r="G890" i="3" s="1"/>
  <c r="G881" i="3"/>
  <c r="G868" i="3"/>
  <c r="G867" i="3" s="1"/>
  <c r="G863" i="3"/>
  <c r="G862" i="3" s="1"/>
  <c r="H862" i="3" s="1"/>
  <c r="G861" i="3"/>
  <c r="G860" i="3" s="1"/>
  <c r="G859" i="3" s="1"/>
  <c r="G858" i="3"/>
  <c r="G854" i="3"/>
  <c r="G852" i="3"/>
  <c r="G848" i="3"/>
  <c r="G843" i="3"/>
  <c r="G842" i="3" s="1"/>
  <c r="G836" i="3"/>
  <c r="G829" i="3"/>
  <c r="G818" i="3"/>
  <c r="G815" i="3"/>
  <c r="G811" i="3"/>
  <c r="G810" i="3" s="1"/>
  <c r="G806" i="3"/>
  <c r="G803" i="3"/>
  <c r="G802" i="3" s="1"/>
  <c r="G795" i="3"/>
  <c r="G794" i="3" s="1"/>
  <c r="G790" i="3"/>
  <c r="G785" i="3"/>
  <c r="G781" i="3"/>
  <c r="G777" i="3"/>
  <c r="G773" i="3"/>
  <c r="G769" i="3"/>
  <c r="G762" i="3"/>
  <c r="H536" i="5" s="1"/>
  <c r="G738" i="3"/>
  <c r="G733" i="3"/>
  <c r="G732" i="3" s="1"/>
  <c r="G722" i="3"/>
  <c r="G719" i="3"/>
  <c r="G718" i="3" s="1"/>
  <c r="G717" i="3"/>
  <c r="G706" i="3"/>
  <c r="G696" i="3"/>
  <c r="H42" i="5" s="1"/>
  <c r="G686" i="3"/>
  <c r="G678" i="3"/>
  <c r="G670" i="3"/>
  <c r="G667" i="3"/>
  <c r="G666" i="3" s="1"/>
  <c r="G663" i="3"/>
  <c r="G662" i="3" s="1"/>
  <c r="G654" i="3"/>
  <c r="G634" i="3"/>
  <c r="G633" i="3" s="1"/>
  <c r="G630" i="3"/>
  <c r="G627" i="3"/>
  <c r="G626" i="3" s="1"/>
  <c r="G624" i="3"/>
  <c r="G617" i="3"/>
  <c r="G616" i="3"/>
  <c r="G611" i="3"/>
  <c r="G610" i="3" s="1"/>
  <c r="G606" i="3"/>
  <c r="G597" i="3"/>
  <c r="G596" i="3" s="1"/>
  <c r="G570" i="3"/>
  <c r="G563" i="3"/>
  <c r="G562" i="3" s="1"/>
  <c r="G560" i="3"/>
  <c r="G557" i="3"/>
  <c r="G553" i="3"/>
  <c r="G552" i="3" s="1"/>
  <c r="G547" i="3"/>
  <c r="G546" i="3" s="1"/>
  <c r="G544" i="3"/>
  <c r="H189" i="5" s="1"/>
  <c r="G541" i="3"/>
  <c r="G538" i="3"/>
  <c r="G528" i="3"/>
  <c r="G523" i="3"/>
  <c r="G518" i="3"/>
  <c r="G507" i="3"/>
  <c r="G504" i="3"/>
  <c r="G497" i="3"/>
  <c r="G496" i="3" s="1"/>
  <c r="G494" i="3"/>
  <c r="G490" i="3"/>
  <c r="H176" i="5" s="1"/>
  <c r="G484" i="3"/>
  <c r="H168" i="5" s="1"/>
  <c r="G481" i="3"/>
  <c r="G470" i="3"/>
  <c r="G465" i="3"/>
  <c r="G464" i="3" s="1"/>
  <c r="G462" i="3"/>
  <c r="G456" i="3"/>
  <c r="G451" i="3"/>
  <c r="G450" i="3" s="1"/>
  <c r="G446" i="3"/>
  <c r="G443" i="3"/>
  <c r="G442" i="3" s="1"/>
  <c r="G441" i="3"/>
  <c r="G433" i="3"/>
  <c r="G432" i="3" s="1"/>
  <c r="G428" i="3"/>
  <c r="H685" i="5" s="1"/>
  <c r="G425" i="3"/>
  <c r="G421" i="3"/>
  <c r="G420" i="3" s="1"/>
  <c r="G418" i="3"/>
  <c r="H670" i="5" s="1"/>
  <c r="G415" i="3"/>
  <c r="G414" i="3" s="1"/>
  <c r="G413" i="3"/>
  <c r="G412" i="3" s="1"/>
  <c r="G410" i="3"/>
  <c r="G409" i="3" s="1"/>
  <c r="G407" i="3"/>
  <c r="G403" i="3"/>
  <c r="H648" i="5" s="1"/>
  <c r="G398" i="3"/>
  <c r="G394" i="3"/>
  <c r="G378" i="3"/>
  <c r="G374" i="3"/>
  <c r="G370" i="3"/>
  <c r="G369" i="3" s="1"/>
  <c r="G368" i="3" s="1"/>
  <c r="G366" i="3"/>
  <c r="G362" i="3"/>
  <c r="H722" i="5" s="1"/>
  <c r="G358" i="3"/>
  <c r="G357" i="3" s="1"/>
  <c r="G356" i="3" s="1"/>
  <c r="G349" i="3"/>
  <c r="G348" i="3" s="1"/>
  <c r="G346" i="3"/>
  <c r="G344" i="3"/>
  <c r="G341" i="3"/>
  <c r="G340" i="3" s="1"/>
  <c r="G338" i="3"/>
  <c r="G336" i="3"/>
  <c r="G332" i="3"/>
  <c r="G327" i="3"/>
  <c r="G326" i="3"/>
  <c r="G324" i="3"/>
  <c r="G312" i="3"/>
  <c r="G310" i="3"/>
  <c r="G303" i="3"/>
  <c r="H354" i="5" s="1"/>
  <c r="G298" i="3"/>
  <c r="G294" i="3"/>
  <c r="G286" i="3"/>
  <c r="G272" i="3"/>
  <c r="G271" i="3" s="1"/>
  <c r="G268" i="3"/>
  <c r="G264" i="3"/>
  <c r="G258" i="3"/>
  <c r="G252" i="3"/>
  <c r="H700" i="5" s="1"/>
  <c r="H701" i="5" s="1"/>
  <c r="G241" i="3"/>
  <c r="G240" i="3" s="1"/>
  <c r="G238" i="3"/>
  <c r="G237" i="3"/>
  <c r="G236" i="3"/>
  <c r="G235" i="3"/>
  <c r="G229" i="3"/>
  <c r="G228" i="3" s="1"/>
  <c r="G222" i="3"/>
  <c r="G215" i="3"/>
  <c r="G210" i="3"/>
  <c r="G200" i="3"/>
  <c r="G196" i="3"/>
  <c r="G191" i="3"/>
  <c r="G190" i="3" s="1"/>
  <c r="G188" i="3"/>
  <c r="G185" i="3"/>
  <c r="G182" i="3"/>
  <c r="G179" i="3"/>
  <c r="G168" i="3"/>
  <c r="G165" i="3"/>
  <c r="G164" i="3" s="1"/>
  <c r="G163" i="3"/>
  <c r="G152" i="3"/>
  <c r="G150" i="3"/>
  <c r="G148" i="3"/>
  <c r="G145" i="3"/>
  <c r="G144" i="3" s="1"/>
  <c r="G139" i="3"/>
  <c r="G138" i="3" s="1"/>
  <c r="G133" i="3"/>
  <c r="G132" i="3" s="1"/>
  <c r="G131" i="3"/>
  <c r="G130" i="3" s="1"/>
  <c r="G125" i="3"/>
  <c r="G124" i="3" s="1"/>
  <c r="G114" i="3"/>
  <c r="G111" i="3"/>
  <c r="G110" i="3" s="1"/>
  <c r="G109" i="3"/>
  <c r="G108" i="3" s="1"/>
  <c r="G103" i="3"/>
  <c r="G98" i="3"/>
  <c r="G97" i="3" s="1"/>
  <c r="G96" i="3"/>
  <c r="G95" i="3" s="1"/>
  <c r="G94" i="3"/>
  <c r="G90" i="3"/>
  <c r="H362" i="5" s="1"/>
  <c r="H361" i="5" s="1"/>
  <c r="G85" i="3"/>
  <c r="G84" i="3" s="1"/>
  <c r="G83" i="3" s="1"/>
  <c r="G72" i="3"/>
  <c r="G71" i="3" s="1"/>
  <c r="G67" i="3"/>
  <c r="G66" i="3" s="1"/>
  <c r="G65" i="3" s="1"/>
  <c r="G64" i="3"/>
  <c r="G57" i="3"/>
  <c r="G56" i="3" s="1"/>
  <c r="G55" i="3" s="1"/>
  <c r="G42" i="3"/>
  <c r="G41" i="3" s="1"/>
  <c r="G40" i="3" s="1"/>
  <c r="G39" i="3"/>
  <c r="G38" i="3" s="1"/>
  <c r="G37" i="3"/>
  <c r="G36" i="3" s="1"/>
  <c r="G34" i="3"/>
  <c r="G32" i="3"/>
  <c r="G31" i="3" s="1"/>
  <c r="G18" i="3"/>
  <c r="G16" i="3"/>
  <c r="G15" i="3" s="1"/>
  <c r="H1064" i="4"/>
  <c r="H1061" i="4"/>
  <c r="H1059" i="4"/>
  <c r="H1053" i="4"/>
  <c r="H1050" i="4"/>
  <c r="H1048" i="4"/>
  <c r="H1045" i="4"/>
  <c r="H1043" i="4"/>
  <c r="H1035" i="4"/>
  <c r="H1034" i="4" s="1"/>
  <c r="H1027" i="4"/>
  <c r="H1022" i="4"/>
  <c r="H1017" i="4"/>
  <c r="H1013" i="4"/>
  <c r="G453" i="3"/>
  <c r="G452" i="3" s="1"/>
  <c r="H1008" i="4"/>
  <c r="H1003" i="4"/>
  <c r="H1000" i="4"/>
  <c r="H998" i="4"/>
  <c r="G439" i="3"/>
  <c r="G438" i="3" s="1"/>
  <c r="H985" i="4"/>
  <c r="H984" i="4" s="1"/>
  <c r="H982" i="4"/>
  <c r="H981" i="4" s="1"/>
  <c r="H978" i="4"/>
  <c r="H975" i="4"/>
  <c r="H972" i="4"/>
  <c r="H970" i="4"/>
  <c r="H967" i="4"/>
  <c r="H964" i="4"/>
  <c r="H963" i="4" s="1"/>
  <c r="H962" i="4"/>
  <c r="H960" i="4" s="1"/>
  <c r="G401" i="3"/>
  <c r="G400" i="3" s="1"/>
  <c r="H955" i="4"/>
  <c r="H951" i="4"/>
  <c r="H950" i="4" s="1"/>
  <c r="H941" i="4"/>
  <c r="H935" i="4"/>
  <c r="H931" i="4"/>
  <c r="H930" i="4" s="1"/>
  <c r="H927" i="4"/>
  <c r="H923" i="4"/>
  <c r="H919" i="4"/>
  <c r="H918" i="4"/>
  <c r="H915" i="4"/>
  <c r="H912" i="4"/>
  <c r="G354" i="3" s="1"/>
  <c r="H906" i="4"/>
  <c r="H905" i="4" s="1"/>
  <c r="H903" i="4"/>
  <c r="H901" i="4"/>
  <c r="H898" i="4"/>
  <c r="H895" i="4"/>
  <c r="H893" i="4"/>
  <c r="H889" i="4"/>
  <c r="G330" i="3"/>
  <c r="H887" i="4"/>
  <c r="H883" i="4"/>
  <c r="H881" i="4"/>
  <c r="H875" i="4"/>
  <c r="H872" i="4"/>
  <c r="H869" i="4"/>
  <c r="H867" i="4"/>
  <c r="H860" i="4"/>
  <c r="H856" i="4"/>
  <c r="H852" i="4"/>
  <c r="H846" i="4"/>
  <c r="H839" i="4"/>
  <c r="H832" i="4"/>
  <c r="H830" i="4"/>
  <c r="H828" i="4"/>
  <c r="H825" i="4"/>
  <c r="G946" i="3"/>
  <c r="H815" i="4"/>
  <c r="H810" i="4"/>
  <c r="H809" i="4" s="1"/>
  <c r="G936" i="3"/>
  <c r="G935" i="3" s="1"/>
  <c r="H805" i="4"/>
  <c r="H798" i="4"/>
  <c r="G924" i="3"/>
  <c r="G923" i="3" s="1"/>
  <c r="H789" i="4"/>
  <c r="H784" i="4"/>
  <c r="H776" i="4"/>
  <c r="H775" i="4" s="1"/>
  <c r="H773" i="4"/>
  <c r="H769" i="4"/>
  <c r="H768" i="4" s="1"/>
  <c r="H766" i="4"/>
  <c r="H763" i="4"/>
  <c r="H762" i="4" s="1"/>
  <c r="H752" i="4"/>
  <c r="H744" i="4"/>
  <c r="H739" i="4"/>
  <c r="G731" i="3"/>
  <c r="G730" i="3" s="1"/>
  <c r="H728" i="4"/>
  <c r="H727" i="4" s="1"/>
  <c r="H725" i="4"/>
  <c r="H723" i="4"/>
  <c r="H254" i="5"/>
  <c r="H717" i="4"/>
  <c r="H711" i="4"/>
  <c r="H710" i="4" s="1"/>
  <c r="H706" i="4"/>
  <c r="H702" i="4"/>
  <c r="H695" i="4"/>
  <c r="H694" i="4" s="1"/>
  <c r="H692" i="4"/>
  <c r="H691" i="4" s="1"/>
  <c r="H685" i="4"/>
  <c r="H679" i="4"/>
  <c r="H678" i="4" s="1"/>
  <c r="H677" i="4" s="1"/>
  <c r="H674" i="4"/>
  <c r="H673" i="4" s="1"/>
  <c r="H672" i="4" s="1"/>
  <c r="H665" i="4"/>
  <c r="H653" i="4"/>
  <c r="H652" i="4" s="1"/>
  <c r="H297" i="5"/>
  <c r="H638" i="4"/>
  <c r="H637" i="4" s="1"/>
  <c r="H631" i="4"/>
  <c r="H630" i="4" s="1"/>
  <c r="H628" i="4"/>
  <c r="H625" i="4"/>
  <c r="H624" i="4" s="1"/>
  <c r="H621" i="4"/>
  <c r="G550" i="3"/>
  <c r="H197" i="5" s="1"/>
  <c r="H615" i="4"/>
  <c r="H612" i="4"/>
  <c r="H609" i="4"/>
  <c r="H606" i="4"/>
  <c r="H605" i="4" s="1"/>
  <c r="G534" i="3"/>
  <c r="H596" i="4"/>
  <c r="H590" i="4"/>
  <c r="H586" i="4"/>
  <c r="H583" i="4"/>
  <c r="H582" i="4" s="1"/>
  <c r="H575" i="4"/>
  <c r="H572" i="4"/>
  <c r="H571" i="4" s="1"/>
  <c r="H569" i="4"/>
  <c r="H562" i="4"/>
  <c r="H559" i="4"/>
  <c r="H555" i="4"/>
  <c r="G487" i="3"/>
  <c r="H549" i="4"/>
  <c r="H546" i="4"/>
  <c r="H545" i="4" s="1"/>
  <c r="H143" i="5"/>
  <c r="H535" i="4"/>
  <c r="H527" i="4"/>
  <c r="H526" i="4" s="1"/>
  <c r="H522" i="4"/>
  <c r="G315" i="3"/>
  <c r="G205" i="3"/>
  <c r="G204" i="3" s="1"/>
  <c r="H507" i="4"/>
  <c r="G156" i="3"/>
  <c r="H497" i="4"/>
  <c r="H496" i="4" s="1"/>
  <c r="H493" i="4"/>
  <c r="H490" i="4"/>
  <c r="H488" i="4"/>
  <c r="H473" i="4"/>
  <c r="H469" i="4"/>
  <c r="H458" i="4"/>
  <c r="H457" i="4" s="1"/>
  <c r="H456" i="4" s="1"/>
  <c r="H454" i="4"/>
  <c r="H452" i="4"/>
  <c r="H451" i="4"/>
  <c r="H450" i="4" s="1"/>
  <c r="H448" i="4"/>
  <c r="H443" i="4"/>
  <c r="H435" i="4"/>
  <c r="H434" i="4" s="1"/>
  <c r="H433" i="4"/>
  <c r="G824" i="3"/>
  <c r="H424" i="4"/>
  <c r="H423" i="4" s="1"/>
  <c r="H421" i="4"/>
  <c r="H412" i="4"/>
  <c r="H409" i="4"/>
  <c r="H396" i="4"/>
  <c r="H395" i="4" s="1"/>
  <c r="H394" i="4"/>
  <c r="H391" i="4"/>
  <c r="H390" i="4" s="1"/>
  <c r="H389" i="4" s="1"/>
  <c r="H387" i="4"/>
  <c r="H581" i="5"/>
  <c r="H580" i="5" s="1"/>
  <c r="H379" i="4"/>
  <c r="H375" i="4"/>
  <c r="H372" i="4"/>
  <c r="H368" i="4"/>
  <c r="H365" i="4"/>
  <c r="H362" i="4"/>
  <c r="H358" i="4"/>
  <c r="G747" i="3"/>
  <c r="G746" i="3" s="1"/>
  <c r="G745" i="3"/>
  <c r="H344" i="4"/>
  <c r="H334" i="4"/>
  <c r="H333" i="4" s="1"/>
  <c r="H331" i="4"/>
  <c r="G683" i="3"/>
  <c r="G682" i="3" s="1"/>
  <c r="H319" i="4"/>
  <c r="H318" i="4" s="1"/>
  <c r="H317" i="4"/>
  <c r="G673" i="3"/>
  <c r="H311" i="4"/>
  <c r="H310" i="4" s="1"/>
  <c r="H308" i="4"/>
  <c r="H304" i="4"/>
  <c r="H303" i="4" s="1"/>
  <c r="H302" i="4" s="1"/>
  <c r="H301" i="4"/>
  <c r="H300" i="4" s="1"/>
  <c r="G657" i="3"/>
  <c r="H295" i="4"/>
  <c r="H294" i="4" s="1"/>
  <c r="H291" i="4"/>
  <c r="H290" i="4" s="1"/>
  <c r="G647" i="3"/>
  <c r="G645" i="3"/>
  <c r="G643" i="3"/>
  <c r="H277" i="4"/>
  <c r="H273" i="4"/>
  <c r="H272" i="4" s="1"/>
  <c r="H82" i="5"/>
  <c r="H265" i="4"/>
  <c r="H264" i="4" s="1"/>
  <c r="H263" i="4" s="1"/>
  <c r="H257" i="4"/>
  <c r="H252" i="4"/>
  <c r="H251" i="4" s="1"/>
  <c r="H249" i="4"/>
  <c r="H246" i="4"/>
  <c r="H243" i="4"/>
  <c r="H242" i="4" s="1"/>
  <c r="H240" i="4"/>
  <c r="H239" i="4" s="1"/>
  <c r="H218" i="4"/>
  <c r="H217" i="4"/>
  <c r="H212" i="4"/>
  <c r="H205" i="4"/>
  <c r="G278" i="3"/>
  <c r="H192" i="4"/>
  <c r="H181" i="4"/>
  <c r="H180" i="4" s="1"/>
  <c r="H178" i="4"/>
  <c r="H176" i="4"/>
  <c r="G232" i="3"/>
  <c r="H169" i="4"/>
  <c r="H162" i="4"/>
  <c r="H161" i="4" s="1"/>
  <c r="H155" i="4"/>
  <c r="H150" i="4"/>
  <c r="H145" i="4"/>
  <c r="H141" i="4"/>
  <c r="H140" i="4" s="1"/>
  <c r="H136" i="4"/>
  <c r="H133" i="4"/>
  <c r="H131" i="4"/>
  <c r="H125" i="4"/>
  <c r="H123" i="4"/>
  <c r="H117" i="4"/>
  <c r="H116" i="4" s="1"/>
  <c r="H114" i="4"/>
  <c r="H108" i="4"/>
  <c r="H107" i="4" s="1"/>
  <c r="H105" i="4"/>
  <c r="H101" i="4"/>
  <c r="H100" i="4" s="1"/>
  <c r="H98" i="4"/>
  <c r="H96" i="4"/>
  <c r="H92" i="4"/>
  <c r="H87" i="4"/>
  <c r="G75" i="3"/>
  <c r="G74" i="3" s="1"/>
  <c r="H77" i="4"/>
  <c r="H75" i="4"/>
  <c r="H72" i="4"/>
  <c r="H69" i="4"/>
  <c r="H65" i="4"/>
  <c r="H62" i="4"/>
  <c r="H61" i="4" s="1"/>
  <c r="H59" i="4"/>
  <c r="H58" i="4"/>
  <c r="H57" i="4" s="1"/>
  <c r="H55" i="4"/>
  <c r="H53" i="4"/>
  <c r="H369" i="5"/>
  <c r="H47" i="4"/>
  <c r="H46" i="4" s="1"/>
  <c r="H43" i="4"/>
  <c r="H42" i="4" s="1"/>
  <c r="H41" i="4" s="1"/>
  <c r="H39" i="4"/>
  <c r="H37" i="4"/>
  <c r="H29" i="4"/>
  <c r="H28" i="4" s="1"/>
  <c r="H23" i="4"/>
  <c r="G122" i="3"/>
  <c r="H20" i="4"/>
  <c r="R1071" i="4" l="1"/>
  <c r="G756" i="3"/>
  <c r="H520" i="5" s="1"/>
  <c r="H519" i="5" s="1"/>
  <c r="H383" i="4"/>
  <c r="H542" i="4"/>
  <c r="H541" i="4" s="1"/>
  <c r="H552" i="4"/>
  <c r="H551" i="4" s="1"/>
  <c r="H958" i="4"/>
  <c r="H957" i="4" s="1"/>
  <c r="H552" i="5"/>
  <c r="H551" i="5" s="1"/>
  <c r="G52" i="3"/>
  <c r="G51" i="3" s="1"/>
  <c r="G585" i="3"/>
  <c r="G584" i="3" s="1"/>
  <c r="G583" i="3" s="1"/>
  <c r="G26" i="3"/>
  <c r="G25" i="3" s="1"/>
  <c r="H80" i="4"/>
  <c r="G50" i="3"/>
  <c r="G49" i="3" s="1"/>
  <c r="G927" i="3"/>
  <c r="G926" i="3" s="1"/>
  <c r="H113" i="5"/>
  <c r="H667" i="5"/>
  <c r="H47" i="6"/>
  <c r="H273" i="5"/>
  <c r="H272" i="5" s="1"/>
  <c r="H17" i="5"/>
  <c r="H596" i="5"/>
  <c r="H425" i="5"/>
  <c r="H424" i="5" s="1"/>
  <c r="H508" i="5"/>
  <c r="H705" i="4"/>
  <c r="H160" i="4"/>
  <c r="H929" i="4"/>
  <c r="H671" i="4"/>
  <c r="H71" i="4"/>
  <c r="H113" i="4"/>
  <c r="H112" i="4" s="1"/>
  <c r="H245" i="4"/>
  <c r="G758" i="3"/>
  <c r="H523" i="5" s="1"/>
  <c r="H524" i="5" s="1"/>
  <c r="H364" i="4"/>
  <c r="H492" i="4"/>
  <c r="H521" i="4"/>
  <c r="H574" i="4"/>
  <c r="H567" i="4" s="1"/>
  <c r="H278" i="5"/>
  <c r="H277" i="5" s="1"/>
  <c r="H641" i="4"/>
  <c r="G573" i="3"/>
  <c r="G572" i="3" s="1"/>
  <c r="G571" i="3" s="1"/>
  <c r="H664" i="4"/>
  <c r="H676" i="4"/>
  <c r="H404" i="5"/>
  <c r="H403" i="5" s="1"/>
  <c r="G888" i="3"/>
  <c r="G887" i="3" s="1"/>
  <c r="H780" i="4"/>
  <c r="H858" i="4"/>
  <c r="H26" i="5"/>
  <c r="H27" i="5" s="1"/>
  <c r="H886" i="4"/>
  <c r="H914" i="4"/>
  <c r="H954" i="4"/>
  <c r="G21" i="3"/>
  <c r="G20" i="3" s="1"/>
  <c r="G19" i="3" s="1"/>
  <c r="G318" i="3"/>
  <c r="G317" i="3" s="1"/>
  <c r="H64" i="4"/>
  <c r="H74" i="4"/>
  <c r="H91" i="4"/>
  <c r="H191" i="4"/>
  <c r="H276" i="4"/>
  <c r="H367" i="4"/>
  <c r="H382" i="4"/>
  <c r="H486" i="4"/>
  <c r="G48" i="3"/>
  <c r="H511" i="4"/>
  <c r="H851" i="5"/>
  <c r="H850" i="5" s="1"/>
  <c r="H525" i="4"/>
  <c r="G486" i="3"/>
  <c r="G485" i="3" s="1"/>
  <c r="H172" i="5"/>
  <c r="H171" i="5" s="1"/>
  <c r="H269" i="5"/>
  <c r="H268" i="5" s="1"/>
  <c r="H267" i="5" s="1"/>
  <c r="G510" i="3"/>
  <c r="G509" i="3" s="1"/>
  <c r="H669" i="4"/>
  <c r="H346" i="5"/>
  <c r="H345" i="5" s="1"/>
  <c r="H344" i="5" s="1"/>
  <c r="H917" i="4"/>
  <c r="H1047" i="4"/>
  <c r="H1063" i="4"/>
  <c r="G118" i="3"/>
  <c r="G117" i="3" s="1"/>
  <c r="H16" i="4"/>
  <c r="H22" i="4"/>
  <c r="H36" i="4"/>
  <c r="G70" i="3"/>
  <c r="G69" i="3" s="1"/>
  <c r="G68" i="3" s="1"/>
  <c r="H82" i="4"/>
  <c r="H79" i="4" s="1"/>
  <c r="G77" i="3"/>
  <c r="G76" i="3" s="1"/>
  <c r="H198" i="4"/>
  <c r="H204" i="4"/>
  <c r="H269" i="4"/>
  <c r="H284" i="4"/>
  <c r="H462" i="5"/>
  <c r="H461" i="5" s="1"/>
  <c r="H472" i="5"/>
  <c r="H471" i="5" s="1"/>
  <c r="G650" i="3"/>
  <c r="G649" i="3" s="1"/>
  <c r="H806" i="5"/>
  <c r="H807" i="5" s="1"/>
  <c r="H324" i="4"/>
  <c r="H338" i="4"/>
  <c r="H49" i="5"/>
  <c r="H48" i="5" s="1"/>
  <c r="H353" i="4"/>
  <c r="H481" i="5"/>
  <c r="H480" i="5" s="1"/>
  <c r="H432" i="4"/>
  <c r="H554" i="4"/>
  <c r="H568" i="4"/>
  <c r="H290" i="5"/>
  <c r="G514" i="3"/>
  <c r="G513" i="3" s="1"/>
  <c r="H579" i="4"/>
  <c r="H627" i="4"/>
  <c r="H325" i="5"/>
  <c r="H324" i="5" s="1"/>
  <c r="H657" i="4"/>
  <c r="G589" i="3"/>
  <c r="G588" i="3" s="1"/>
  <c r="H716" i="4"/>
  <c r="H737" i="4"/>
  <c r="H765" i="4"/>
  <c r="H761" i="4" s="1"/>
  <c r="H824" i="4"/>
  <c r="H880" i="4"/>
  <c r="H879" i="4" s="1"/>
  <c r="H946" i="4"/>
  <c r="G389" i="3"/>
  <c r="G388" i="3" s="1"/>
  <c r="G387" i="3" s="1"/>
  <c r="H990" i="4"/>
  <c r="H1012" i="4"/>
  <c r="H1026" i="4"/>
  <c r="H1042" i="4"/>
  <c r="H1052" i="4"/>
  <c r="G60" i="3"/>
  <c r="G59" i="3" s="1"/>
  <c r="G290" i="3"/>
  <c r="G289" i="3" s="1"/>
  <c r="H750" i="5"/>
  <c r="H749" i="5" s="1"/>
  <c r="H748" i="5" s="1"/>
  <c r="G377" i="3"/>
  <c r="G376" i="3" s="1"/>
  <c r="G601" i="3"/>
  <c r="G600" i="3" s="1"/>
  <c r="G599" i="3" s="1"/>
  <c r="G700" i="3"/>
  <c r="G699" i="3" s="1"/>
  <c r="G876" i="3"/>
  <c r="G875" i="3" s="1"/>
  <c r="G909" i="3"/>
  <c r="H437" i="5" s="1"/>
  <c r="H436" i="5" s="1"/>
  <c r="H843" i="5"/>
  <c r="H842" i="5" s="1"/>
  <c r="H841" i="5" s="1"/>
  <c r="H27" i="4"/>
  <c r="H139" i="4"/>
  <c r="H168" i="4"/>
  <c r="H188" i="4"/>
  <c r="H693" i="5"/>
  <c r="H694" i="5" s="1"/>
  <c r="G248" i="3"/>
  <c r="G247" i="3" s="1"/>
  <c r="H216" i="4"/>
  <c r="H271" i="4"/>
  <c r="H298" i="4"/>
  <c r="H511" i="5"/>
  <c r="H512" i="5" s="1"/>
  <c r="H307" i="4"/>
  <c r="H357" i="4"/>
  <c r="H378" i="4"/>
  <c r="H393" i="4"/>
  <c r="H828" i="5"/>
  <c r="H827" i="5" s="1"/>
  <c r="H478" i="4"/>
  <c r="H506" i="4"/>
  <c r="G159" i="3"/>
  <c r="G158" i="3" s="1"/>
  <c r="G157" i="3" s="1"/>
  <c r="H611" i="4"/>
  <c r="H651" i="4"/>
  <c r="H688" i="4"/>
  <c r="G620" i="3"/>
  <c r="G619" i="3" s="1"/>
  <c r="H157" i="5"/>
  <c r="H156" i="5" s="1"/>
  <c r="H741" i="4"/>
  <c r="G735" i="3"/>
  <c r="G734" i="3" s="1"/>
  <c r="G729" i="3" s="1"/>
  <c r="H871" i="4"/>
  <c r="H1033" i="4"/>
  <c r="G480" i="3"/>
  <c r="G479" i="3" s="1"/>
  <c r="H164" i="5"/>
  <c r="H163" i="5" s="1"/>
  <c r="H45" i="4"/>
  <c r="H130" i="4"/>
  <c r="H154" i="4"/>
  <c r="H316" i="4"/>
  <c r="H467" i="4"/>
  <c r="H497" i="5"/>
  <c r="H498" i="5" s="1"/>
  <c r="G955" i="3"/>
  <c r="G954" i="3" s="1"/>
  <c r="H495" i="4"/>
  <c r="H565" i="4"/>
  <c r="H229" i="5"/>
  <c r="H228" i="5" s="1"/>
  <c r="G500" i="3"/>
  <c r="G499" i="3" s="1"/>
  <c r="H589" i="4"/>
  <c r="H614" i="4"/>
  <c r="H743" i="4"/>
  <c r="H772" i="4"/>
  <c r="H783" i="4"/>
  <c r="H845" i="4"/>
  <c r="H874" i="4"/>
  <c r="H1122" i="4"/>
  <c r="H940" i="4"/>
  <c r="H876" i="5"/>
  <c r="H875" i="5" s="1"/>
  <c r="H874" i="5" s="1"/>
  <c r="H18" i="4"/>
  <c r="G120" i="3"/>
  <c r="G119" i="3" s="1"/>
  <c r="H68" i="4"/>
  <c r="G80" i="3"/>
  <c r="G79" i="3" s="1"/>
  <c r="H85" i="4"/>
  <c r="H122" i="4"/>
  <c r="H135" i="4"/>
  <c r="H149" i="4"/>
  <c r="H147" i="4" s="1"/>
  <c r="H175" i="4"/>
  <c r="H211" i="4"/>
  <c r="H226" i="4"/>
  <c r="H256" i="4"/>
  <c r="H254" i="4" s="1"/>
  <c r="H330" i="4"/>
  <c r="H340" i="4"/>
  <c r="H52" i="5"/>
  <c r="H51" i="5" s="1"/>
  <c r="H355" i="4"/>
  <c r="H484" i="5"/>
  <c r="H485" i="5" s="1"/>
  <c r="G749" i="3"/>
  <c r="G748" i="3" s="1"/>
  <c r="H407" i="4"/>
  <c r="G801" i="3"/>
  <c r="G800" i="3" s="1"/>
  <c r="G799" i="3" s="1"/>
  <c r="H419" i="4"/>
  <c r="G813" i="3"/>
  <c r="G812" i="3" s="1"/>
  <c r="H548" i="4"/>
  <c r="H558" i="4"/>
  <c r="H620" i="4"/>
  <c r="H649" i="4"/>
  <c r="H661" i="4"/>
  <c r="G593" i="3"/>
  <c r="G592" i="3" s="1"/>
  <c r="G591" i="3" s="1"/>
  <c r="H332" i="5"/>
  <c r="H331" i="5" s="1"/>
  <c r="H684" i="4"/>
  <c r="H283" i="5"/>
  <c r="G638" i="3"/>
  <c r="G637" i="3" s="1"/>
  <c r="H759" i="4"/>
  <c r="H788" i="4"/>
  <c r="H803" i="4"/>
  <c r="G932" i="3"/>
  <c r="G931" i="3" s="1"/>
  <c r="H827" i="4"/>
  <c r="H892" i="4"/>
  <c r="H900" i="4"/>
  <c r="H911" i="4"/>
  <c r="H922" i="4"/>
  <c r="H949" i="4"/>
  <c r="H969" i="4"/>
  <c r="H1002" i="4"/>
  <c r="H1058" i="4"/>
  <c r="G82" i="3"/>
  <c r="G81" i="3" s="1"/>
  <c r="G270" i="3"/>
  <c r="G269" i="3" s="1"/>
  <c r="G383" i="3"/>
  <c r="G382" i="3" s="1"/>
  <c r="G460" i="3"/>
  <c r="G459" i="3" s="1"/>
  <c r="G477" i="3"/>
  <c r="G476" i="3" s="1"/>
  <c r="G475" i="3" s="1"/>
  <c r="G581" i="3"/>
  <c r="G702" i="3"/>
  <c r="G701" i="3" s="1"/>
  <c r="G965" i="3"/>
  <c r="G964" i="3" s="1"/>
  <c r="H410" i="5"/>
  <c r="H409" i="5" s="1"/>
  <c r="H412" i="5"/>
  <c r="H811" i="5"/>
  <c r="H809" i="5"/>
  <c r="H808" i="5" s="1"/>
  <c r="H52" i="4"/>
  <c r="H104" i="4"/>
  <c r="H144" i="4"/>
  <c r="H172" i="4"/>
  <c r="H200" i="4"/>
  <c r="H235" i="4"/>
  <c r="H104" i="5"/>
  <c r="H105" i="5" s="1"/>
  <c r="H248" i="4"/>
  <c r="H238" i="4" s="1"/>
  <c r="H286" i="4"/>
  <c r="H465" i="5"/>
  <c r="H466" i="5" s="1"/>
  <c r="H514" i="5"/>
  <c r="H513" i="5" s="1"/>
  <c r="H38" i="5"/>
  <c r="H343" i="4"/>
  <c r="H371" i="4"/>
  <c r="H411" i="4"/>
  <c r="H430" i="4"/>
  <c r="H129" i="5"/>
  <c r="H128" i="5" s="1"/>
  <c r="H442" i="4"/>
  <c r="H472" i="4"/>
  <c r="H518" i="4"/>
  <c r="H561" i="4"/>
  <c r="H585" i="4"/>
  <c r="H581" i="4" s="1"/>
  <c r="H595" i="4"/>
  <c r="H608" i="4"/>
  <c r="H645" i="4"/>
  <c r="H698" i="4"/>
  <c r="H214" i="5"/>
  <c r="H213" i="5" s="1"/>
  <c r="H709" i="4"/>
  <c r="H253" i="5"/>
  <c r="H252" i="5" s="1"/>
  <c r="H255" i="5"/>
  <c r="H751" i="4"/>
  <c r="H795" i="4"/>
  <c r="H807" i="4"/>
  <c r="H817" i="4"/>
  <c r="H814" i="4" s="1"/>
  <c r="H447" i="5"/>
  <c r="H448" i="5" s="1"/>
  <c r="H851" i="4"/>
  <c r="H866" i="4"/>
  <c r="H926" i="4"/>
  <c r="H934" i="4"/>
  <c r="H645" i="5"/>
  <c r="H644" i="5" s="1"/>
  <c r="H966" i="4"/>
  <c r="H974" i="4"/>
  <c r="H996" i="4"/>
  <c r="H1019" i="4"/>
  <c r="G54" i="3"/>
  <c r="G53" i="3" s="1"/>
  <c r="G102" i="3"/>
  <c r="G101" i="3" s="1"/>
  <c r="G100" i="3" s="1"/>
  <c r="H388" i="5"/>
  <c r="H387" i="5" s="1"/>
  <c r="G361" i="3"/>
  <c r="G360" i="3" s="1"/>
  <c r="H169" i="5"/>
  <c r="H167" i="5"/>
  <c r="H166" i="5" s="1"/>
  <c r="G540" i="3"/>
  <c r="H185" i="5"/>
  <c r="H186" i="5" s="1"/>
  <c r="G659" i="3"/>
  <c r="G658" i="3" s="1"/>
  <c r="G693" i="3"/>
  <c r="G692" i="3" s="1"/>
  <c r="G766" i="3"/>
  <c r="H563" i="5" s="1"/>
  <c r="H564" i="5" s="1"/>
  <c r="G913" i="3"/>
  <c r="G912" i="3" s="1"/>
  <c r="H224" i="4"/>
  <c r="G874" i="3"/>
  <c r="G873" i="3" s="1"/>
  <c r="H288" i="4"/>
  <c r="H468" i="5"/>
  <c r="H467" i="5" s="1"/>
  <c r="H314" i="4"/>
  <c r="H557" i="5"/>
  <c r="H558" i="5" s="1"/>
  <c r="H351" i="4"/>
  <c r="H478" i="5"/>
  <c r="H477" i="5" s="1"/>
  <c r="H488" i="5"/>
  <c r="H487" i="5" s="1"/>
  <c r="H486" i="5" s="1"/>
  <c r="H489" i="5" s="1"/>
  <c r="H374" i="4"/>
  <c r="H386" i="4"/>
  <c r="H401" i="4"/>
  <c r="H816" i="5"/>
  <c r="H815" i="5" s="1"/>
  <c r="H417" i="4"/>
  <c r="H447" i="4"/>
  <c r="H465" i="4"/>
  <c r="H494" i="5"/>
  <c r="H493" i="5" s="1"/>
  <c r="H503" i="4"/>
  <c r="H534" i="4"/>
  <c r="H602" i="4"/>
  <c r="H148" i="5"/>
  <c r="H149" i="5" s="1"/>
  <c r="H618" i="4"/>
  <c r="H634" i="4"/>
  <c r="H247" i="5"/>
  <c r="H246" i="5" s="1"/>
  <c r="H339" i="5"/>
  <c r="H338" i="5" s="1"/>
  <c r="H337" i="5" s="1"/>
  <c r="H336" i="5" s="1"/>
  <c r="H206" i="5"/>
  <c r="H207" i="5" s="1"/>
  <c r="H701" i="4"/>
  <c r="H733" i="4"/>
  <c r="H797" i="4"/>
  <c r="H838" i="4"/>
  <c r="H897" i="4"/>
  <c r="H977" i="4"/>
  <c r="H1010" i="4"/>
  <c r="H1007" i="4" s="1"/>
  <c r="H1021" i="4"/>
  <c r="G174" i="3"/>
  <c r="G173" i="3" s="1"/>
  <c r="G280" i="3"/>
  <c r="G279" i="3" s="1"/>
  <c r="G404" i="3"/>
  <c r="H651" i="5" s="1"/>
  <c r="H650" i="5" s="1"/>
  <c r="G533" i="3"/>
  <c r="G532" i="3" s="1"/>
  <c r="G531" i="3" s="1"/>
  <c r="G566" i="3"/>
  <c r="G565" i="3" s="1"/>
  <c r="G577" i="3"/>
  <c r="G576" i="3" s="1"/>
  <c r="G575" i="3" s="1"/>
  <c r="G711" i="3"/>
  <c r="G710" i="3" s="1"/>
  <c r="G727" i="3"/>
  <c r="G726" i="3" s="1"/>
  <c r="G752" i="3"/>
  <c r="H759" i="5"/>
  <c r="H757" i="5"/>
  <c r="H821" i="5"/>
  <c r="H820" i="5" s="1"/>
  <c r="H823" i="5"/>
  <c r="H190" i="5"/>
  <c r="H188" i="5"/>
  <c r="G365" i="3"/>
  <c r="G364" i="3" s="1"/>
  <c r="G363" i="3" s="1"/>
  <c r="H729" i="5"/>
  <c r="H175" i="5"/>
  <c r="H66" i="5"/>
  <c r="H198" i="5"/>
  <c r="H222" i="5"/>
  <c r="H248" i="5"/>
  <c r="H640" i="5"/>
  <c r="H642" i="5"/>
  <c r="H74" i="5"/>
  <c r="H110" i="5"/>
  <c r="H209" i="5"/>
  <c r="H211" i="5"/>
  <c r="H226" i="5"/>
  <c r="H224" i="5"/>
  <c r="H360" i="5"/>
  <c r="H414" i="5"/>
  <c r="H416" i="5"/>
  <c r="H443" i="5"/>
  <c r="H568" i="5"/>
  <c r="H566" i="5"/>
  <c r="H603" i="5"/>
  <c r="H660" i="5"/>
  <c r="H736" i="5"/>
  <c r="H647" i="5"/>
  <c r="H681" i="5"/>
  <c r="G424" i="3"/>
  <c r="G423" i="3" s="1"/>
  <c r="H41" i="5"/>
  <c r="H43" i="5"/>
  <c r="H54" i="5"/>
  <c r="H123" i="5"/>
  <c r="H121" i="5"/>
  <c r="H142" i="5"/>
  <c r="H144" i="5"/>
  <c r="H154" i="5"/>
  <c r="H152" i="5"/>
  <c r="H363" i="5"/>
  <c r="H377" i="5"/>
  <c r="H418" i="5"/>
  <c r="H420" i="5"/>
  <c r="H429" i="5"/>
  <c r="H431" i="5"/>
  <c r="H499" i="5"/>
  <c r="H501" i="5"/>
  <c r="H528" i="5"/>
  <c r="H593" i="5"/>
  <c r="H649" i="5"/>
  <c r="H708" i="5"/>
  <c r="G353" i="3"/>
  <c r="G352" i="3" s="1"/>
  <c r="G351" i="3" s="1"/>
  <c r="H671" i="5"/>
  <c r="H669" i="5"/>
  <c r="H87" i="5"/>
  <c r="H262" i="5"/>
  <c r="H260" i="5"/>
  <c r="H316" i="5"/>
  <c r="H355" i="5"/>
  <c r="H453" i="5"/>
  <c r="H721" i="5"/>
  <c r="H723" i="5"/>
  <c r="G93" i="3"/>
  <c r="G92" i="3" s="1"/>
  <c r="H374" i="5"/>
  <c r="H11" i="5"/>
  <c r="H13" i="5"/>
  <c r="H12" i="5" s="1"/>
  <c r="H83" i="5"/>
  <c r="H81" i="5"/>
  <c r="H95" i="5"/>
  <c r="H97" i="5"/>
  <c r="H177" i="5"/>
  <c r="H205" i="5"/>
  <c r="H234" i="5"/>
  <c r="H236" i="5"/>
  <c r="H242" i="5"/>
  <c r="H244" i="5"/>
  <c r="H353" i="5"/>
  <c r="H395" i="5"/>
  <c r="H397" i="5"/>
  <c r="H548" i="5"/>
  <c r="H550" i="5"/>
  <c r="H579" i="5"/>
  <c r="H684" i="5"/>
  <c r="H686" i="5"/>
  <c r="H764" i="5"/>
  <c r="H766" i="5"/>
  <c r="H795" i="5"/>
  <c r="H797" i="5"/>
  <c r="H858" i="5"/>
  <c r="H632" i="5"/>
  <c r="H631" i="5" s="1"/>
  <c r="H653" i="5"/>
  <c r="H673" i="5"/>
  <c r="H768" i="5"/>
  <c r="H800" i="5"/>
  <c r="H802" i="5"/>
  <c r="G373" i="3"/>
  <c r="G372" i="3" s="1"/>
  <c r="G371" i="3" s="1"/>
  <c r="H743" i="5"/>
  <c r="H742" i="5" s="1"/>
  <c r="H22" i="5"/>
  <c r="H90" i="5"/>
  <c r="H134" i="5"/>
  <c r="H193" i="5"/>
  <c r="H192" i="5" s="1"/>
  <c r="H201" i="5"/>
  <c r="H238" i="5"/>
  <c r="H266" i="5"/>
  <c r="H298" i="5"/>
  <c r="H368" i="5"/>
  <c r="H531" i="5"/>
  <c r="H543" i="5"/>
  <c r="H587" i="5"/>
  <c r="H615" i="5"/>
  <c r="H656" i="5"/>
  <c r="H675" i="5"/>
  <c r="H715" i="5"/>
  <c r="H760" i="5"/>
  <c r="H770" i="5"/>
  <c r="H30" i="5"/>
  <c r="H118" i="5"/>
  <c r="H180" i="5"/>
  <c r="H382" i="5"/>
  <c r="H540" i="5"/>
  <c r="H582" i="5"/>
  <c r="H619" i="5"/>
  <c r="H699" i="5"/>
  <c r="H776" i="5"/>
  <c r="H865" i="5"/>
  <c r="H608" i="5"/>
  <c r="H784" i="5"/>
  <c r="H535" i="5"/>
  <c r="H537" i="5"/>
  <c r="H136" i="5"/>
  <c r="H515" i="5"/>
  <c r="H664" i="5"/>
  <c r="H662" i="5"/>
  <c r="H772" i="5"/>
  <c r="H774" i="5"/>
  <c r="H788" i="5"/>
  <c r="H790" i="5"/>
  <c r="H60" i="5"/>
  <c r="H76" i="5"/>
  <c r="H196" i="5"/>
  <c r="H296" i="5"/>
  <c r="H380" i="5"/>
  <c r="H445" i="5"/>
  <c r="H762" i="5"/>
  <c r="H56" i="5"/>
  <c r="H220" i="5"/>
  <c r="H264" i="5"/>
  <c r="H575" i="5"/>
  <c r="H573" i="5"/>
  <c r="H658" i="5"/>
  <c r="H613" i="5"/>
  <c r="H834" i="5"/>
  <c r="G151" i="3"/>
  <c r="G195" i="3"/>
  <c r="G209" i="3"/>
  <c r="G257" i="3"/>
  <c r="G285" i="3"/>
  <c r="G302" i="3"/>
  <c r="G329" i="3"/>
  <c r="G408" i="3"/>
  <c r="G417" i="3"/>
  <c r="G427" i="3"/>
  <c r="G463" i="3"/>
  <c r="G506" i="3"/>
  <c r="G522" i="3"/>
  <c r="G545" i="3"/>
  <c r="G556" i="3"/>
  <c r="G609" i="3"/>
  <c r="G642" i="3"/>
  <c r="G653" i="3"/>
  <c r="G661" i="3"/>
  <c r="G938" i="3"/>
  <c r="G63" i="3"/>
  <c r="G73" i="3"/>
  <c r="G143" i="3"/>
  <c r="G155" i="3"/>
  <c r="G167" i="3"/>
  <c r="G184" i="3"/>
  <c r="G214" i="3"/>
  <c r="G234" i="3"/>
  <c r="G239" i="3"/>
  <c r="G309" i="3"/>
  <c r="G323" i="3"/>
  <c r="G343" i="3"/>
  <c r="G367" i="3"/>
  <c r="G904" i="3"/>
  <c r="G922" i="3"/>
  <c r="G943" i="3"/>
  <c r="G956" i="3"/>
  <c r="G17" i="3"/>
  <c r="G14" i="3" s="1"/>
  <c r="G33" i="3"/>
  <c r="G30" i="3" s="1"/>
  <c r="G776" i="3"/>
  <c r="G793" i="3"/>
  <c r="G805" i="3"/>
  <c r="G841" i="3"/>
  <c r="G853" i="3"/>
  <c r="G850" i="3"/>
  <c r="G866" i="3"/>
  <c r="G397" i="3"/>
  <c r="G406" i="3"/>
  <c r="G440" i="3"/>
  <c r="G437" i="3" s="1"/>
  <c r="G461" i="3"/>
  <c r="G489" i="3"/>
  <c r="G503" i="3"/>
  <c r="G517" i="3"/>
  <c r="G605" i="3"/>
  <c r="G625" i="3"/>
  <c r="G669" i="3"/>
  <c r="G751" i="3"/>
  <c r="G823" i="3"/>
  <c r="G123" i="3"/>
  <c r="G162" i="3"/>
  <c r="G161" i="3" s="1"/>
  <c r="G178" i="3"/>
  <c r="G227" i="3"/>
  <c r="G314" i="3"/>
  <c r="G325" i="3"/>
  <c r="G337" i="3"/>
  <c r="G347" i="3"/>
  <c r="G355" i="3"/>
  <c r="G393" i="3"/>
  <c r="G539" i="3"/>
  <c r="G549" i="3"/>
  <c r="G561" i="3"/>
  <c r="G615" i="3"/>
  <c r="G623" i="3"/>
  <c r="G646" i="3"/>
  <c r="G665" i="3"/>
  <c r="G681" i="3"/>
  <c r="G721" i="3"/>
  <c r="G772" i="3"/>
  <c r="G814" i="3"/>
  <c r="G835" i="3"/>
  <c r="G901" i="3"/>
  <c r="G952" i="3"/>
  <c r="G89" i="3"/>
  <c r="G147" i="3"/>
  <c r="G187" i="3"/>
  <c r="G203" i="3"/>
  <c r="G201" i="3" s="1"/>
  <c r="G267" i="3"/>
  <c r="G277" i="3"/>
  <c r="G293" i="3"/>
  <c r="G335" i="3"/>
  <c r="G431" i="3"/>
  <c r="G429" i="3" s="1"/>
  <c r="G445" i="3"/>
  <c r="G455" i="3"/>
  <c r="G483" i="3"/>
  <c r="G495" i="3"/>
  <c r="G595" i="3"/>
  <c r="G632" i="3"/>
  <c r="G695" i="3"/>
  <c r="G744" i="3"/>
  <c r="G784" i="3"/>
  <c r="G847" i="3"/>
  <c r="G857" i="3"/>
  <c r="G113" i="3"/>
  <c r="G121" i="3"/>
  <c r="G181" i="3"/>
  <c r="G189" i="3"/>
  <c r="G221" i="3"/>
  <c r="G263" i="3"/>
  <c r="G345" i="3"/>
  <c r="G419" i="3"/>
  <c r="G543" i="3"/>
  <c r="G551" i="3"/>
  <c r="G629" i="3"/>
  <c r="G705" i="3"/>
  <c r="G716" i="3"/>
  <c r="G715" i="3" s="1"/>
  <c r="G768" i="3"/>
  <c r="G780" i="3"/>
  <c r="G817" i="3"/>
  <c r="G893" i="3"/>
  <c r="G899" i="3"/>
  <c r="G933" i="3"/>
  <c r="G137" i="3"/>
  <c r="G149" i="3"/>
  <c r="G199" i="3"/>
  <c r="G231" i="3"/>
  <c r="G251" i="3"/>
  <c r="G297" i="3"/>
  <c r="G311" i="3"/>
  <c r="G331" i="3"/>
  <c r="G339" i="3"/>
  <c r="G469" i="3"/>
  <c r="G493" i="3"/>
  <c r="G527" i="3"/>
  <c r="G537" i="3"/>
  <c r="G559" i="3"/>
  <c r="G569" i="3"/>
  <c r="G644" i="3"/>
  <c r="G656" i="3"/>
  <c r="G672" i="3"/>
  <c r="G685" i="3"/>
  <c r="G737" i="3"/>
  <c r="G761" i="3"/>
  <c r="G789" i="3"/>
  <c r="G851" i="3"/>
  <c r="G880" i="3"/>
  <c r="G896" i="3"/>
  <c r="G917" i="3"/>
  <c r="G945" i="3"/>
  <c r="G959" i="3"/>
  <c r="G35" i="3"/>
  <c r="G129" i="3"/>
  <c r="G411" i="3"/>
  <c r="G107" i="3"/>
  <c r="G449" i="3"/>
  <c r="G828" i="3"/>
  <c r="G826" i="3"/>
  <c r="G675" i="3"/>
  <c r="G677" i="3"/>
  <c r="H485" i="4"/>
  <c r="H95" i="4"/>
  <c r="H337" i="4"/>
  <c r="H708" i="4"/>
  <c r="H722" i="4"/>
  <c r="H980" i="4"/>
  <c r="E165" i="1"/>
  <c r="E164" i="1"/>
  <c r="E163" i="1"/>
  <c r="E159" i="1"/>
  <c r="E154" i="1"/>
  <c r="E149" i="1"/>
  <c r="E147" i="1"/>
  <c r="E145" i="1"/>
  <c r="E144" i="1"/>
  <c r="E143" i="1"/>
  <c r="E141" i="1"/>
  <c r="E140" i="1"/>
  <c r="E139" i="1"/>
  <c r="E138" i="1"/>
  <c r="E137" i="1"/>
  <c r="E136" i="1"/>
  <c r="E135" i="1"/>
  <c r="E134" i="1"/>
  <c r="E132" i="1"/>
  <c r="E131" i="1"/>
  <c r="E130" i="1"/>
  <c r="E129" i="1"/>
  <c r="E128" i="1"/>
  <c r="E127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6" i="1"/>
  <c r="E104" i="1"/>
  <c r="E102" i="1"/>
  <c r="E100" i="1"/>
  <c r="E98" i="1"/>
  <c r="E96" i="1"/>
  <c r="E94" i="1"/>
  <c r="E92" i="1"/>
  <c r="E90" i="1"/>
  <c r="E88" i="1"/>
  <c r="E85" i="1"/>
  <c r="E83" i="1"/>
  <c r="E73" i="1"/>
  <c r="E69" i="1"/>
  <c r="E65" i="1"/>
  <c r="E63" i="1"/>
  <c r="E60" i="1"/>
  <c r="E57" i="1"/>
  <c r="E54" i="1"/>
  <c r="E53" i="1"/>
  <c r="E50" i="1"/>
  <c r="E48" i="1"/>
  <c r="E44" i="1"/>
  <c r="E41" i="1"/>
  <c r="E39" i="1"/>
  <c r="E36" i="1"/>
  <c r="E33" i="1"/>
  <c r="E30" i="1"/>
  <c r="E26" i="1"/>
  <c r="E22" i="1"/>
  <c r="E21" i="1"/>
  <c r="E20" i="1"/>
  <c r="E16" i="1"/>
  <c r="E15" i="1"/>
  <c r="E14" i="1"/>
  <c r="E13" i="1"/>
  <c r="G47" i="3" l="1"/>
  <c r="G46" i="3" s="1"/>
  <c r="K48" i="3"/>
  <c r="G402" i="3"/>
  <c r="H25" i="5"/>
  <c r="H21" i="5" s="1"/>
  <c r="H215" i="5"/>
  <c r="H479" i="5"/>
  <c r="H652" i="5"/>
  <c r="H953" i="4"/>
  <c r="H948" i="4" s="1"/>
  <c r="H802" i="4"/>
  <c r="H801" i="4" s="1"/>
  <c r="H544" i="4"/>
  <c r="G755" i="3"/>
  <c r="H521" i="5"/>
  <c r="H482" i="5"/>
  <c r="H805" i="5"/>
  <c r="H804" i="5" s="1"/>
  <c r="H197" i="4"/>
  <c r="H556" i="5"/>
  <c r="H555" i="5" s="1"/>
  <c r="H483" i="5"/>
  <c r="H476" i="5" s="1"/>
  <c r="H279" i="5"/>
  <c r="H311" i="5"/>
  <c r="H310" i="5" s="1"/>
  <c r="H173" i="5"/>
  <c r="H646" i="5"/>
  <c r="H50" i="5"/>
  <c r="G757" i="3"/>
  <c r="H230" i="5"/>
  <c r="H405" i="5"/>
  <c r="H438" i="5"/>
  <c r="H103" i="5"/>
  <c r="H102" i="5" s="1"/>
  <c r="H522" i="5"/>
  <c r="G78" i="3"/>
  <c r="H389" i="5"/>
  <c r="H510" i="5"/>
  <c r="H509" i="5" s="1"/>
  <c r="H505" i="5" s="1"/>
  <c r="H504" i="5" s="1"/>
  <c r="G743" i="3"/>
  <c r="G872" i="3"/>
  <c r="G871" i="3" s="1"/>
  <c r="G765" i="3"/>
  <c r="G764" i="3" s="1"/>
  <c r="H496" i="5"/>
  <c r="H492" i="5" s="1"/>
  <c r="H270" i="5"/>
  <c r="H751" i="5"/>
  <c r="H495" i="5"/>
  <c r="H165" i="5"/>
  <c r="H756" i="5"/>
  <c r="G698" i="3"/>
  <c r="G29" i="3"/>
  <c r="G28" i="3" s="1"/>
  <c r="H635" i="5"/>
  <c r="H446" i="5"/>
  <c r="H442" i="5" s="1"/>
  <c r="H130" i="5"/>
  <c r="H562" i="5"/>
  <c r="H561" i="5" s="1"/>
  <c r="H147" i="5"/>
  <c r="H146" i="5" s="1"/>
  <c r="H53" i="5"/>
  <c r="H463" i="5"/>
  <c r="G430" i="3"/>
  <c r="G908" i="3"/>
  <c r="G907" i="3" s="1"/>
  <c r="H692" i="5"/>
  <c r="H691" i="5" s="1"/>
  <c r="H385" i="4"/>
  <c r="H342" i="4"/>
  <c r="H813" i="4"/>
  <c r="H282" i="5"/>
  <c r="H281" i="5" s="1"/>
  <c r="H280" i="5" s="1"/>
  <c r="H284" i="5"/>
  <c r="H237" i="4"/>
  <c r="H297" i="4"/>
  <c r="H989" i="4"/>
  <c r="H350" i="4"/>
  <c r="H196" i="4"/>
  <c r="H533" i="4"/>
  <c r="H794" i="4"/>
  <c r="H793" i="4" s="1"/>
  <c r="H644" i="4"/>
  <c r="H517" i="4"/>
  <c r="H103" i="4"/>
  <c r="H891" i="4"/>
  <c r="H878" i="4" s="1"/>
  <c r="H715" i="4"/>
  <c r="H291" i="5"/>
  <c r="H289" i="5"/>
  <c r="H288" i="5" s="1"/>
  <c r="H287" i="5" s="1"/>
  <c r="H524" i="4"/>
  <c r="H366" i="4"/>
  <c r="H190" i="4"/>
  <c r="H771" i="4"/>
  <c r="H721" i="4"/>
  <c r="H336" i="4"/>
  <c r="H94" i="4"/>
  <c r="H469" i="5"/>
  <c r="H184" i="5"/>
  <c r="H183" i="5" s="1"/>
  <c r="H732" i="4"/>
  <c r="H617" i="4"/>
  <c r="H464" i="4"/>
  <c r="H400" i="4"/>
  <c r="H370" i="4"/>
  <c r="H313" i="4"/>
  <c r="H1016" i="4"/>
  <c r="H850" i="4"/>
  <c r="H750" i="4"/>
  <c r="H593" i="4"/>
  <c r="H594" i="4"/>
  <c r="H429" i="4"/>
  <c r="H37" i="5"/>
  <c r="H36" i="5" s="1"/>
  <c r="H39" i="5"/>
  <c r="H283" i="4"/>
  <c r="H660" i="4"/>
  <c r="H121" i="4"/>
  <c r="H687" i="4"/>
  <c r="H683" i="4" s="1"/>
  <c r="H913" i="4"/>
  <c r="H520" i="4"/>
  <c r="H159" i="4"/>
  <c r="H704" i="4"/>
  <c r="H1006" i="4"/>
  <c r="H111" i="4"/>
  <c r="H633" i="4"/>
  <c r="H446" i="4"/>
  <c r="H471" i="4"/>
  <c r="H441" i="4"/>
  <c r="H1057" i="4"/>
  <c r="H564" i="4"/>
  <c r="H557" i="4" s="1"/>
  <c r="H477" i="4"/>
  <c r="H215" i="4"/>
  <c r="H26" i="4"/>
  <c r="H700" i="4"/>
  <c r="H601" i="4"/>
  <c r="H223" i="4"/>
  <c r="H995" i="4"/>
  <c r="H933" i="4"/>
  <c r="H143" i="4"/>
  <c r="H138" i="4" s="1"/>
  <c r="H174" i="4"/>
  <c r="H844" i="4"/>
  <c r="H588" i="4"/>
  <c r="H377" i="4"/>
  <c r="H203" i="4"/>
  <c r="H1120" i="4"/>
  <c r="H484" i="4"/>
  <c r="H35" i="4"/>
  <c r="G942" i="3"/>
  <c r="G941" i="3" s="1"/>
  <c r="G322" i="3"/>
  <c r="H464" i="5"/>
  <c r="H817" i="5"/>
  <c r="H837" i="4"/>
  <c r="H502" i="4"/>
  <c r="H416" i="4"/>
  <c r="H925" i="4"/>
  <c r="H736" i="4"/>
  <c r="H697" i="4"/>
  <c r="H234" i="4"/>
  <c r="H171" i="4"/>
  <c r="H51" i="4"/>
  <c r="H910" i="4"/>
  <c r="H823" i="4"/>
  <c r="H787" i="4"/>
  <c r="H648" i="4"/>
  <c r="H329" i="4"/>
  <c r="H148" i="4"/>
  <c r="H84" i="4"/>
  <c r="H67" i="4" s="1"/>
  <c r="H939" i="4"/>
  <c r="H153" i="4"/>
  <c r="H152" i="4"/>
  <c r="H1032" i="4"/>
  <c r="H505" i="4"/>
  <c r="H187" i="4"/>
  <c r="H1025" i="4"/>
  <c r="H945" i="4"/>
  <c r="H656" i="4"/>
  <c r="H578" i="4"/>
  <c r="H323" i="4"/>
  <c r="H268" i="4"/>
  <c r="H668" i="4"/>
  <c r="H90" i="4"/>
  <c r="H855" i="4"/>
  <c r="H640" i="4"/>
  <c r="H361" i="4"/>
  <c r="G580" i="3"/>
  <c r="G579" i="3" s="1"/>
  <c r="G578" i="3" s="1"/>
  <c r="H304" i="5"/>
  <c r="H921" i="4"/>
  <c r="H758" i="4"/>
  <c r="H406" i="4"/>
  <c r="H255" i="4"/>
  <c r="H210" i="4"/>
  <c r="H15" i="4"/>
  <c r="H865" i="4"/>
  <c r="H782" i="4"/>
  <c r="H129" i="4"/>
  <c r="H44" i="4"/>
  <c r="H540" i="4"/>
  <c r="H1041" i="4"/>
  <c r="H510" i="4"/>
  <c r="H381" i="4"/>
  <c r="H275" i="4"/>
  <c r="H779" i="4"/>
  <c r="H663" i="4"/>
  <c r="H833" i="5"/>
  <c r="H219" i="5"/>
  <c r="H864" i="5"/>
  <c r="H586" i="5"/>
  <c r="H330" i="5"/>
  <c r="H747" i="5"/>
  <c r="H630" i="5"/>
  <c r="H763" i="5"/>
  <c r="H668" i="5"/>
  <c r="H428" i="5"/>
  <c r="H423" i="5" s="1"/>
  <c r="H109" i="5"/>
  <c r="H639" i="5"/>
  <c r="H728" i="5"/>
  <c r="H730" i="5"/>
  <c r="G146" i="3"/>
  <c r="G142" i="3" s="1"/>
  <c r="H741" i="5"/>
  <c r="H657" i="5"/>
  <c r="H572" i="5"/>
  <c r="H460" i="5"/>
  <c r="H607" i="5"/>
  <c r="H618" i="5"/>
  <c r="H179" i="5"/>
  <c r="H191" i="5"/>
  <c r="H276" i="5"/>
  <c r="H315" i="5"/>
  <c r="H335" i="5"/>
  <c r="H359" i="5"/>
  <c r="H55" i="5"/>
  <c r="H379" i="5"/>
  <c r="H771" i="5"/>
  <c r="H819" i="5"/>
  <c r="H849" i="5"/>
  <c r="H367" i="5"/>
  <c r="H840" i="5"/>
  <c r="H794" i="5"/>
  <c r="H683" i="5"/>
  <c r="H352" i="5"/>
  <c r="H417" i="5"/>
  <c r="H402" i="5"/>
  <c r="H435" i="5"/>
  <c r="H227" i="5"/>
  <c r="H295" i="5"/>
  <c r="H534" i="5"/>
  <c r="H533" i="5" s="1"/>
  <c r="H783" i="5"/>
  <c r="H775" i="5"/>
  <c r="H133" i="5"/>
  <c r="H857" i="5"/>
  <c r="H241" i="5"/>
  <c r="H259" i="5"/>
  <c r="H709" i="5"/>
  <c r="H707" i="5"/>
  <c r="H799" i="5"/>
  <c r="H767" i="5"/>
  <c r="H826" i="5"/>
  <c r="H212" i="5"/>
  <c r="H204" i="5"/>
  <c r="H452" i="5"/>
  <c r="H527" i="5"/>
  <c r="H170" i="5"/>
  <c r="H873" i="5"/>
  <c r="H602" i="5"/>
  <c r="H413" i="5"/>
  <c r="H162" i="5"/>
  <c r="H187" i="5"/>
  <c r="G116" i="3"/>
  <c r="G115" i="3" s="1"/>
  <c r="G930" i="3"/>
  <c r="G641" i="3"/>
  <c r="H682" i="5"/>
  <c r="H195" i="5"/>
  <c r="H787" i="5"/>
  <c r="H661" i="5"/>
  <c r="H698" i="5"/>
  <c r="H539" i="5"/>
  <c r="H716" i="5"/>
  <c r="H714" i="5"/>
  <c r="H202" i="5"/>
  <c r="H200" i="5"/>
  <c r="H744" i="5"/>
  <c r="H814" i="5"/>
  <c r="H672" i="5"/>
  <c r="H547" i="5"/>
  <c r="H94" i="5"/>
  <c r="H375" i="5"/>
  <c r="H373" i="5"/>
  <c r="H720" i="5"/>
  <c r="H86" i="5"/>
  <c r="H592" i="5"/>
  <c r="H378" i="5"/>
  <c r="H376" i="5"/>
  <c r="H151" i="5"/>
  <c r="H40" i="5"/>
  <c r="H565" i="5"/>
  <c r="H343" i="5"/>
  <c r="H251" i="5"/>
  <c r="H73" i="5"/>
  <c r="H65" i="5"/>
  <c r="H612" i="5"/>
  <c r="H263" i="5"/>
  <c r="H127" i="5"/>
  <c r="H680" i="5"/>
  <c r="H117" i="5"/>
  <c r="H237" i="5"/>
  <c r="H194" i="5"/>
  <c r="H578" i="5"/>
  <c r="H394" i="5"/>
  <c r="H233" i="5"/>
  <c r="H155" i="5"/>
  <c r="H80" i="5"/>
  <c r="H518" i="5"/>
  <c r="H323" i="5"/>
  <c r="H141" i="5"/>
  <c r="H737" i="5"/>
  <c r="H735" i="5"/>
  <c r="H386" i="5"/>
  <c r="H223" i="5"/>
  <c r="H208" i="5"/>
  <c r="H470" i="5"/>
  <c r="H245" i="5"/>
  <c r="H47" i="5"/>
  <c r="H174" i="5"/>
  <c r="H643" i="5"/>
  <c r="G676" i="3"/>
  <c r="G91" i="3"/>
  <c r="G13" i="3"/>
  <c r="G788" i="3"/>
  <c r="G736" i="3"/>
  <c r="G728" i="3" s="1"/>
  <c r="G558" i="3"/>
  <c r="G526" i="3"/>
  <c r="G468" i="3"/>
  <c r="G250" i="3"/>
  <c r="G816" i="3"/>
  <c r="G316" i="3"/>
  <c r="G220" i="3"/>
  <c r="G180" i="3"/>
  <c r="G594" i="3"/>
  <c r="G292" i="3"/>
  <c r="G951" i="3"/>
  <c r="G911" i="3"/>
  <c r="G886" i="3"/>
  <c r="G622" i="3"/>
  <c r="G582" i="3"/>
  <c r="G512" i="3"/>
  <c r="G24" i="3"/>
  <c r="G502" i="3"/>
  <c r="G396" i="3"/>
  <c r="G840" i="3"/>
  <c r="G725" i="3"/>
  <c r="G154" i="3"/>
  <c r="G62" i="3"/>
  <c r="G608" i="3"/>
  <c r="G416" i="3"/>
  <c r="G301" i="3"/>
  <c r="G697" i="3"/>
  <c r="G399" i="3"/>
  <c r="G879" i="3"/>
  <c r="G684" i="3"/>
  <c r="G655" i="3"/>
  <c r="G328" i="3"/>
  <c r="G198" i="3"/>
  <c r="G136" i="3"/>
  <c r="G767" i="3"/>
  <c r="G704" i="3"/>
  <c r="G628" i="3"/>
  <c r="G598" i="3"/>
  <c r="G542" i="3"/>
  <c r="G498" i="3"/>
  <c r="G262" i="3"/>
  <c r="G112" i="3"/>
  <c r="G106" i="3" s="1"/>
  <c r="G846" i="3"/>
  <c r="G694" i="3"/>
  <c r="G631" i="3"/>
  <c r="G482" i="3"/>
  <c r="G444" i="3"/>
  <c r="G436" i="3" s="1"/>
  <c r="G246" i="3"/>
  <c r="G186" i="3"/>
  <c r="G834" i="3"/>
  <c r="G771" i="3"/>
  <c r="G720" i="3"/>
  <c r="G381" i="3"/>
  <c r="G636" i="3"/>
  <c r="G604" i="3"/>
  <c r="G516" i="3"/>
  <c r="G849" i="3"/>
  <c r="G792" i="3"/>
  <c r="G375" i="3"/>
  <c r="G359" i="3"/>
  <c r="G308" i="3"/>
  <c r="G233" i="3"/>
  <c r="G183" i="3"/>
  <c r="G937" i="3"/>
  <c r="G691" i="3"/>
  <c r="G652" i="3"/>
  <c r="G564" i="3"/>
  <c r="G256" i="3"/>
  <c r="G194" i="3"/>
  <c r="G827" i="3"/>
  <c r="G128" i="3"/>
  <c r="G958" i="3"/>
  <c r="G760" i="3"/>
  <c r="G590" i="3"/>
  <c r="G568" i="3"/>
  <c r="G536" i="3"/>
  <c r="G492" i="3"/>
  <c r="G458" i="3"/>
  <c r="G296" i="3"/>
  <c r="G266" i="3"/>
  <c r="G288" i="3"/>
  <c r="G334" i="3"/>
  <c r="G276" i="3"/>
  <c r="G963" i="3"/>
  <c r="G925" i="3"/>
  <c r="G921" i="3" s="1"/>
  <c r="G548" i="3"/>
  <c r="G474" i="3"/>
  <c r="G392" i="3"/>
  <c r="G822" i="3"/>
  <c r="G750" i="3"/>
  <c r="G668" i="3"/>
  <c r="G488" i="3"/>
  <c r="G775" i="3"/>
  <c r="G505" i="3"/>
  <c r="G426" i="3"/>
  <c r="G284" i="3"/>
  <c r="G202" i="3"/>
  <c r="G342" i="3"/>
  <c r="G809" i="3"/>
  <c r="G916" i="3"/>
  <c r="G889" i="3"/>
  <c r="G671" i="3"/>
  <c r="G230" i="3"/>
  <c r="G172" i="3"/>
  <c r="G779" i="3"/>
  <c r="G754" i="3"/>
  <c r="G648" i="3"/>
  <c r="G618" i="3"/>
  <c r="G508" i="3"/>
  <c r="G856" i="3"/>
  <c r="G783" i="3"/>
  <c r="G454" i="3"/>
  <c r="G88" i="3"/>
  <c r="G709" i="3"/>
  <c r="G313" i="3"/>
  <c r="G177" i="3"/>
  <c r="G58" i="3"/>
  <c r="G587" i="3"/>
  <c r="G405" i="3"/>
  <c r="G865" i="3"/>
  <c r="G804" i="3"/>
  <c r="G213" i="3"/>
  <c r="G166" i="3"/>
  <c r="G160" i="3" s="1"/>
  <c r="G660" i="3"/>
  <c r="G574" i="3"/>
  <c r="G555" i="3"/>
  <c r="G521" i="3"/>
  <c r="G386" i="3"/>
  <c r="G208" i="3"/>
  <c r="D162" i="1"/>
  <c r="D161" i="1" s="1"/>
  <c r="D156" i="1"/>
  <c r="D155" i="1" s="1"/>
  <c r="D150" i="1"/>
  <c r="D148" i="1"/>
  <c r="D146" i="1"/>
  <c r="D105" i="1"/>
  <c r="D103" i="1"/>
  <c r="D101" i="1"/>
  <c r="D99" i="1"/>
  <c r="D97" i="1"/>
  <c r="D95" i="1"/>
  <c r="D93" i="1"/>
  <c r="D91" i="1"/>
  <c r="D89" i="1"/>
  <c r="D87" i="1"/>
  <c r="D84" i="1"/>
  <c r="D82" i="1"/>
  <c r="D77" i="1"/>
  <c r="D75" i="1" s="1"/>
  <c r="D72" i="1"/>
  <c r="D70" i="1"/>
  <c r="D68" i="1"/>
  <c r="D64" i="1"/>
  <c r="D62" i="1"/>
  <c r="D59" i="1"/>
  <c r="D58" i="1"/>
  <c r="D55" i="1"/>
  <c r="D49" i="1"/>
  <c r="D47" i="1"/>
  <c r="D43" i="1"/>
  <c r="D40" i="1"/>
  <c r="D38" i="1"/>
  <c r="D35" i="1"/>
  <c r="D32" i="1"/>
  <c r="D27" i="1"/>
  <c r="D25" i="1"/>
  <c r="D124" i="1" l="1"/>
  <c r="D86" i="1"/>
  <c r="D67" i="1"/>
  <c r="H312" i="5"/>
  <c r="D18" i="1"/>
  <c r="D42" i="1"/>
  <c r="D160" i="1"/>
  <c r="D11" i="1"/>
  <c r="D52" i="1"/>
  <c r="D51" i="1" s="1"/>
  <c r="G929" i="3"/>
  <c r="G928" i="3" s="1"/>
  <c r="H1024" i="4"/>
  <c r="H233" i="4"/>
  <c r="H360" i="4"/>
  <c r="H1121" i="4"/>
  <c r="H909" i="4"/>
  <c r="H50" i="4"/>
  <c r="H792" i="4"/>
  <c r="H303" i="5"/>
  <c r="H302" i="5" s="1"/>
  <c r="H301" i="5" s="1"/>
  <c r="H305" i="5"/>
  <c r="H938" i="4"/>
  <c r="H476" i="4"/>
  <c r="H475" i="4"/>
  <c r="H440" i="4"/>
  <c r="H110" i="4"/>
  <c r="H120" i="4"/>
  <c r="H282" i="4"/>
  <c r="H1015" i="4"/>
  <c r="H1005" i="4" s="1"/>
  <c r="H209" i="4"/>
  <c r="H405" i="4"/>
  <c r="H636" i="4"/>
  <c r="H667" i="4"/>
  <c r="H944" i="4"/>
  <c r="H1031" i="4"/>
  <c r="H167" i="4"/>
  <c r="H994" i="4"/>
  <c r="H214" i="4"/>
  <c r="H1108" i="4"/>
  <c r="H1056" i="4"/>
  <c r="H445" i="4"/>
  <c r="H1113" i="4"/>
  <c r="H158" i="4"/>
  <c r="H523" i="4"/>
  <c r="H643" i="4"/>
  <c r="H509" i="4"/>
  <c r="H128" i="4"/>
  <c r="H127" i="4" s="1"/>
  <c r="H14" i="4"/>
  <c r="H267" i="4"/>
  <c r="H655" i="4"/>
  <c r="H647" i="4"/>
  <c r="H822" i="4"/>
  <c r="H690" i="4"/>
  <c r="H415" i="4"/>
  <c r="H34" i="4"/>
  <c r="H1112" i="4"/>
  <c r="H600" i="4"/>
  <c r="H306" i="4"/>
  <c r="H399" i="4"/>
  <c r="H604" i="4"/>
  <c r="H328" i="4"/>
  <c r="H195" i="4"/>
  <c r="H988" i="4"/>
  <c r="H735" i="4"/>
  <c r="H25" i="4"/>
  <c r="H623" i="4"/>
  <c r="H659" i="4"/>
  <c r="H428" i="4"/>
  <c r="H349" i="4"/>
  <c r="H293" i="4"/>
  <c r="H812" i="4"/>
  <c r="H778" i="4"/>
  <c r="H1040" i="4"/>
  <c r="H864" i="4"/>
  <c r="H757" i="4"/>
  <c r="H854" i="4"/>
  <c r="H849" i="4"/>
  <c r="H321" i="4"/>
  <c r="H322" i="4"/>
  <c r="H577" i="4"/>
  <c r="H186" i="4"/>
  <c r="H786" i="4"/>
  <c r="H501" i="4"/>
  <c r="H836" i="4"/>
  <c r="H483" i="4"/>
  <c r="H202" i="4"/>
  <c r="H843" i="4"/>
  <c r="H222" i="4"/>
  <c r="H749" i="4"/>
  <c r="H463" i="4"/>
  <c r="H731" i="4"/>
  <c r="H89" i="4"/>
  <c r="H720" i="4"/>
  <c r="H714" i="4"/>
  <c r="H516" i="4"/>
  <c r="H532" i="4"/>
  <c r="H1116" i="4" s="1"/>
  <c r="H800" i="4"/>
  <c r="H491" i="5"/>
  <c r="H203" i="5"/>
  <c r="H126" i="5"/>
  <c r="H72" i="5"/>
  <c r="H150" i="5"/>
  <c r="H85" i="5"/>
  <c r="H719" i="5"/>
  <c r="H538" i="5"/>
  <c r="H872" i="5"/>
  <c r="H526" i="5"/>
  <c r="H451" i="5"/>
  <c r="H286" i="5"/>
  <c r="H309" i="5"/>
  <c r="H422" i="5"/>
  <c r="H434" i="5"/>
  <c r="H793" i="5"/>
  <c r="H690" i="5"/>
  <c r="H334" i="5"/>
  <c r="H459" i="5"/>
  <c r="H108" i="5"/>
  <c r="H583" i="5"/>
  <c r="H585" i="5"/>
  <c r="H503" i="5"/>
  <c r="G395" i="3"/>
  <c r="H46" i="5"/>
  <c r="H385" i="5"/>
  <c r="H734" i="5"/>
  <c r="H140" i="5"/>
  <c r="H322" i="5"/>
  <c r="H475" i="5"/>
  <c r="H158" i="5"/>
  <c r="H577" i="5"/>
  <c r="H116" i="5"/>
  <c r="H250" i="5"/>
  <c r="H591" i="5"/>
  <c r="H93" i="5"/>
  <c r="H813" i="5"/>
  <c r="H199" i="5"/>
  <c r="H706" i="5"/>
  <c r="H258" i="5"/>
  <c r="H132" i="5"/>
  <c r="H101" i="5"/>
  <c r="H408" i="5"/>
  <c r="H351" i="5"/>
  <c r="H839" i="5"/>
  <c r="H818" i="5"/>
  <c r="H358" i="5"/>
  <c r="H357" i="5"/>
  <c r="H617" i="5"/>
  <c r="H621" i="5"/>
  <c r="H629" i="5"/>
  <c r="H638" i="5"/>
  <c r="H517" i="5"/>
  <c r="H79" i="5"/>
  <c r="H679" i="5"/>
  <c r="H64" i="5"/>
  <c r="H161" i="5"/>
  <c r="H372" i="5"/>
  <c r="H713" i="5"/>
  <c r="H697" i="5"/>
  <c r="H601" i="5"/>
  <c r="H20" i="5"/>
  <c r="H401" i="5"/>
  <c r="H546" i="5"/>
  <c r="H314" i="5"/>
  <c r="H271" i="5"/>
  <c r="H182" i="5"/>
  <c r="H755" i="5"/>
  <c r="H571" i="5"/>
  <c r="H740" i="5"/>
  <c r="H727" i="5"/>
  <c r="H218" i="5"/>
  <c r="G491" i="3"/>
  <c r="H532" i="5"/>
  <c r="H473" i="5"/>
  <c r="H560" i="5"/>
  <c r="H232" i="5"/>
  <c r="H393" i="5"/>
  <c r="H803" i="5"/>
  <c r="H611" i="5"/>
  <c r="H342" i="5"/>
  <c r="H35" i="5"/>
  <c r="H782" i="5"/>
  <c r="H441" i="5"/>
  <c r="H829" i="5"/>
  <c r="H825" i="5"/>
  <c r="H798" i="5"/>
  <c r="H856" i="5"/>
  <c r="H294" i="5"/>
  <c r="H145" i="5"/>
  <c r="H366" i="5"/>
  <c r="H370" i="5"/>
  <c r="H848" i="5"/>
  <c r="H606" i="5"/>
  <c r="H746" i="5"/>
  <c r="H329" i="5"/>
  <c r="H333" i="5"/>
  <c r="H863" i="5"/>
  <c r="H832" i="5"/>
  <c r="G621" i="3"/>
  <c r="G385" i="3"/>
  <c r="G586" i="3"/>
  <c r="G27" i="3"/>
  <c r="G127" i="3"/>
  <c r="G380" i="3"/>
  <c r="G135" i="3"/>
  <c r="G197" i="3"/>
  <c r="G878" i="3"/>
  <c r="G798" i="3"/>
  <c r="G467" i="3"/>
  <c r="G207" i="3"/>
  <c r="G520" i="3"/>
  <c r="G87" i="3"/>
  <c r="G782" i="3"/>
  <c r="G920" i="3"/>
  <c r="G774" i="3"/>
  <c r="G391" i="3"/>
  <c r="G940" i="3"/>
  <c r="G350" i="3"/>
  <c r="G791" i="3"/>
  <c r="G680" i="3"/>
  <c r="G300" i="3"/>
  <c r="G839" i="3"/>
  <c r="G501" i="3"/>
  <c r="G23" i="3"/>
  <c r="G511" i="3"/>
  <c r="G950" i="3"/>
  <c r="G525" i="3"/>
  <c r="G787" i="3"/>
  <c r="G212" i="3"/>
  <c r="G864" i="3"/>
  <c r="G614" i="3"/>
  <c r="G778" i="3"/>
  <c r="G171" i="3"/>
  <c r="G808" i="3"/>
  <c r="G870" i="3"/>
  <c r="G664" i="3"/>
  <c r="G821" i="3"/>
  <c r="G275" i="3"/>
  <c r="G265" i="3"/>
  <c r="G457" i="3"/>
  <c r="G825" i="3"/>
  <c r="G193" i="3"/>
  <c r="G651" i="3"/>
  <c r="G307" i="3"/>
  <c r="G515" i="3"/>
  <c r="G635" i="3"/>
  <c r="G714" i="3"/>
  <c r="G833" i="3"/>
  <c r="G245" i="3"/>
  <c r="G478" i="3"/>
  <c r="G845" i="3"/>
  <c r="G261" i="3"/>
  <c r="G535" i="3"/>
  <c r="G105" i="3"/>
  <c r="G607" i="3"/>
  <c r="G153" i="3"/>
  <c r="G291" i="3"/>
  <c r="G176" i="3"/>
  <c r="G321" i="3"/>
  <c r="G674" i="3"/>
  <c r="G554" i="3"/>
  <c r="G855" i="3"/>
  <c r="G435" i="3"/>
  <c r="G287" i="3"/>
  <c r="G724" i="3"/>
  <c r="G723" i="3" s="1"/>
  <c r="G763" i="3"/>
  <c r="G422" i="3"/>
  <c r="G910" i="3"/>
  <c r="G249" i="3"/>
  <c r="G12" i="3"/>
  <c r="G708" i="3"/>
  <c r="G753" i="3"/>
  <c r="G226" i="3"/>
  <c r="G915" i="3"/>
  <c r="G333" i="3"/>
  <c r="G283" i="3"/>
  <c r="G962" i="3"/>
  <c r="G906" i="3"/>
  <c r="G295" i="3"/>
  <c r="G567" i="3"/>
  <c r="G759" i="3"/>
  <c r="G742" i="3"/>
  <c r="G255" i="3"/>
  <c r="G690" i="3"/>
  <c r="G603" i="3"/>
  <c r="G770" i="3"/>
  <c r="G703" i="3"/>
  <c r="G45" i="3"/>
  <c r="G61" i="3"/>
  <c r="G885" i="3"/>
  <c r="G219" i="3"/>
  <c r="G640" i="3"/>
  <c r="G448" i="3"/>
  <c r="D81" i="1"/>
  <c r="D80" i="1" s="1"/>
  <c r="D61" i="1"/>
  <c r="D46" i="1"/>
  <c r="D37" i="1"/>
  <c r="D34" i="1" s="1"/>
  <c r="D24" i="1"/>
  <c r="D23" i="1" s="1"/>
  <c r="G1126" i="15"/>
  <c r="D45" i="1" l="1"/>
  <c r="D66" i="1"/>
  <c r="H515" i="4"/>
  <c r="H848" i="4"/>
  <c r="H1103" i="4"/>
  <c r="H599" i="4"/>
  <c r="H508" i="4"/>
  <c r="H166" i="4"/>
  <c r="H119" i="4"/>
  <c r="H185" i="4"/>
  <c r="H863" i="4"/>
  <c r="H348" i="4"/>
  <c r="H398" i="4"/>
  <c r="H682" i="4"/>
  <c r="H262" i="4"/>
  <c r="H13" i="4"/>
  <c r="H1055" i="4"/>
  <c r="H943" i="4"/>
  <c r="H208" i="4"/>
  <c r="H791" i="4"/>
  <c r="H730" i="4"/>
  <c r="H719" i="4" s="1"/>
  <c r="H1106" i="4"/>
  <c r="H835" i="4"/>
  <c r="H194" i="4"/>
  <c r="H327" i="4"/>
  <c r="H33" i="4"/>
  <c r="H539" i="4"/>
  <c r="H404" i="4"/>
  <c r="H937" i="4"/>
  <c r="H232" i="4"/>
  <c r="H713" i="4"/>
  <c r="H842" i="4"/>
  <c r="H756" i="4"/>
  <c r="H1039" i="4"/>
  <c r="H427" i="4"/>
  <c r="H157" i="4"/>
  <c r="H993" i="4"/>
  <c r="H992" i="4" s="1"/>
  <c r="H1030" i="4"/>
  <c r="H908" i="4"/>
  <c r="H531" i="4"/>
  <c r="H1107" i="4"/>
  <c r="H462" i="4"/>
  <c r="H748" i="4"/>
  <c r="H221" i="4"/>
  <c r="H482" i="4"/>
  <c r="H500" i="4"/>
  <c r="H987" i="4"/>
  <c r="H414" i="4"/>
  <c r="H821" i="4"/>
  <c r="H281" i="4"/>
  <c r="H439" i="4"/>
  <c r="H49" i="4"/>
  <c r="H831" i="5"/>
  <c r="H328" i="5"/>
  <c r="H231" i="5"/>
  <c r="H319" i="5"/>
  <c r="H313" i="5"/>
  <c r="H712" i="5"/>
  <c r="H637" i="5"/>
  <c r="H838" i="5"/>
  <c r="H407" i="5"/>
  <c r="H131" i="5"/>
  <c r="H576" i="5"/>
  <c r="H474" i="5"/>
  <c r="H792" i="5"/>
  <c r="H71" i="5"/>
  <c r="H861" i="5"/>
  <c r="H862" i="5"/>
  <c r="H34" i="5"/>
  <c r="H341" i="5"/>
  <c r="H392" i="5"/>
  <c r="H726" i="5"/>
  <c r="H570" i="5"/>
  <c r="H545" i="5"/>
  <c r="H19" i="5"/>
  <c r="H678" i="5"/>
  <c r="H516" i="5"/>
  <c r="H502" i="5" s="1"/>
  <c r="H525" i="5"/>
  <c r="H257" i="5"/>
  <c r="H92" i="5"/>
  <c r="H590" i="5"/>
  <c r="H115" i="5"/>
  <c r="H589" i="5"/>
  <c r="H178" i="5"/>
  <c r="H689" i="5"/>
  <c r="H421" i="5"/>
  <c r="H450" i="5"/>
  <c r="H871" i="5"/>
  <c r="H718" i="5"/>
  <c r="H125" i="5"/>
  <c r="H847" i="5"/>
  <c r="H824" i="5"/>
  <c r="H440" i="5"/>
  <c r="H559" i="5"/>
  <c r="H217" i="5"/>
  <c r="H754" i="5"/>
  <c r="H400" i="5"/>
  <c r="H696" i="5"/>
  <c r="H63" i="5"/>
  <c r="H350" i="5"/>
  <c r="H100" i="5"/>
  <c r="H812" i="5"/>
  <c r="H321" i="5"/>
  <c r="H733" i="5"/>
  <c r="H45" i="5"/>
  <c r="H458" i="5"/>
  <c r="H433" i="5"/>
  <c r="H308" i="5"/>
  <c r="H285" i="5"/>
  <c r="H300" i="5"/>
  <c r="H745" i="5"/>
  <c r="H605" i="5"/>
  <c r="H293" i="5"/>
  <c r="H855" i="5"/>
  <c r="H781" i="5"/>
  <c r="H739" i="5"/>
  <c r="H600" i="5"/>
  <c r="H371" i="5"/>
  <c r="H78" i="5"/>
  <c r="H616" i="5"/>
  <c r="H705" i="5"/>
  <c r="H249" i="5"/>
  <c r="H139" i="5"/>
  <c r="H384" i="5"/>
  <c r="H584" i="5"/>
  <c r="H107" i="5"/>
  <c r="H340" i="5"/>
  <c r="H84" i="5"/>
  <c r="H490" i="5"/>
  <c r="G390" i="3"/>
  <c r="G384" i="3" s="1"/>
  <c r="G44" i="3"/>
  <c r="G602" i="3"/>
  <c r="G914" i="3"/>
  <c r="G707" i="3"/>
  <c r="G244" i="3"/>
  <c r="G689" i="3"/>
  <c r="G254" i="3"/>
  <c r="G225" i="3"/>
  <c r="G473" i="3"/>
  <c r="G192" i="3"/>
  <c r="G807" i="3"/>
  <c r="G211" i="3"/>
  <c r="G22" i="3"/>
  <c r="G11" i="3" s="1"/>
  <c r="G919" i="3"/>
  <c r="G877" i="3"/>
  <c r="G134" i="3"/>
  <c r="G741" i="3"/>
  <c r="G961" i="3"/>
  <c r="G282" i="3"/>
  <c r="G832" i="3"/>
  <c r="G260" i="3"/>
  <c r="G524" i="3"/>
  <c r="G519" i="3"/>
  <c r="G466" i="3"/>
  <c r="G126" i="3"/>
  <c r="G447" i="3"/>
  <c r="G884" i="3"/>
  <c r="G175" i="3"/>
  <c r="G530" i="3"/>
  <c r="G713" i="3"/>
  <c r="G712" i="3" s="1"/>
  <c r="G306" i="3"/>
  <c r="G820" i="3"/>
  <c r="G613" i="3"/>
  <c r="E46" i="2"/>
  <c r="G786" i="3"/>
  <c r="G299" i="3"/>
  <c r="G86" i="3"/>
  <c r="G797" i="3"/>
  <c r="G379" i="3"/>
  <c r="G639" i="3"/>
  <c r="G218" i="3"/>
  <c r="G141" i="3"/>
  <c r="G320" i="3"/>
  <c r="G104" i="3"/>
  <c r="G844" i="3"/>
  <c r="G838" i="3" s="1"/>
  <c r="G274" i="3"/>
  <c r="G170" i="3"/>
  <c r="G949" i="3"/>
  <c r="G679" i="3"/>
  <c r="G206" i="3"/>
  <c r="E14" i="2"/>
  <c r="H370" i="15"/>
  <c r="G370" i="15"/>
  <c r="F313" i="14"/>
  <c r="F312" i="14" s="1"/>
  <c r="F311" i="14" s="1"/>
  <c r="F310" i="14" s="1"/>
  <c r="F309" i="14" s="1"/>
  <c r="G216" i="15"/>
  <c r="G215" i="15" s="1"/>
  <c r="G214" i="15" s="1"/>
  <c r="G213" i="15" s="1"/>
  <c r="F898" i="14"/>
  <c r="F897" i="14" s="1"/>
  <c r="F896" i="14" s="1"/>
  <c r="G776" i="15"/>
  <c r="G775" i="15" s="1"/>
  <c r="D10" i="1" l="1"/>
  <c r="D79" i="1"/>
  <c r="D171" i="1" s="1"/>
  <c r="H438" i="4"/>
  <c r="H426" i="4"/>
  <c r="H231" i="4"/>
  <c r="H326" i="4"/>
  <c r="H942" i="4"/>
  <c r="H1119" i="4"/>
  <c r="H32" i="4"/>
  <c r="H499" i="4"/>
  <c r="H461" i="4"/>
  <c r="H530" i="4"/>
  <c r="H12" i="4"/>
  <c r="H1117" i="4"/>
  <c r="H184" i="4"/>
  <c r="H183" i="4" s="1"/>
  <c r="H1114" i="4"/>
  <c r="H598" i="4"/>
  <c r="H820" i="4"/>
  <c r="H1118" i="4"/>
  <c r="H220" i="4"/>
  <c r="H207" i="4" s="1"/>
  <c r="H261" i="4"/>
  <c r="H681" i="4"/>
  <c r="H514" i="4"/>
  <c r="H1038" i="4"/>
  <c r="H280" i="4"/>
  <c r="H1111" i="4"/>
  <c r="H747" i="4"/>
  <c r="H1115" i="4"/>
  <c r="H877" i="4"/>
  <c r="H1029" i="4"/>
  <c r="H755" i="4"/>
  <c r="H1110" i="4"/>
  <c r="H538" i="4"/>
  <c r="H1105" i="4"/>
  <c r="H834" i="4"/>
  <c r="H347" i="4"/>
  <c r="H165" i="4"/>
  <c r="H841" i="4"/>
  <c r="H138" i="5"/>
  <c r="H704" i="5"/>
  <c r="H738" i="5"/>
  <c r="H780" i="5"/>
  <c r="H732" i="5"/>
  <c r="H62" i="5"/>
  <c r="H216" i="5"/>
  <c r="H439" i="5"/>
  <c r="H846" i="5"/>
  <c r="H845" i="5"/>
  <c r="H569" i="5"/>
  <c r="H33" i="5"/>
  <c r="H457" i="5"/>
  <c r="H837" i="5"/>
  <c r="H327" i="5"/>
  <c r="H383" i="5"/>
  <c r="H292" i="5"/>
  <c r="H299" i="5"/>
  <c r="H307" i="5"/>
  <c r="H349" i="5"/>
  <c r="H348" i="5"/>
  <c r="H717" i="5"/>
  <c r="H449" i="5"/>
  <c r="H688" i="5"/>
  <c r="H256" i="5"/>
  <c r="H677" i="5"/>
  <c r="H544" i="5"/>
  <c r="H347" i="5"/>
  <c r="H711" i="5"/>
  <c r="H77" i="5"/>
  <c r="H599" i="5"/>
  <c r="H598" i="5" s="1"/>
  <c r="H44" i="5"/>
  <c r="H32" i="5" s="1"/>
  <c r="H320" i="5"/>
  <c r="H695" i="5"/>
  <c r="H753" i="5"/>
  <c r="H791" i="5"/>
  <c r="H124" i="5"/>
  <c r="H160" i="5"/>
  <c r="H114" i="5"/>
  <c r="H91" i="5"/>
  <c r="H725" i="5"/>
  <c r="H406" i="5"/>
  <c r="H636" i="5"/>
  <c r="H853" i="5"/>
  <c r="H854" i="5"/>
  <c r="H432" i="5"/>
  <c r="H99" i="5"/>
  <c r="H399" i="5"/>
  <c r="H870" i="5"/>
  <c r="H18" i="5"/>
  <c r="H391" i="5"/>
  <c r="H390" i="5"/>
  <c r="H868" i="5"/>
  <c r="H70" i="5"/>
  <c r="H365" i="5"/>
  <c r="H830" i="5"/>
  <c r="E16" i="2"/>
  <c r="G259" i="3"/>
  <c r="G831" i="3"/>
  <c r="G740" i="3"/>
  <c r="G224" i="3"/>
  <c r="G243" i="3"/>
  <c r="G43" i="3"/>
  <c r="G169" i="3"/>
  <c r="G140" i="3" s="1"/>
  <c r="G217" i="3"/>
  <c r="E39" i="2"/>
  <c r="G869" i="3"/>
  <c r="G434" i="3"/>
  <c r="E17" i="2"/>
  <c r="G472" i="3"/>
  <c r="G253" i="3"/>
  <c r="E13" i="2"/>
  <c r="E18" i="2"/>
  <c r="E50" i="2"/>
  <c r="G837" i="3"/>
  <c r="G948" i="3"/>
  <c r="G319" i="3"/>
  <c r="G612" i="3"/>
  <c r="G819" i="3"/>
  <c r="G305" i="3"/>
  <c r="G529" i="3"/>
  <c r="G883" i="3"/>
  <c r="G281" i="3"/>
  <c r="G688" i="3"/>
  <c r="E32" i="2"/>
  <c r="G381" i="5"/>
  <c r="C108" i="1"/>
  <c r="E108" i="1" s="1"/>
  <c r="D169" i="1" l="1"/>
  <c r="D170" i="1"/>
  <c r="H279" i="4"/>
  <c r="H260" i="4"/>
  <c r="H513" i="4"/>
  <c r="H11" i="4"/>
  <c r="H164" i="4"/>
  <c r="H1037" i="4"/>
  <c r="H437" i="4"/>
  <c r="H537" i="4"/>
  <c r="H754" i="4"/>
  <c r="H862" i="4"/>
  <c r="H403" i="4"/>
  <c r="H346" i="4" s="1"/>
  <c r="H460" i="4"/>
  <c r="H1104" i="4"/>
  <c r="H1123" i="4" s="1"/>
  <c r="H230" i="4"/>
  <c r="H481" i="4"/>
  <c r="H69" i="5"/>
  <c r="H860" i="5"/>
  <c r="H752" i="5"/>
  <c r="H326" i="5"/>
  <c r="H710" i="5"/>
  <c r="H687" i="5"/>
  <c r="H731" i="5"/>
  <c r="H597" i="5"/>
  <c r="G380" i="5"/>
  <c r="I381" i="5"/>
  <c r="H398" i="5"/>
  <c r="H159" i="5"/>
  <c r="H456" i="5"/>
  <c r="H364" i="5"/>
  <c r="H869" i="5"/>
  <c r="H455" i="5"/>
  <c r="H306" i="5"/>
  <c r="H852" i="5"/>
  <c r="H61" i="5"/>
  <c r="H779" i="5"/>
  <c r="H10" i="5"/>
  <c r="H98" i="5"/>
  <c r="H724" i="5"/>
  <c r="H106" i="5"/>
  <c r="H676" i="5"/>
  <c r="H844" i="5"/>
  <c r="H703" i="5"/>
  <c r="E37" i="2"/>
  <c r="E52" i="2"/>
  <c r="E51" i="2" s="1"/>
  <c r="G947" i="3"/>
  <c r="E44" i="2"/>
  <c r="G830" i="3"/>
  <c r="E49" i="2"/>
  <c r="E48" i="2" s="1"/>
  <c r="G882" i="3"/>
  <c r="E30" i="2"/>
  <c r="G304" i="3"/>
  <c r="E45" i="2"/>
  <c r="E26" i="2"/>
  <c r="E47" i="2"/>
  <c r="G216" i="3"/>
  <c r="E25" i="2"/>
  <c r="G273" i="3"/>
  <c r="G242" i="3" s="1"/>
  <c r="E31" i="2"/>
  <c r="E15" i="2"/>
  <c r="E41" i="2"/>
  <c r="E27" i="2"/>
  <c r="E19" i="2"/>
  <c r="G687" i="3"/>
  <c r="E36" i="2"/>
  <c r="G796" i="3"/>
  <c r="G739" i="3" s="1"/>
  <c r="G10" i="3"/>
  <c r="E35" i="2"/>
  <c r="E33" i="2"/>
  <c r="G223" i="3"/>
  <c r="E23" i="2"/>
  <c r="E22" i="2" s="1"/>
  <c r="G382" i="5"/>
  <c r="I382" i="5" s="1"/>
  <c r="D20" i="7" l="1"/>
  <c r="H529" i="4"/>
  <c r="H31" i="4"/>
  <c r="H480" i="4"/>
  <c r="H746" i="4"/>
  <c r="H702" i="5"/>
  <c r="H229" i="4"/>
  <c r="H819" i="4"/>
  <c r="H10" i="4"/>
  <c r="H259" i="4"/>
  <c r="H137" i="5"/>
  <c r="G379" i="5"/>
  <c r="I379" i="5" s="1"/>
  <c r="I380" i="5"/>
  <c r="H68" i="5"/>
  <c r="H356" i="5"/>
  <c r="H628" i="5"/>
  <c r="H31" i="5"/>
  <c r="E12" i="2"/>
  <c r="E43" i="2"/>
  <c r="E38" i="2"/>
  <c r="E34" i="2" s="1"/>
  <c r="E29" i="2"/>
  <c r="E28" i="2"/>
  <c r="E24" i="2" s="1"/>
  <c r="G471" i="3"/>
  <c r="G966" i="3" s="1"/>
  <c r="E42" i="2"/>
  <c r="E40" i="2" s="1"/>
  <c r="H228" i="4" l="1"/>
  <c r="H877" i="5"/>
  <c r="E53" i="2"/>
  <c r="G365" i="4"/>
  <c r="I365" i="4" s="1"/>
  <c r="I363" i="4"/>
  <c r="H1066" i="4" l="1"/>
  <c r="G959" i="4"/>
  <c r="I959" i="4" s="1"/>
  <c r="E58" i="2" l="1"/>
  <c r="E59" i="2" s="1"/>
  <c r="D21" i="7"/>
  <c r="D22" i="7" s="1"/>
  <c r="D16" i="7" s="1"/>
  <c r="H1072" i="4"/>
  <c r="F451" i="3"/>
  <c r="G1008" i="4"/>
  <c r="I1008" i="4" s="1"/>
  <c r="D17" i="7" l="1"/>
  <c r="D15" i="7"/>
  <c r="D12" i="7" s="1"/>
  <c r="F450" i="3"/>
  <c r="H450" i="3" s="1"/>
  <c r="H451" i="3"/>
  <c r="G83" i="4"/>
  <c r="I83" i="4" s="1"/>
  <c r="G81" i="4"/>
  <c r="I81" i="4" s="1"/>
  <c r="G201" i="4"/>
  <c r="I201" i="4" s="1"/>
  <c r="G199" i="4"/>
  <c r="I199" i="4" s="1"/>
  <c r="G227" i="4"/>
  <c r="I227" i="4" s="1"/>
  <c r="G225" i="4"/>
  <c r="I225" i="4" s="1"/>
  <c r="G76" i="4"/>
  <c r="I76" i="4" s="1"/>
  <c r="C151" i="1"/>
  <c r="E151" i="1" s="1"/>
  <c r="G785" i="4"/>
  <c r="T1073" i="4" s="1"/>
  <c r="G285" i="4"/>
  <c r="I285" i="4" s="1"/>
  <c r="I785" i="4" l="1"/>
  <c r="G468" i="4"/>
  <c r="I468" i="4" s="1"/>
  <c r="G479" i="4"/>
  <c r="I479" i="4" s="1"/>
  <c r="G402" i="4"/>
  <c r="I402" i="4" s="1"/>
  <c r="G356" i="4"/>
  <c r="I356" i="4" s="1"/>
  <c r="G352" i="4"/>
  <c r="I352" i="4" s="1"/>
  <c r="G354" i="4"/>
  <c r="I354" i="4" s="1"/>
  <c r="G325" i="4"/>
  <c r="I325" i="4" s="1"/>
  <c r="G287" i="4"/>
  <c r="I287" i="4" s="1"/>
  <c r="G289" i="4"/>
  <c r="I289" i="4" s="1"/>
  <c r="G19" i="4"/>
  <c r="I19" i="4" s="1"/>
  <c r="G21" i="4"/>
  <c r="I21" i="4" s="1"/>
  <c r="G760" i="4" l="1"/>
  <c r="I760" i="4" s="1"/>
  <c r="G19" i="17" l="1"/>
  <c r="G18" i="17" s="1"/>
  <c r="G17" i="17" s="1"/>
  <c r="G16" i="17" s="1"/>
  <c r="G15" i="17" s="1"/>
  <c r="G20" i="17" s="1"/>
  <c r="G15" i="6"/>
  <c r="G14" i="6" l="1"/>
  <c r="I15" i="6"/>
  <c r="H672" i="15"/>
  <c r="H899" i="15"/>
  <c r="G899" i="15"/>
  <c r="G672" i="15"/>
  <c r="I888" i="4"/>
  <c r="G13" i="6" l="1"/>
  <c r="I14" i="6"/>
  <c r="G658" i="4"/>
  <c r="P1073" i="4" s="1"/>
  <c r="G670" i="4"/>
  <c r="R1073" i="4" s="1"/>
  <c r="G666" i="4"/>
  <c r="S1073" i="4" s="1"/>
  <c r="G680" i="15"/>
  <c r="H680" i="15"/>
  <c r="G12" i="6" l="1"/>
  <c r="I13" i="6"/>
  <c r="I658" i="4"/>
  <c r="I666" i="4"/>
  <c r="I670" i="4"/>
  <c r="G713" i="14"/>
  <c r="F713" i="14"/>
  <c r="G598" i="14"/>
  <c r="F598" i="14"/>
  <c r="F594" i="14"/>
  <c r="G590" i="14"/>
  <c r="F590" i="14"/>
  <c r="G11" i="6" l="1"/>
  <c r="I12" i="6"/>
  <c r="G689" i="4"/>
  <c r="I689" i="4" l="1"/>
  <c r="S1081" i="4"/>
  <c r="G16" i="6"/>
  <c r="I16" i="6" s="1"/>
  <c r="I11" i="6"/>
  <c r="F620" i="3"/>
  <c r="G157" i="5"/>
  <c r="G688" i="4"/>
  <c r="G359" i="4"/>
  <c r="U1081" i="4" s="1"/>
  <c r="U1079" i="4" s="1"/>
  <c r="G292" i="4"/>
  <c r="T1081" i="4" s="1"/>
  <c r="T1079" i="4" s="1"/>
  <c r="S1079" i="4" l="1"/>
  <c r="AB1081" i="4"/>
  <c r="I359" i="4"/>
  <c r="G687" i="4"/>
  <c r="I687" i="4" s="1"/>
  <c r="I688" i="4"/>
  <c r="I292" i="4"/>
  <c r="G156" i="5"/>
  <c r="I157" i="5"/>
  <c r="F619" i="3"/>
  <c r="H620" i="3"/>
  <c r="G591" i="15"/>
  <c r="G284" i="15"/>
  <c r="G270" i="4"/>
  <c r="AA1084" i="4" s="1"/>
  <c r="H197" i="15"/>
  <c r="G197" i="15"/>
  <c r="G392" i="15"/>
  <c r="I270" i="4" l="1"/>
  <c r="G155" i="5"/>
  <c r="I156" i="5"/>
  <c r="F618" i="3"/>
  <c r="H618" i="3" s="1"/>
  <c r="H619" i="3"/>
  <c r="G48" i="15"/>
  <c r="G48" i="4"/>
  <c r="Y1084" i="4" s="1"/>
  <c r="G189" i="4"/>
  <c r="V1084" i="4" s="1"/>
  <c r="G654" i="4"/>
  <c r="R1084" i="4" s="1"/>
  <c r="F518" i="3"/>
  <c r="H518" i="3" s="1"/>
  <c r="G580" i="4"/>
  <c r="P1084" i="4" s="1"/>
  <c r="G650" i="4"/>
  <c r="O1084" i="4" s="1"/>
  <c r="G662" i="4"/>
  <c r="G646" i="4"/>
  <c r="M1084" i="4" s="1"/>
  <c r="G718" i="4"/>
  <c r="L1084" i="4" s="1"/>
  <c r="G384" i="4"/>
  <c r="K1084" i="4" s="1"/>
  <c r="I662" i="4" l="1"/>
  <c r="N1084" i="4"/>
  <c r="I646" i="4"/>
  <c r="I654" i="4"/>
  <c r="I384" i="4"/>
  <c r="I650" i="4"/>
  <c r="I189" i="4"/>
  <c r="I718" i="4"/>
  <c r="I580" i="4"/>
  <c r="I48" i="4"/>
  <c r="G158" i="5"/>
  <c r="I158" i="5" s="1"/>
  <c r="I155" i="5"/>
  <c r="F593" i="3"/>
  <c r="H593" i="3" s="1"/>
  <c r="F26" i="3"/>
  <c r="F139" i="3"/>
  <c r="H139" i="3" s="1"/>
  <c r="F25" i="3" l="1"/>
  <c r="H26" i="3"/>
  <c r="H869" i="15"/>
  <c r="F24" i="3" l="1"/>
  <c r="H25" i="3"/>
  <c r="C99" i="12"/>
  <c r="D103" i="12"/>
  <c r="D99" i="12" s="1"/>
  <c r="F97" i="12"/>
  <c r="E97" i="12"/>
  <c r="F85" i="12"/>
  <c r="E85" i="12"/>
  <c r="F23" i="3" l="1"/>
  <c r="H23" i="3" s="1"/>
  <c r="H24" i="3"/>
  <c r="G373" i="15"/>
  <c r="G310" i="15"/>
  <c r="G871" i="15"/>
  <c r="H871" i="15" s="1"/>
  <c r="G54" i="4"/>
  <c r="I54" i="4" s="1"/>
  <c r="H452" i="15" l="1"/>
  <c r="AA1097" i="15"/>
  <c r="AA1096" i="15" s="1"/>
  <c r="G452" i="15"/>
  <c r="Q1097" i="15"/>
  <c r="Q1096" i="15" s="1"/>
  <c r="AG1097" i="15"/>
  <c r="W1097" i="15"/>
  <c r="AC1097" i="15"/>
  <c r="S1097" i="15"/>
  <c r="AD1097" i="15" l="1"/>
  <c r="F91" i="12"/>
  <c r="D53" i="12"/>
  <c r="C53" i="12"/>
  <c r="D20" i="12"/>
  <c r="D18" i="12"/>
  <c r="C20" i="12"/>
  <c r="C18" i="12"/>
  <c r="F394" i="3" l="1"/>
  <c r="H394" i="3" s="1"/>
  <c r="F752" i="3"/>
  <c r="F650" i="3"/>
  <c r="G488" i="5"/>
  <c r="G472" i="5"/>
  <c r="G291" i="4"/>
  <c r="G358" i="4"/>
  <c r="G991" i="4"/>
  <c r="I991" i="4" s="1"/>
  <c r="G290" i="4" l="1"/>
  <c r="I290" i="4" s="1"/>
  <c r="I291" i="4"/>
  <c r="G357" i="4"/>
  <c r="I358" i="4"/>
  <c r="G487" i="5"/>
  <c r="I488" i="5"/>
  <c r="G471" i="5"/>
  <c r="I472" i="5"/>
  <c r="F649" i="3"/>
  <c r="H650" i="3"/>
  <c r="F751" i="3"/>
  <c r="H752" i="3"/>
  <c r="G212" i="15"/>
  <c r="G83" i="15"/>
  <c r="C148" i="1"/>
  <c r="E148" i="1" s="1"/>
  <c r="I357" i="4" l="1"/>
  <c r="U1084" i="4"/>
  <c r="G470" i="5"/>
  <c r="I471" i="5"/>
  <c r="G486" i="5"/>
  <c r="I487" i="5"/>
  <c r="F750" i="3"/>
  <c r="H750" i="3" s="1"/>
  <c r="H751" i="3"/>
  <c r="F648" i="3"/>
  <c r="H648" i="3" s="1"/>
  <c r="H649" i="3"/>
  <c r="H342" i="16"/>
  <c r="H343" i="16" s="1"/>
  <c r="G342" i="16"/>
  <c r="G341" i="16" s="1"/>
  <c r="G340" i="16" s="1"/>
  <c r="G339" i="16" s="1"/>
  <c r="G338" i="16" s="1"/>
  <c r="G337" i="16" s="1"/>
  <c r="G609" i="14"/>
  <c r="G608" i="14" s="1"/>
  <c r="G607" i="14" s="1"/>
  <c r="G606" i="14" s="1"/>
  <c r="F609" i="14"/>
  <c r="F608" i="14" s="1"/>
  <c r="F607" i="14" s="1"/>
  <c r="F606" i="14" s="1"/>
  <c r="H679" i="15"/>
  <c r="H678" i="15" s="1"/>
  <c r="H677" i="15" s="1"/>
  <c r="G679" i="15"/>
  <c r="G678" i="15" s="1"/>
  <c r="G677" i="15" s="1"/>
  <c r="D84" i="12"/>
  <c r="C84" i="12"/>
  <c r="G489" i="5" l="1"/>
  <c r="I489" i="5" s="1"/>
  <c r="I486" i="5"/>
  <c r="G473" i="5"/>
  <c r="I473" i="5" s="1"/>
  <c r="I470" i="5"/>
  <c r="H341" i="16"/>
  <c r="H340" i="16" s="1"/>
  <c r="H339" i="16" s="1"/>
  <c r="H338" i="16" s="1"/>
  <c r="H337" i="16" s="1"/>
  <c r="G343" i="16"/>
  <c r="F601" i="3" l="1"/>
  <c r="G346" i="5"/>
  <c r="G669" i="4"/>
  <c r="C89" i="1"/>
  <c r="E89" i="1" s="1"/>
  <c r="G512" i="4"/>
  <c r="L1073" i="4" s="1"/>
  <c r="C87" i="1"/>
  <c r="D79" i="12"/>
  <c r="C79" i="12"/>
  <c r="E87" i="1" l="1"/>
  <c r="G668" i="4"/>
  <c r="I668" i="4" s="1"/>
  <c r="I669" i="4"/>
  <c r="I512" i="4"/>
  <c r="G345" i="5"/>
  <c r="I346" i="5"/>
  <c r="F600" i="3"/>
  <c r="H601" i="3"/>
  <c r="G667" i="4"/>
  <c r="I667" i="4" s="1"/>
  <c r="G344" i="5" l="1"/>
  <c r="I345" i="5"/>
  <c r="F599" i="3"/>
  <c r="H600" i="3"/>
  <c r="C84" i="1"/>
  <c r="E84" i="1" s="1"/>
  <c r="G343" i="5" l="1"/>
  <c r="I344" i="5"/>
  <c r="F598" i="3"/>
  <c r="H598" i="3" s="1"/>
  <c r="H599" i="3"/>
  <c r="G1020" i="4"/>
  <c r="I1020" i="4" s="1"/>
  <c r="G1018" i="4"/>
  <c r="I1018" i="4" s="1"/>
  <c r="G997" i="4"/>
  <c r="I997" i="4" s="1"/>
  <c r="G831" i="4"/>
  <c r="I831" i="4" s="1"/>
  <c r="G818" i="4"/>
  <c r="I818" i="4" s="1"/>
  <c r="G804" i="4"/>
  <c r="I804" i="4" s="1"/>
  <c r="G796" i="4"/>
  <c r="I796" i="4" s="1"/>
  <c r="G738" i="4"/>
  <c r="I738" i="4" s="1"/>
  <c r="G603" i="4"/>
  <c r="I603" i="4" s="1"/>
  <c r="G566" i="4"/>
  <c r="I566" i="4" s="1"/>
  <c r="G543" i="4"/>
  <c r="I543" i="4" s="1"/>
  <c r="G504" i="4"/>
  <c r="I504" i="4" s="1"/>
  <c r="G487" i="4"/>
  <c r="I487" i="4" s="1"/>
  <c r="G466" i="4"/>
  <c r="I466" i="4" s="1"/>
  <c r="G420" i="4"/>
  <c r="I420" i="4" s="1"/>
  <c r="G418" i="4"/>
  <c r="I418" i="4" s="1"/>
  <c r="G408" i="4"/>
  <c r="I408" i="4" s="1"/>
  <c r="G341" i="4"/>
  <c r="I341" i="4" s="1"/>
  <c r="G332" i="4"/>
  <c r="I332" i="4" s="1"/>
  <c r="G236" i="4"/>
  <c r="I236" i="4" s="1"/>
  <c r="G56" i="4"/>
  <c r="I56" i="4" s="1"/>
  <c r="G17" i="4"/>
  <c r="I17" i="4" s="1"/>
  <c r="G342" i="5" l="1"/>
  <c r="I343" i="5"/>
  <c r="G859" i="4"/>
  <c r="I859" i="4" s="1"/>
  <c r="G341" i="5" l="1"/>
  <c r="I342" i="5"/>
  <c r="G947" i="4"/>
  <c r="I947" i="4" s="1"/>
  <c r="G941" i="4"/>
  <c r="I941" i="4" s="1"/>
  <c r="G912" i="4"/>
  <c r="I912" i="4" s="1"/>
  <c r="G347" i="5" l="1"/>
  <c r="I347" i="5" s="1"/>
  <c r="I341" i="5"/>
  <c r="C56" i="1"/>
  <c r="E56" i="1" s="1"/>
  <c r="G707" i="4" l="1"/>
  <c r="I707" i="4" s="1"/>
  <c r="G642" i="4"/>
  <c r="I642" i="4" s="1"/>
  <c r="G576" i="4"/>
  <c r="I576" i="4" s="1"/>
  <c r="G25" i="16" l="1"/>
  <c r="H26" i="17" l="1"/>
  <c r="G26" i="17"/>
  <c r="G32" i="17"/>
  <c r="G403" i="14" l="1"/>
  <c r="G402" i="14" s="1"/>
  <c r="G401" i="14" s="1"/>
  <c r="G400" i="14" s="1"/>
  <c r="F403" i="14"/>
  <c r="F402" i="14" s="1"/>
  <c r="F401" i="14" s="1"/>
  <c r="F400" i="14" s="1"/>
  <c r="G917" i="14"/>
  <c r="G916" i="14" s="1"/>
  <c r="G915" i="14" s="1"/>
  <c r="G914" i="14" s="1"/>
  <c r="G913" i="14" s="1"/>
  <c r="F917" i="14"/>
  <c r="F916" i="14" s="1"/>
  <c r="F915" i="14" s="1"/>
  <c r="F914" i="14" s="1"/>
  <c r="F913" i="14" s="1"/>
  <c r="G828" i="14"/>
  <c r="G827" i="14" s="1"/>
  <c r="G826" i="14" s="1"/>
  <c r="G825" i="14" s="1"/>
  <c r="G824" i="14" s="1"/>
  <c r="F828" i="14"/>
  <c r="F827" i="14" s="1"/>
  <c r="F826" i="14" s="1"/>
  <c r="F824" i="14" s="1"/>
  <c r="G680" i="14"/>
  <c r="G679" i="14" s="1"/>
  <c r="G678" i="14" s="1"/>
  <c r="G676" i="14" s="1"/>
  <c r="F680" i="14"/>
  <c r="F679" i="14" s="1"/>
  <c r="F678" i="14" s="1"/>
  <c r="F676" i="14" s="1"/>
  <c r="G536" i="14"/>
  <c r="G535" i="14" s="1"/>
  <c r="G534" i="14" s="1"/>
  <c r="G533" i="14" s="1"/>
  <c r="G532" i="14" s="1"/>
  <c r="F536" i="14"/>
  <c r="F535" i="14" s="1"/>
  <c r="F534" i="14" s="1"/>
  <c r="F533" i="14" s="1"/>
  <c r="F532" i="14" s="1"/>
  <c r="G181" i="14"/>
  <c r="G180" i="14" s="1"/>
  <c r="G179" i="14" s="1"/>
  <c r="G177" i="14" s="1"/>
  <c r="F181" i="14"/>
  <c r="F180" i="14" s="1"/>
  <c r="F179" i="14" s="1"/>
  <c r="F177" i="14" s="1"/>
  <c r="F829" i="3"/>
  <c r="F678" i="3"/>
  <c r="H625" i="16"/>
  <c r="H624" i="16" s="1"/>
  <c r="H623" i="16" s="1"/>
  <c r="G625" i="16"/>
  <c r="G626" i="16" s="1"/>
  <c r="H603" i="16"/>
  <c r="H602" i="16" s="1"/>
  <c r="H601" i="16" s="1"/>
  <c r="H600" i="16" s="1"/>
  <c r="H599" i="16" s="1"/>
  <c r="G603" i="16"/>
  <c r="G602" i="16" s="1"/>
  <c r="G601" i="16" s="1"/>
  <c r="G600" i="16" s="1"/>
  <c r="G599" i="16" s="1"/>
  <c r="H642" i="16"/>
  <c r="G642" i="16"/>
  <c r="H636" i="16"/>
  <c r="G636" i="16"/>
  <c r="H796" i="15"/>
  <c r="H795" i="15" s="1"/>
  <c r="H794" i="15" s="1"/>
  <c r="H793" i="15" s="1"/>
  <c r="G796" i="15"/>
  <c r="G795" i="15" s="1"/>
  <c r="G794" i="15" s="1"/>
  <c r="G793" i="15" s="1"/>
  <c r="H443" i="15"/>
  <c r="H442" i="15" s="1"/>
  <c r="H441" i="15" s="1"/>
  <c r="H440" i="15" s="1"/>
  <c r="G443" i="15"/>
  <c r="G442" i="15" s="1"/>
  <c r="G440" i="15" s="1"/>
  <c r="G441" i="15"/>
  <c r="H144" i="15"/>
  <c r="H143" i="15" s="1"/>
  <c r="H141" i="15" s="1"/>
  <c r="G144" i="15"/>
  <c r="G143" i="15" s="1"/>
  <c r="G141" i="15" s="1"/>
  <c r="H142" i="15"/>
  <c r="G142" i="15"/>
  <c r="H330" i="15"/>
  <c r="H329" i="15" s="1"/>
  <c r="H327" i="15" s="1"/>
  <c r="H328" i="15"/>
  <c r="G330" i="15"/>
  <c r="G329" i="15" s="1"/>
  <c r="G327" i="15" s="1"/>
  <c r="G328" i="15"/>
  <c r="H684" i="15"/>
  <c r="H683" i="15" s="1"/>
  <c r="G684" i="15"/>
  <c r="G683" i="15" s="1"/>
  <c r="H602" i="15"/>
  <c r="H601" i="15" s="1"/>
  <c r="G602" i="15"/>
  <c r="G601" i="15" s="1"/>
  <c r="G614" i="5"/>
  <c r="G620" i="5"/>
  <c r="G435" i="4"/>
  <c r="G433" i="4"/>
  <c r="I433" i="4" s="1"/>
  <c r="G319" i="4"/>
  <c r="G317" i="4"/>
  <c r="I317" i="4" s="1"/>
  <c r="H962" i="15"/>
  <c r="H961" i="15" s="1"/>
  <c r="H960" i="15" s="1"/>
  <c r="G962" i="15"/>
  <c r="G961" i="15" s="1"/>
  <c r="G960" i="15" s="1"/>
  <c r="G318" i="4" l="1"/>
  <c r="I319" i="4"/>
  <c r="G434" i="4"/>
  <c r="I435" i="4"/>
  <c r="G615" i="5"/>
  <c r="I615" i="5" s="1"/>
  <c r="I614" i="5"/>
  <c r="G619" i="5"/>
  <c r="I620" i="5"/>
  <c r="F675" i="3"/>
  <c r="H675" i="3" s="1"/>
  <c r="H678" i="3"/>
  <c r="F828" i="3"/>
  <c r="H829" i="3"/>
  <c r="H604" i="16"/>
  <c r="H622" i="16"/>
  <c r="H626" i="16"/>
  <c r="G604" i="16"/>
  <c r="F677" i="14"/>
  <c r="F825" i="14"/>
  <c r="G677" i="14"/>
  <c r="G178" i="14"/>
  <c r="F178" i="14"/>
  <c r="F826" i="3"/>
  <c r="H826" i="3" s="1"/>
  <c r="F677" i="3"/>
  <c r="G624" i="16"/>
  <c r="G623" i="16" s="1"/>
  <c r="G622" i="16" s="1"/>
  <c r="G635" i="16"/>
  <c r="G634" i="16" s="1"/>
  <c r="H635" i="16"/>
  <c r="H634" i="16" s="1"/>
  <c r="G432" i="4" l="1"/>
  <c r="I432" i="4" s="1"/>
  <c r="I434" i="4"/>
  <c r="G316" i="4"/>
  <c r="I316" i="4" s="1"/>
  <c r="I318" i="4"/>
  <c r="G618" i="5"/>
  <c r="I619" i="5"/>
  <c r="F827" i="3"/>
  <c r="H828" i="3"/>
  <c r="F676" i="3"/>
  <c r="H677" i="3"/>
  <c r="G633" i="16"/>
  <c r="G637" i="16"/>
  <c r="H633" i="16"/>
  <c r="H637" i="16"/>
  <c r="G621" i="5" l="1"/>
  <c r="I621" i="5" s="1"/>
  <c r="I618" i="5"/>
  <c r="F674" i="3"/>
  <c r="H674" i="3" s="1"/>
  <c r="H676" i="3"/>
  <c r="F825" i="3"/>
  <c r="H825" i="3" s="1"/>
  <c r="H827" i="3"/>
  <c r="G332" i="5"/>
  <c r="H46" i="14"/>
  <c r="F768" i="14"/>
  <c r="G871" i="14"/>
  <c r="G870" i="14" s="1"/>
  <c r="G869" i="14" s="1"/>
  <c r="G868" i="14" s="1"/>
  <c r="G867" i="14" s="1"/>
  <c r="G866" i="14" s="1"/>
  <c r="F871" i="14"/>
  <c r="F870" i="14" s="1"/>
  <c r="F869" i="14" s="1"/>
  <c r="F868" i="14" s="1"/>
  <c r="F867" i="14" s="1"/>
  <c r="F866" i="14" s="1"/>
  <c r="G331" i="5" l="1"/>
  <c r="I332" i="5"/>
  <c r="D44" i="13"/>
  <c r="E44" i="13"/>
  <c r="F597" i="14"/>
  <c r="F596" i="14" s="1"/>
  <c r="F600" i="14"/>
  <c r="F599" i="14" s="1"/>
  <c r="G600" i="14"/>
  <c r="G599" i="14" s="1"/>
  <c r="G330" i="5" l="1"/>
  <c r="I331" i="5"/>
  <c r="F595" i="14"/>
  <c r="F769" i="3"/>
  <c r="H769" i="3" s="1"/>
  <c r="F589" i="3"/>
  <c r="H589" i="3" s="1"/>
  <c r="F393" i="3"/>
  <c r="F592" i="3"/>
  <c r="F113" i="12"/>
  <c r="E113" i="12"/>
  <c r="F143" i="12"/>
  <c r="F138" i="12"/>
  <c r="F132" i="12"/>
  <c r="F131" i="12"/>
  <c r="F130" i="12"/>
  <c r="F128" i="12"/>
  <c r="F119" i="12"/>
  <c r="F118" i="12"/>
  <c r="F112" i="12"/>
  <c r="F110" i="12"/>
  <c r="F108" i="12"/>
  <c r="F107" i="12"/>
  <c r="F104" i="12"/>
  <c r="F102" i="12"/>
  <c r="F101" i="12"/>
  <c r="F100" i="12"/>
  <c r="G329" i="5" l="1"/>
  <c r="I330" i="5"/>
  <c r="G333" i="5"/>
  <c r="I333" i="5" s="1"/>
  <c r="F392" i="3"/>
  <c r="H393" i="3"/>
  <c r="F591" i="3"/>
  <c r="H592" i="3"/>
  <c r="E131" i="12"/>
  <c r="C133" i="12"/>
  <c r="D124" i="12"/>
  <c r="G210" i="15"/>
  <c r="C142" i="1"/>
  <c r="E142" i="1" s="1"/>
  <c r="G86" i="4"/>
  <c r="I86" i="4" s="1"/>
  <c r="G619" i="4"/>
  <c r="I619" i="4" s="1"/>
  <c r="H667" i="15"/>
  <c r="H666" i="15" s="1"/>
  <c r="G667" i="15"/>
  <c r="G666" i="15" s="1"/>
  <c r="G664" i="15"/>
  <c r="G663" i="15" s="1"/>
  <c r="C105" i="1"/>
  <c r="E105" i="1" s="1"/>
  <c r="L512" i="4"/>
  <c r="L514" i="4"/>
  <c r="L662" i="4"/>
  <c r="G661" i="4"/>
  <c r="G660" i="4" l="1"/>
  <c r="I661" i="4"/>
  <c r="I329" i="5"/>
  <c r="G328" i="5"/>
  <c r="F590" i="3"/>
  <c r="H590" i="3" s="1"/>
  <c r="H591" i="3"/>
  <c r="F391" i="3"/>
  <c r="H391" i="3" s="1"/>
  <c r="H392" i="3"/>
  <c r="G662" i="15"/>
  <c r="G951" i="4"/>
  <c r="G634" i="5"/>
  <c r="G950" i="4" l="1"/>
  <c r="I951" i="4"/>
  <c r="G659" i="4"/>
  <c r="I659" i="4" s="1"/>
  <c r="I660" i="4"/>
  <c r="G327" i="5"/>
  <c r="I327" i="5" s="1"/>
  <c r="I328" i="5"/>
  <c r="G633" i="5"/>
  <c r="I634" i="5"/>
  <c r="G949" i="4" l="1"/>
  <c r="I949" i="4" s="1"/>
  <c r="I950" i="4"/>
  <c r="G632" i="5"/>
  <c r="I633" i="5"/>
  <c r="G369" i="16"/>
  <c r="G368" i="16" s="1"/>
  <c r="G367" i="16" s="1"/>
  <c r="G366" i="16" s="1"/>
  <c r="G369" i="5"/>
  <c r="G368" i="5" l="1"/>
  <c r="I368" i="5" s="1"/>
  <c r="I369" i="5"/>
  <c r="I632" i="5"/>
  <c r="G635" i="5"/>
  <c r="I635" i="5" s="1"/>
  <c r="G631" i="5"/>
  <c r="G370" i="16"/>
  <c r="G367" i="5" l="1"/>
  <c r="I367" i="5" s="1"/>
  <c r="G630" i="5"/>
  <c r="I630" i="5" s="1"/>
  <c r="I631" i="5"/>
  <c r="E143" i="12"/>
  <c r="E138" i="12"/>
  <c r="E135" i="12"/>
  <c r="E134" i="12"/>
  <c r="E132" i="12"/>
  <c r="E130" i="12"/>
  <c r="E128" i="12"/>
  <c r="E127" i="12"/>
  <c r="E119" i="12"/>
  <c r="E118" i="12"/>
  <c r="E112" i="12"/>
  <c r="E110" i="12"/>
  <c r="E108" i="12"/>
  <c r="E107" i="12"/>
  <c r="E104" i="12"/>
  <c r="E102" i="12"/>
  <c r="E100" i="12"/>
  <c r="E91" i="12"/>
  <c r="E89" i="12"/>
  <c r="G366" i="5" l="1"/>
  <c r="I366" i="5" s="1"/>
  <c r="G370" i="5"/>
  <c r="I370" i="5" s="1"/>
  <c r="D134" i="12"/>
  <c r="D135" i="12"/>
  <c r="D136" i="12"/>
  <c r="D142" i="12"/>
  <c r="D141" i="12" s="1"/>
  <c r="C142" i="12"/>
  <c r="C141" i="12" s="1"/>
  <c r="D133" i="12" l="1"/>
  <c r="H180" i="16"/>
  <c r="H179" i="16" s="1"/>
  <c r="H178" i="16" s="1"/>
  <c r="H181" i="16" s="1"/>
  <c r="G180" i="16"/>
  <c r="G179" i="16" s="1"/>
  <c r="G178" i="16" s="1"/>
  <c r="G181" i="16" s="1"/>
  <c r="H328" i="16"/>
  <c r="H327" i="16" s="1"/>
  <c r="H326" i="16" s="1"/>
  <c r="H325" i="16" s="1"/>
  <c r="H324" i="16" s="1"/>
  <c r="H323" i="16" s="1"/>
  <c r="H329" i="16" s="1"/>
  <c r="G328" i="16"/>
  <c r="G327" i="16" s="1"/>
  <c r="G326" i="16" s="1"/>
  <c r="G325" i="16" s="1"/>
  <c r="G324" i="16" s="1"/>
  <c r="G323" i="16" s="1"/>
  <c r="G329" i="16" s="1"/>
  <c r="G181" i="5"/>
  <c r="G180" i="5" l="1"/>
  <c r="I181" i="5"/>
  <c r="F28" i="14"/>
  <c r="F27" i="14" s="1"/>
  <c r="F26" i="14" s="1"/>
  <c r="F25" i="14"/>
  <c r="G551" i="14"/>
  <c r="G550" i="14" s="1"/>
  <c r="G549" i="14" s="1"/>
  <c r="F551" i="14"/>
  <c r="F550" i="14" s="1"/>
  <c r="F549" i="14" s="1"/>
  <c r="G179" i="5" l="1"/>
  <c r="I180" i="5"/>
  <c r="F588" i="3"/>
  <c r="F538" i="3"/>
  <c r="F138" i="3"/>
  <c r="H617" i="15"/>
  <c r="H616" i="15" s="1"/>
  <c r="G617" i="15"/>
  <c r="G616" i="15" s="1"/>
  <c r="G182" i="5" l="1"/>
  <c r="I182" i="5" s="1"/>
  <c r="I179" i="5"/>
  <c r="F137" i="3"/>
  <c r="H138" i="3"/>
  <c r="F537" i="3"/>
  <c r="H538" i="3"/>
  <c r="F587" i="3"/>
  <c r="H588" i="3"/>
  <c r="G671" i="15"/>
  <c r="G670" i="15" s="1"/>
  <c r="G669" i="15" s="1"/>
  <c r="F605" i="14"/>
  <c r="F604" i="14" s="1"/>
  <c r="F603" i="14" s="1"/>
  <c r="F602" i="14" s="1"/>
  <c r="H671" i="15"/>
  <c r="H670" i="15" s="1"/>
  <c r="H669" i="15" s="1"/>
  <c r="G605" i="14"/>
  <c r="G604" i="14" s="1"/>
  <c r="G603" i="14" s="1"/>
  <c r="G602" i="14" s="1"/>
  <c r="F536" i="3" l="1"/>
  <c r="H536" i="3" s="1"/>
  <c r="H537" i="3"/>
  <c r="F586" i="3"/>
  <c r="H586" i="3" s="1"/>
  <c r="H587" i="3"/>
  <c r="F136" i="3"/>
  <c r="H137" i="3"/>
  <c r="G439" i="15"/>
  <c r="G132" i="16" s="1"/>
  <c r="F135" i="3" l="1"/>
  <c r="H136" i="3"/>
  <c r="G29" i="4"/>
  <c r="G50" i="15"/>
  <c r="G49" i="15" s="1"/>
  <c r="H48" i="15"/>
  <c r="G47" i="15"/>
  <c r="G46" i="15" s="1"/>
  <c r="H38" i="15"/>
  <c r="G28" i="4" l="1"/>
  <c r="I29" i="4"/>
  <c r="F134" i="3"/>
  <c r="H135" i="3"/>
  <c r="H47" i="15"/>
  <c r="H46" i="15" s="1"/>
  <c r="H370" i="16"/>
  <c r="H369" i="16" s="1"/>
  <c r="H368" i="16" s="1"/>
  <c r="H367" i="16" s="1"/>
  <c r="H366" i="16" s="1"/>
  <c r="G25" i="14"/>
  <c r="G45" i="15"/>
  <c r="G44" i="15" s="1"/>
  <c r="G47" i="4"/>
  <c r="G46" i="4" l="1"/>
  <c r="I47" i="4"/>
  <c r="G27" i="4"/>
  <c r="I28" i="4"/>
  <c r="D18" i="2"/>
  <c r="F18" i="2" s="1"/>
  <c r="H134" i="3"/>
  <c r="G28" i="14"/>
  <c r="G27" i="14" s="1"/>
  <c r="G26" i="14" s="1"/>
  <c r="H50" i="15"/>
  <c r="H49" i="15" s="1"/>
  <c r="H45" i="15" s="1"/>
  <c r="H44" i="15" s="1"/>
  <c r="G45" i="4" l="1"/>
  <c r="I45" i="4" s="1"/>
  <c r="I46" i="4"/>
  <c r="G26" i="4"/>
  <c r="I27" i="4"/>
  <c r="G44" i="4"/>
  <c r="I44" i="4" s="1"/>
  <c r="G606" i="4"/>
  <c r="C153" i="1"/>
  <c r="E153" i="1" l="1"/>
  <c r="C152" i="1"/>
  <c r="G25" i="4"/>
  <c r="I25" i="4" s="1"/>
  <c r="I26" i="4"/>
  <c r="G605" i="4"/>
  <c r="I605" i="4" s="1"/>
  <c r="I606" i="4"/>
  <c r="G325" i="5"/>
  <c r="G657" i="4"/>
  <c r="G656" i="4" l="1"/>
  <c r="I657" i="4"/>
  <c r="G324" i="5"/>
  <c r="I325" i="5"/>
  <c r="G462" i="16"/>
  <c r="G461" i="16" s="1"/>
  <c r="G460" i="16" s="1"/>
  <c r="G459" i="16" s="1"/>
  <c r="G458" i="16" s="1"/>
  <c r="G457" i="16" s="1"/>
  <c r="G463" i="16" s="1"/>
  <c r="F34" i="14"/>
  <c r="F33" i="14" s="1"/>
  <c r="F36" i="14"/>
  <c r="F35" i="14" s="1"/>
  <c r="F32" i="3"/>
  <c r="F34" i="3"/>
  <c r="G655" i="4" l="1"/>
  <c r="I655" i="4" s="1"/>
  <c r="I656" i="4"/>
  <c r="G323" i="5"/>
  <c r="I324" i="5"/>
  <c r="F33" i="3"/>
  <c r="H33" i="3" s="1"/>
  <c r="H34" i="3"/>
  <c r="F31" i="3"/>
  <c r="H31" i="3" s="1"/>
  <c r="H32" i="3"/>
  <c r="F32" i="14"/>
  <c r="H1072" i="15"/>
  <c r="G34" i="14" s="1"/>
  <c r="G33" i="14" s="1"/>
  <c r="H1074" i="15"/>
  <c r="G36" i="14" s="1"/>
  <c r="G35" i="14" s="1"/>
  <c r="G1073" i="15"/>
  <c r="G1071" i="15"/>
  <c r="G322" i="5" l="1"/>
  <c r="I323" i="5"/>
  <c r="F30" i="3"/>
  <c r="H30" i="3" s="1"/>
  <c r="H1073" i="15"/>
  <c r="G32" i="14"/>
  <c r="H1071" i="15"/>
  <c r="G1070" i="15"/>
  <c r="G321" i="5" l="1"/>
  <c r="I322" i="5"/>
  <c r="H1070" i="15"/>
  <c r="G1045" i="4"/>
  <c r="I1045" i="4" s="1"/>
  <c r="G1043" i="4"/>
  <c r="I1043" i="4" s="1"/>
  <c r="G320" i="5" l="1"/>
  <c r="I321" i="5"/>
  <c r="G1042" i="4"/>
  <c r="I1042" i="4" s="1"/>
  <c r="I320" i="5" l="1"/>
  <c r="G326" i="5"/>
  <c r="I326" i="5" s="1"/>
  <c r="G1011" i="4"/>
  <c r="I1011" i="4" s="1"/>
  <c r="G734" i="4"/>
  <c r="I734" i="4" s="1"/>
  <c r="G431" i="4"/>
  <c r="I431" i="4" s="1"/>
  <c r="G522" i="4"/>
  <c r="I522" i="4" s="1"/>
  <c r="G134" i="4"/>
  <c r="I134" i="4" s="1"/>
  <c r="H767" i="16" l="1"/>
  <c r="H768" i="16" s="1"/>
  <c r="H138" i="16"/>
  <c r="H132" i="16"/>
  <c r="G186" i="14"/>
  <c r="F15" i="14"/>
  <c r="F17" i="14"/>
  <c r="P1096" i="15"/>
  <c r="G784" i="14"/>
  <c r="F784" i="14"/>
  <c r="F16" i="3"/>
  <c r="H16" i="3" s="1"/>
  <c r="F18" i="3"/>
  <c r="H18" i="3" s="1"/>
  <c r="H766" i="16" l="1"/>
  <c r="H254" i="15"/>
  <c r="H253" i="15" s="1"/>
  <c r="H40" i="15" l="1"/>
  <c r="G43" i="15"/>
  <c r="G42" i="15" s="1"/>
  <c r="H42" i="15" s="1"/>
  <c r="G39" i="15"/>
  <c r="G37" i="15"/>
  <c r="G37" i="4"/>
  <c r="I37" i="4" s="1"/>
  <c r="G43" i="4"/>
  <c r="I43" i="4" s="1"/>
  <c r="G39" i="4"/>
  <c r="I39" i="4" s="1"/>
  <c r="G36" i="15" l="1"/>
  <c r="H39" i="15"/>
  <c r="G17" i="14"/>
  <c r="H43" i="15"/>
  <c r="G20" i="14" s="1"/>
  <c r="F20" i="14"/>
  <c r="G42" i="4"/>
  <c r="F21" i="3"/>
  <c r="H21" i="3" s="1"/>
  <c r="H37" i="15"/>
  <c r="G15" i="14"/>
  <c r="G41" i="15"/>
  <c r="H41" i="15" s="1"/>
  <c r="G36" i="4"/>
  <c r="I36" i="4" s="1"/>
  <c r="G982" i="15"/>
  <c r="G41" i="4" l="1"/>
  <c r="I41" i="4" s="1"/>
  <c r="I42" i="4"/>
  <c r="H36" i="15"/>
  <c r="H35" i="15" s="1"/>
  <c r="H34" i="15" s="1"/>
  <c r="H33" i="15" s="1"/>
  <c r="G35" i="15"/>
  <c r="G34" i="15" s="1"/>
  <c r="G33" i="15" s="1"/>
  <c r="G958" i="15"/>
  <c r="G35" i="4" l="1"/>
  <c r="I35" i="4" s="1"/>
  <c r="G34" i="4" l="1"/>
  <c r="G33" i="4" s="1"/>
  <c r="I33" i="4" s="1"/>
  <c r="G22" i="16"/>
  <c r="G23" i="16" s="1"/>
  <c r="G822" i="16"/>
  <c r="H574" i="16"/>
  <c r="G574" i="16"/>
  <c r="G595" i="16"/>
  <c r="G594" i="16" s="1"/>
  <c r="G593" i="16" s="1"/>
  <c r="G592" i="16" s="1"/>
  <c r="G591" i="16" s="1"/>
  <c r="G590" i="16" s="1"/>
  <c r="H399" i="15"/>
  <c r="H398" i="15" s="1"/>
  <c r="H397" i="15" s="1"/>
  <c r="G399" i="15"/>
  <c r="G398" i="15" s="1"/>
  <c r="G397" i="15" s="1"/>
  <c r="G567" i="16"/>
  <c r="G568" i="16" s="1"/>
  <c r="G542" i="16"/>
  <c r="G543" i="16" s="1"/>
  <c r="G494" i="16"/>
  <c r="G495" i="16" s="1"/>
  <c r="G362" i="16"/>
  <c r="G361" i="16" s="1"/>
  <c r="G360" i="16" s="1"/>
  <c r="G359" i="16" s="1"/>
  <c r="G335" i="16"/>
  <c r="H676" i="15"/>
  <c r="H675" i="15" s="1"/>
  <c r="G675" i="15"/>
  <c r="G674" i="15" s="1"/>
  <c r="G673" i="15" s="1"/>
  <c r="G282" i="16"/>
  <c r="G281" i="16" s="1"/>
  <c r="G280" i="16" s="1"/>
  <c r="G279" i="16" s="1"/>
  <c r="G277" i="16"/>
  <c r="G278" i="16" s="1"/>
  <c r="G115" i="16"/>
  <c r="G114" i="16" s="1"/>
  <c r="G113" i="16" s="1"/>
  <c r="G112" i="16" s="1"/>
  <c r="G111" i="16" s="1"/>
  <c r="G110" i="16" s="1"/>
  <c r="G122" i="16"/>
  <c r="G123" i="16" s="1"/>
  <c r="G125" i="16"/>
  <c r="G126" i="16" s="1"/>
  <c r="H95" i="16"/>
  <c r="H94" i="16" s="1"/>
  <c r="H93" i="16" s="1"/>
  <c r="H92" i="16" s="1"/>
  <c r="H91" i="16" s="1"/>
  <c r="H90" i="16" s="1"/>
  <c r="G103" i="16"/>
  <c r="G102" i="16" s="1"/>
  <c r="G101" i="16" s="1"/>
  <c r="G100" i="16" s="1"/>
  <c r="G95" i="16"/>
  <c r="I34" i="4" l="1"/>
  <c r="H595" i="16"/>
  <c r="H596" i="16" s="1"/>
  <c r="H335" i="16"/>
  <c r="H334" i="16" s="1"/>
  <c r="H333" i="16" s="1"/>
  <c r="H332" i="16" s="1"/>
  <c r="H331" i="16" s="1"/>
  <c r="H330" i="16" s="1"/>
  <c r="H674" i="15"/>
  <c r="H673" i="15" s="1"/>
  <c r="G21" i="16"/>
  <c r="G596" i="16"/>
  <c r="G566" i="16"/>
  <c r="G565" i="16" s="1"/>
  <c r="G541" i="16"/>
  <c r="G540" i="16" s="1"/>
  <c r="G539" i="16" s="1"/>
  <c r="G538" i="16" s="1"/>
  <c r="G493" i="16"/>
  <c r="G363" i="16"/>
  <c r="G357" i="16"/>
  <c r="G358" i="16"/>
  <c r="G283" i="16"/>
  <c r="G276" i="16"/>
  <c r="G275" i="16" s="1"/>
  <c r="G116" i="16"/>
  <c r="G121" i="16"/>
  <c r="H96" i="16"/>
  <c r="G124" i="16"/>
  <c r="G104" i="16"/>
  <c r="G542" i="5"/>
  <c r="G494" i="5"/>
  <c r="G500" i="5"/>
  <c r="K474" i="5"/>
  <c r="G595" i="5"/>
  <c r="G574" i="5"/>
  <c r="G567" i="5"/>
  <c r="G153" i="5"/>
  <c r="I153" i="5" s="1"/>
  <c r="G135" i="5"/>
  <c r="G122" i="5"/>
  <c r="I122" i="5" s="1"/>
  <c r="G119" i="5"/>
  <c r="G112" i="5"/>
  <c r="I112" i="5" s="1"/>
  <c r="G104" i="5"/>
  <c r="I104" i="5" s="1"/>
  <c r="G96" i="5"/>
  <c r="I96" i="5" s="1"/>
  <c r="G89" i="5"/>
  <c r="I89" i="5" s="1"/>
  <c r="G82" i="5"/>
  <c r="I82" i="5" s="1"/>
  <c r="G75" i="5"/>
  <c r="I75" i="5" s="1"/>
  <c r="G59" i="5"/>
  <c r="I59" i="5" s="1"/>
  <c r="G52" i="5"/>
  <c r="I52" i="5" s="1"/>
  <c r="G38" i="5"/>
  <c r="I38" i="5" s="1"/>
  <c r="G575" i="5" l="1"/>
  <c r="I575" i="5" s="1"/>
  <c r="I574" i="5"/>
  <c r="G493" i="5"/>
  <c r="I493" i="5" s="1"/>
  <c r="I494" i="5"/>
  <c r="G134" i="5"/>
  <c r="I135" i="5"/>
  <c r="G596" i="5"/>
  <c r="I596" i="5" s="1"/>
  <c r="I595" i="5"/>
  <c r="G543" i="5"/>
  <c r="I543" i="5" s="1"/>
  <c r="I542" i="5"/>
  <c r="G118" i="5"/>
  <c r="I118" i="5" s="1"/>
  <c r="I119" i="5"/>
  <c r="G568" i="5"/>
  <c r="I568" i="5" s="1"/>
  <c r="I567" i="5"/>
  <c r="G499" i="5"/>
  <c r="I499" i="5" s="1"/>
  <c r="I500" i="5"/>
  <c r="G111" i="5"/>
  <c r="G113" i="5"/>
  <c r="I113" i="5" s="1"/>
  <c r="H594" i="16"/>
  <c r="H593" i="16" s="1"/>
  <c r="H592" i="16" s="1"/>
  <c r="H591" i="16" s="1"/>
  <c r="H590" i="16" s="1"/>
  <c r="H336" i="16"/>
  <c r="G120" i="16"/>
  <c r="G119" i="16" s="1"/>
  <c r="G118" i="16" s="1"/>
  <c r="G117" i="16" s="1"/>
  <c r="G541" i="5"/>
  <c r="G501" i="5"/>
  <c r="I501" i="5" s="1"/>
  <c r="G495" i="5"/>
  <c r="I495" i="5" s="1"/>
  <c r="G594" i="5"/>
  <c r="G566" i="5"/>
  <c r="G573" i="5"/>
  <c r="G120" i="5"/>
  <c r="I120" i="5" s="1"/>
  <c r="G136" i="5"/>
  <c r="I136" i="5" s="1"/>
  <c r="G121" i="5"/>
  <c r="G16" i="5"/>
  <c r="G427" i="14"/>
  <c r="G426" i="14" s="1"/>
  <c r="G425" i="14" s="1"/>
  <c r="F278" i="14"/>
  <c r="F277" i="14" s="1"/>
  <c r="G274" i="14"/>
  <c r="G273" i="14" s="1"/>
  <c r="G272" i="14" s="1"/>
  <c r="F274" i="14"/>
  <c r="F273" i="14" s="1"/>
  <c r="F272" i="14" s="1"/>
  <c r="F98" i="14"/>
  <c r="F857" i="14"/>
  <c r="F853" i="14"/>
  <c r="F852" i="14" s="1"/>
  <c r="F851" i="14"/>
  <c r="F847" i="14"/>
  <c r="F846" i="14" s="1"/>
  <c r="F845" i="14" s="1"/>
  <c r="F844" i="14" s="1"/>
  <c r="G842" i="14"/>
  <c r="G841" i="14" s="1"/>
  <c r="G840" i="14" s="1"/>
  <c r="G839" i="14" s="1"/>
  <c r="G838" i="14" s="1"/>
  <c r="F842" i="14"/>
  <c r="F841" i="14" s="1"/>
  <c r="F840" i="14" s="1"/>
  <c r="F839" i="14" s="1"/>
  <c r="F838" i="14" s="1"/>
  <c r="F767" i="14"/>
  <c r="F766" i="14" s="1"/>
  <c r="G772" i="14"/>
  <c r="G771" i="14" s="1"/>
  <c r="G770" i="14" s="1"/>
  <c r="G769" i="14" s="1"/>
  <c r="F772" i="14"/>
  <c r="F771" i="14" s="1"/>
  <c r="F770" i="14" s="1"/>
  <c r="F769" i="14" s="1"/>
  <c r="G528" i="14"/>
  <c r="G527" i="14" s="1"/>
  <c r="G526" i="14" s="1"/>
  <c r="F586" i="14"/>
  <c r="F585" i="14" s="1"/>
  <c r="F584" i="14" s="1"/>
  <c r="F528" i="14"/>
  <c r="F527" i="14" s="1"/>
  <c r="F526" i="14" s="1"/>
  <c r="G572" i="5" l="1"/>
  <c r="I573" i="5"/>
  <c r="G117" i="5"/>
  <c r="I121" i="5"/>
  <c r="G565" i="5"/>
  <c r="I565" i="5" s="1"/>
  <c r="I566" i="5"/>
  <c r="G540" i="5"/>
  <c r="I541" i="5"/>
  <c r="G593" i="5"/>
  <c r="I594" i="5"/>
  <c r="G110" i="5"/>
  <c r="I111" i="5"/>
  <c r="G133" i="5"/>
  <c r="I134" i="5"/>
  <c r="G123" i="5"/>
  <c r="I123" i="5" s="1"/>
  <c r="F97" i="14"/>
  <c r="F96" i="14" s="1"/>
  <c r="F856" i="14"/>
  <c r="F855" i="14" s="1"/>
  <c r="F854" i="14" s="1"/>
  <c r="F850" i="14"/>
  <c r="F849" i="14" s="1"/>
  <c r="F848" i="14" s="1"/>
  <c r="F783" i="14"/>
  <c r="F782" i="14" s="1"/>
  <c r="F781" i="14" s="1"/>
  <c r="G109" i="5" l="1"/>
  <c r="I110" i="5"/>
  <c r="G539" i="5"/>
  <c r="I540" i="5"/>
  <c r="G116" i="5"/>
  <c r="I117" i="5"/>
  <c r="G132" i="5"/>
  <c r="I133" i="5"/>
  <c r="G592" i="5"/>
  <c r="I593" i="5"/>
  <c r="G571" i="5"/>
  <c r="I572" i="5"/>
  <c r="F843" i="14"/>
  <c r="F837" i="14" s="1"/>
  <c r="G570" i="5" l="1"/>
  <c r="I571" i="5"/>
  <c r="G538" i="5"/>
  <c r="I538" i="5" s="1"/>
  <c r="I539" i="5"/>
  <c r="G131" i="5"/>
  <c r="I131" i="5" s="1"/>
  <c r="I132" i="5"/>
  <c r="G591" i="5"/>
  <c r="I592" i="5"/>
  <c r="G115" i="5"/>
  <c r="I116" i="5"/>
  <c r="G108" i="5"/>
  <c r="I109" i="5"/>
  <c r="F768" i="3"/>
  <c r="F858" i="3"/>
  <c r="F854" i="3"/>
  <c r="F852" i="3"/>
  <c r="F848" i="3"/>
  <c r="F785" i="3"/>
  <c r="G107" i="5" l="1"/>
  <c r="I107" i="5" s="1"/>
  <c r="I108" i="5"/>
  <c r="G590" i="5"/>
  <c r="I590" i="5" s="1"/>
  <c r="I591" i="5"/>
  <c r="G114" i="5"/>
  <c r="I114" i="5" s="1"/>
  <c r="I115" i="5"/>
  <c r="G569" i="5"/>
  <c r="I569" i="5" s="1"/>
  <c r="I570" i="5"/>
  <c r="F853" i="3"/>
  <c r="H853" i="3" s="1"/>
  <c r="H854" i="3"/>
  <c r="F851" i="3"/>
  <c r="H851" i="3" s="1"/>
  <c r="H852" i="3"/>
  <c r="F784" i="3"/>
  <c r="H785" i="3"/>
  <c r="F857" i="3"/>
  <c r="H858" i="3"/>
  <c r="F847" i="3"/>
  <c r="H848" i="3"/>
  <c r="F767" i="3"/>
  <c r="H767" i="3" s="1"/>
  <c r="H768" i="3"/>
  <c r="F850" i="3"/>
  <c r="F421" i="3"/>
  <c r="F420" i="3" l="1"/>
  <c r="H421" i="3"/>
  <c r="F849" i="3"/>
  <c r="H850" i="3"/>
  <c r="F846" i="3"/>
  <c r="H847" i="3"/>
  <c r="F783" i="3"/>
  <c r="H784" i="3"/>
  <c r="F856" i="3"/>
  <c r="H857" i="3"/>
  <c r="F98" i="3"/>
  <c r="F97" i="3" l="1"/>
  <c r="H97" i="3" s="1"/>
  <c r="H98" i="3"/>
  <c r="F782" i="3"/>
  <c r="H782" i="3" s="1"/>
  <c r="H783" i="3"/>
  <c r="H849" i="3"/>
  <c r="F855" i="3"/>
  <c r="H855" i="3" s="1"/>
  <c r="H856" i="3"/>
  <c r="F845" i="3"/>
  <c r="H845" i="3" s="1"/>
  <c r="H846" i="3"/>
  <c r="F419" i="3"/>
  <c r="H419" i="3" s="1"/>
  <c r="H420" i="3"/>
  <c r="F547" i="14"/>
  <c r="F546" i="14" s="1"/>
  <c r="F545" i="14" s="1"/>
  <c r="F544" i="14" s="1"/>
  <c r="G148" i="5"/>
  <c r="F484" i="14"/>
  <c r="F483" i="14" s="1"/>
  <c r="F482" i="14" s="1"/>
  <c r="F481" i="14" s="1"/>
  <c r="G143" i="5"/>
  <c r="I143" i="5" s="1"/>
  <c r="G149" i="5" l="1"/>
  <c r="I149" i="5" s="1"/>
  <c r="I148" i="5"/>
  <c r="F844" i="3"/>
  <c r="H844" i="3" s="1"/>
  <c r="G66" i="4"/>
  <c r="I66" i="4" s="1"/>
  <c r="D86" i="12" l="1"/>
  <c r="D82" i="12"/>
  <c r="H535" i="15"/>
  <c r="H534" i="15" s="1"/>
  <c r="G535" i="15"/>
  <c r="G534" i="15" s="1"/>
  <c r="H986" i="15"/>
  <c r="H985" i="15" s="1"/>
  <c r="G533" i="15" l="1"/>
  <c r="G532" i="15" s="1"/>
  <c r="G531" i="15" s="1"/>
  <c r="H533" i="15"/>
  <c r="H532" i="15" s="1"/>
  <c r="H531" i="15" s="1"/>
  <c r="H22" i="16"/>
  <c r="G868" i="15"/>
  <c r="H864" i="15"/>
  <c r="H863" i="15" s="1"/>
  <c r="G864" i="15"/>
  <c r="G863" i="15" s="1"/>
  <c r="H23" i="16" l="1"/>
  <c r="H21" i="16"/>
  <c r="H868" i="15"/>
  <c r="G278" i="14"/>
  <c r="G277" i="14" s="1"/>
  <c r="G781" i="15"/>
  <c r="G780" i="15" s="1"/>
  <c r="G779" i="15" s="1"/>
  <c r="G778" i="15" s="1"/>
  <c r="G785" i="15"/>
  <c r="H257" i="15"/>
  <c r="H256" i="15" s="1"/>
  <c r="G257" i="15"/>
  <c r="G256" i="15" s="1"/>
  <c r="H263" i="15"/>
  <c r="H262" i="15" s="1"/>
  <c r="G263" i="15"/>
  <c r="G262" i="15" s="1"/>
  <c r="G466" i="15" l="1"/>
  <c r="G465" i="15" s="1"/>
  <c r="G464" i="15" s="1"/>
  <c r="G387" i="15" l="1"/>
  <c r="G386" i="15" s="1"/>
  <c r="G385" i="15" s="1"/>
  <c r="H387" i="15"/>
  <c r="H386" i="15" s="1"/>
  <c r="H385" i="15" s="1"/>
  <c r="G383" i="15"/>
  <c r="G382" i="15" s="1"/>
  <c r="H384" i="15"/>
  <c r="G768" i="14" l="1"/>
  <c r="G767" i="14" s="1"/>
  <c r="G766" i="14" s="1"/>
  <c r="F127" i="12"/>
  <c r="H383" i="15"/>
  <c r="H382" i="15" s="1"/>
  <c r="H567" i="16"/>
  <c r="G391" i="15"/>
  <c r="G390" i="15" s="1"/>
  <c r="G389" i="15" s="1"/>
  <c r="G581" i="16"/>
  <c r="F776" i="14"/>
  <c r="F775" i="14" s="1"/>
  <c r="F774" i="14" s="1"/>
  <c r="F773" i="14" s="1"/>
  <c r="G783" i="14"/>
  <c r="G782" i="14" s="1"/>
  <c r="G781" i="14" s="1"/>
  <c r="H392" i="15"/>
  <c r="H581" i="16" s="1"/>
  <c r="H568" i="16" l="1"/>
  <c r="H566" i="16"/>
  <c r="H565" i="16" s="1"/>
  <c r="H391" i="15"/>
  <c r="H390" i="15" s="1"/>
  <c r="H389" i="15" s="1"/>
  <c r="G776" i="14"/>
  <c r="G775" i="14" s="1"/>
  <c r="G774" i="14" s="1"/>
  <c r="G773" i="14" s="1"/>
  <c r="H381" i="16"/>
  <c r="G101" i="15"/>
  <c r="G100" i="15" s="1"/>
  <c r="H59" i="15"/>
  <c r="G104" i="15" l="1"/>
  <c r="G103" i="15" s="1"/>
  <c r="G385" i="16"/>
  <c r="F101" i="14"/>
  <c r="F100" i="14" s="1"/>
  <c r="F99" i="14" s="1"/>
  <c r="H382" i="16"/>
  <c r="H380" i="16"/>
  <c r="H379" i="16" s="1"/>
  <c r="H101" i="15"/>
  <c r="H100" i="15" s="1"/>
  <c r="G98" i="14"/>
  <c r="G97" i="14" s="1"/>
  <c r="G96" i="14" s="1"/>
  <c r="H385" i="16"/>
  <c r="H384" i="16" l="1"/>
  <c r="H383" i="16" s="1"/>
  <c r="H386" i="16"/>
  <c r="G386" i="16"/>
  <c r="G384" i="16"/>
  <c r="G383" i="16" s="1"/>
  <c r="H104" i="15"/>
  <c r="H103" i="15" s="1"/>
  <c r="G101" i="14"/>
  <c r="G100" i="14" s="1"/>
  <c r="G99" i="14" s="1"/>
  <c r="C133" i="1"/>
  <c r="C103" i="1"/>
  <c r="E103" i="1" s="1"/>
  <c r="C101" i="1"/>
  <c r="E101" i="1" s="1"/>
  <c r="C99" i="1"/>
  <c r="E99" i="1" s="1"/>
  <c r="C97" i="1"/>
  <c r="E97" i="1" s="1"/>
  <c r="C95" i="1"/>
  <c r="E95" i="1" s="1"/>
  <c r="C91" i="1"/>
  <c r="C146" i="1"/>
  <c r="E146" i="1" s="1"/>
  <c r="D88" i="12"/>
  <c r="C88" i="12"/>
  <c r="D52" i="12"/>
  <c r="D49" i="12" s="1"/>
  <c r="C52" i="12"/>
  <c r="C49" i="12" s="1"/>
  <c r="C55" i="1"/>
  <c r="C28" i="1"/>
  <c r="E28" i="1" s="1"/>
  <c r="G101" i="4"/>
  <c r="C52" i="1" l="1"/>
  <c r="E52" i="1" s="1"/>
  <c r="E55" i="1"/>
  <c r="E133" i="1"/>
  <c r="C126" i="1"/>
  <c r="E126" i="1" s="1"/>
  <c r="E91" i="1"/>
  <c r="G100" i="4"/>
  <c r="I101" i="4"/>
  <c r="C107" i="1"/>
  <c r="E107" i="1" s="1"/>
  <c r="G381" i="16" l="1"/>
  <c r="I100" i="4"/>
  <c r="G645" i="4"/>
  <c r="G380" i="16" l="1"/>
  <c r="G379" i="16" s="1"/>
  <c r="G382" i="16"/>
  <c r="G644" i="4"/>
  <c r="I645" i="4"/>
  <c r="G451" i="4"/>
  <c r="G391" i="4"/>
  <c r="G375" i="4"/>
  <c r="G390" i="4" l="1"/>
  <c r="I391" i="4"/>
  <c r="G450" i="4"/>
  <c r="I450" i="4" s="1"/>
  <c r="I451" i="4"/>
  <c r="G374" i="4"/>
  <c r="I374" i="4" s="1"/>
  <c r="I375" i="4"/>
  <c r="G643" i="4"/>
  <c r="I643" i="4" s="1"/>
  <c r="I644" i="4"/>
  <c r="G387" i="4"/>
  <c r="G588" i="5"/>
  <c r="I588" i="5" s="1"/>
  <c r="F781" i="3"/>
  <c r="G373" i="4"/>
  <c r="I373" i="4" s="1"/>
  <c r="G386" i="4" l="1"/>
  <c r="I387" i="4"/>
  <c r="G389" i="4"/>
  <c r="I389" i="4" s="1"/>
  <c r="I390" i="4"/>
  <c r="F780" i="3"/>
  <c r="H781" i="3"/>
  <c r="F334" i="14"/>
  <c r="F333" i="14" s="1"/>
  <c r="G893" i="15"/>
  <c r="G385" i="4" l="1"/>
  <c r="I385" i="4" s="1"/>
  <c r="I386" i="4"/>
  <c r="F779" i="3"/>
  <c r="H780" i="3"/>
  <c r="F327" i="3"/>
  <c r="H327" i="3" s="1"/>
  <c r="G883" i="4"/>
  <c r="I883" i="4" s="1"/>
  <c r="F778" i="3" l="1"/>
  <c r="H778" i="3" s="1"/>
  <c r="H779" i="3"/>
  <c r="G454" i="5"/>
  <c r="G453" i="5" l="1"/>
  <c r="I454" i="5"/>
  <c r="F913" i="3"/>
  <c r="G784" i="4"/>
  <c r="G783" i="4" l="1"/>
  <c r="I784" i="4"/>
  <c r="G452" i="5"/>
  <c r="I453" i="5"/>
  <c r="F912" i="3"/>
  <c r="H913" i="3"/>
  <c r="F868" i="3"/>
  <c r="H868" i="3" s="1"/>
  <c r="G782" i="4" l="1"/>
  <c r="I782" i="4" s="1"/>
  <c r="I783" i="4"/>
  <c r="G451" i="5"/>
  <c r="I452" i="5"/>
  <c r="F911" i="3"/>
  <c r="H912" i="3"/>
  <c r="G799" i="4"/>
  <c r="I799" i="4" s="1"/>
  <c r="G1090" i="15"/>
  <c r="G1045" i="15"/>
  <c r="G1012" i="15"/>
  <c r="G1010" i="15"/>
  <c r="G1002" i="15"/>
  <c r="G987" i="15"/>
  <c r="F427" i="14" s="1"/>
  <c r="F426" i="14" s="1"/>
  <c r="F425" i="14" s="1"/>
  <c r="G984" i="15"/>
  <c r="G888" i="15"/>
  <c r="G852" i="15"/>
  <c r="G845" i="15"/>
  <c r="G830" i="15"/>
  <c r="G820" i="15"/>
  <c r="G792" i="15"/>
  <c r="E136" i="12" s="1"/>
  <c r="G787" i="15"/>
  <c r="G786" i="15" s="1"/>
  <c r="G752" i="15"/>
  <c r="G750" i="15"/>
  <c r="G739" i="15"/>
  <c r="G736" i="15"/>
  <c r="G253" i="16"/>
  <c r="G706" i="15"/>
  <c r="F593" i="14"/>
  <c r="F592" i="14" s="1"/>
  <c r="F591" i="14" s="1"/>
  <c r="G646" i="15"/>
  <c r="F554" i="14"/>
  <c r="F553" i="14" s="1"/>
  <c r="F552" i="14" s="1"/>
  <c r="F566" i="14"/>
  <c r="F565" i="14" s="1"/>
  <c r="F564" i="14" s="1"/>
  <c r="G630" i="15"/>
  <c r="F563" i="14" s="1"/>
  <c r="F562" i="14" s="1"/>
  <c r="F561" i="14" s="1"/>
  <c r="F560" i="14"/>
  <c r="F559" i="14" s="1"/>
  <c r="F558" i="14" s="1"/>
  <c r="F557" i="14"/>
  <c r="F556" i="14" s="1"/>
  <c r="F555" i="14" s="1"/>
  <c r="F541" i="14"/>
  <c r="F540" i="14" s="1"/>
  <c r="F539" i="14" s="1"/>
  <c r="F538" i="14" s="1"/>
  <c r="F537" i="14" s="1"/>
  <c r="G598" i="15"/>
  <c r="F524" i="14"/>
  <c r="F523" i="14" s="1"/>
  <c r="F522" i="14" s="1"/>
  <c r="F521" i="14"/>
  <c r="F520" i="14" s="1"/>
  <c r="F519" i="14" s="1"/>
  <c r="F518" i="14" s="1"/>
  <c r="G587" i="15"/>
  <c r="G577" i="15"/>
  <c r="F507" i="14" s="1"/>
  <c r="F488" i="14"/>
  <c r="F487" i="14" s="1"/>
  <c r="F486" i="14" s="1"/>
  <c r="F497" i="14"/>
  <c r="F496" i="14" s="1"/>
  <c r="F495" i="14" s="1"/>
  <c r="G564" i="15"/>
  <c r="F494" i="14" s="1"/>
  <c r="F493" i="14" s="1"/>
  <c r="F492" i="14" s="1"/>
  <c r="F491" i="14"/>
  <c r="F490" i="14" s="1"/>
  <c r="F489" i="14" s="1"/>
  <c r="G527" i="15"/>
  <c r="G499" i="15"/>
  <c r="G497" i="15"/>
  <c r="G500" i="16"/>
  <c r="G497" i="16"/>
  <c r="F823" i="14"/>
  <c r="F822" i="14" s="1"/>
  <c r="F821" i="14" s="1"/>
  <c r="F820" i="14" s="1"/>
  <c r="F819" i="14" s="1"/>
  <c r="F818" i="14" s="1"/>
  <c r="G433" i="15"/>
  <c r="G430" i="15"/>
  <c r="G428" i="15"/>
  <c r="G356" i="15"/>
  <c r="G352" i="15"/>
  <c r="G350" i="15"/>
  <c r="G343" i="15"/>
  <c r="G326" i="15"/>
  <c r="G307" i="15"/>
  <c r="G303" i="15"/>
  <c r="G81" i="16"/>
  <c r="G65" i="15"/>
  <c r="G64" i="15" s="1"/>
  <c r="G272" i="15"/>
  <c r="G230" i="15"/>
  <c r="G229" i="15" s="1"/>
  <c r="E109" i="12"/>
  <c r="G190" i="15"/>
  <c r="G187" i="15"/>
  <c r="G181" i="15"/>
  <c r="G178" i="15"/>
  <c r="G154" i="15"/>
  <c r="G109" i="15"/>
  <c r="G392" i="16" s="1"/>
  <c r="G99" i="15"/>
  <c r="G377" i="16" s="1"/>
  <c r="G97" i="15"/>
  <c r="G374" i="16" s="1"/>
  <c r="G81" i="15"/>
  <c r="G450" i="5" l="1"/>
  <c r="I451" i="5"/>
  <c r="F910" i="3"/>
  <c r="H910" i="3" s="1"/>
  <c r="H911" i="3"/>
  <c r="E120" i="12"/>
  <c r="E121" i="12"/>
  <c r="F531" i="14"/>
  <c r="F530" i="14" s="1"/>
  <c r="F529" i="14" s="1"/>
  <c r="F525" i="14" s="1"/>
  <c r="E101" i="12"/>
  <c r="F548" i="14"/>
  <c r="F485" i="14"/>
  <c r="G496" i="16"/>
  <c r="G498" i="16"/>
  <c r="G373" i="16"/>
  <c r="G375" i="16"/>
  <c r="G264" i="16"/>
  <c r="F514" i="14"/>
  <c r="F513" i="14" s="1"/>
  <c r="F512" i="14" s="1"/>
  <c r="G268" i="16"/>
  <c r="F517" i="14"/>
  <c r="F516" i="14" s="1"/>
  <c r="F515" i="14" s="1"/>
  <c r="G228" i="16"/>
  <c r="F506" i="14"/>
  <c r="F505" i="14" s="1"/>
  <c r="F498" i="14" s="1"/>
  <c r="G246" i="16"/>
  <c r="F579" i="14"/>
  <c r="F578" i="14" s="1"/>
  <c r="F577" i="14" s="1"/>
  <c r="G254" i="16"/>
  <c r="G252" i="16"/>
  <c r="G251" i="16" s="1"/>
  <c r="G501" i="16"/>
  <c r="G499" i="16"/>
  <c r="G656" i="15"/>
  <c r="G655" i="15" s="1"/>
  <c r="G654" i="15" s="1"/>
  <c r="F589" i="14"/>
  <c r="F588" i="14" s="1"/>
  <c r="F587" i="14" s="1"/>
  <c r="G376" i="16"/>
  <c r="G378" i="16"/>
  <c r="G393" i="16"/>
  <c r="G391" i="16"/>
  <c r="G390" i="16" s="1"/>
  <c r="G389" i="16" s="1"/>
  <c r="G388" i="16" s="1"/>
  <c r="G387" i="16" s="1"/>
  <c r="G23" i="5"/>
  <c r="I23" i="5" s="1"/>
  <c r="F268" i="3"/>
  <c r="G856" i="4"/>
  <c r="I856" i="4" s="1"/>
  <c r="G449" i="5" l="1"/>
  <c r="I450" i="5"/>
  <c r="F267" i="3"/>
  <c r="H267" i="3" s="1"/>
  <c r="H268" i="3"/>
  <c r="G250" i="16"/>
  <c r="G249" i="16" s="1"/>
  <c r="G248" i="16" s="1"/>
  <c r="G245" i="16"/>
  <c r="G244" i="16" s="1"/>
  <c r="G247" i="16"/>
  <c r="G269" i="16"/>
  <c r="G267" i="16"/>
  <c r="G266" i="16" s="1"/>
  <c r="G227" i="16"/>
  <c r="G226" i="16" s="1"/>
  <c r="G229" i="16"/>
  <c r="F508" i="14"/>
  <c r="F480" i="14" s="1"/>
  <c r="F479" i="14" s="1"/>
  <c r="G372" i="16"/>
  <c r="G371" i="16" s="1"/>
  <c r="G263" i="16"/>
  <c r="G262" i="16" s="1"/>
  <c r="G265" i="16"/>
  <c r="G492" i="16"/>
  <c r="G491" i="16" s="1"/>
  <c r="G490" i="16" s="1"/>
  <c r="G22" i="5"/>
  <c r="I22" i="5" s="1"/>
  <c r="G24" i="5"/>
  <c r="I24" i="5" s="1"/>
  <c r="G58" i="4"/>
  <c r="I58" i="4" s="1"/>
  <c r="G88" i="4"/>
  <c r="I88" i="4" s="1"/>
  <c r="G455" i="5" l="1"/>
  <c r="I455" i="5" s="1"/>
  <c r="I449" i="5"/>
  <c r="G365" i="16"/>
  <c r="G364" i="16" s="1"/>
  <c r="G356" i="16" s="1"/>
  <c r="G553" i="4"/>
  <c r="I553" i="4" s="1"/>
  <c r="G699" i="4"/>
  <c r="I699" i="4" s="1"/>
  <c r="G315" i="4"/>
  <c r="I315" i="4" s="1"/>
  <c r="F957" i="14" l="1"/>
  <c r="F956" i="14" s="1"/>
  <c r="G905" i="14"/>
  <c r="G904" i="14"/>
  <c r="G903" i="14"/>
  <c r="G895" i="14"/>
  <c r="G894" i="14"/>
  <c r="G893" i="14"/>
  <c r="G865" i="14"/>
  <c r="G864" i="14" s="1"/>
  <c r="G863" i="14" s="1"/>
  <c r="F865" i="14"/>
  <c r="F864" i="14" s="1"/>
  <c r="F863" i="14" s="1"/>
  <c r="G802" i="14"/>
  <c r="G801" i="14"/>
  <c r="G780" i="14"/>
  <c r="G779" i="14" s="1"/>
  <c r="G778" i="14" s="1"/>
  <c r="F780" i="14"/>
  <c r="F779" i="14" s="1"/>
  <c r="F778" i="14" s="1"/>
  <c r="G755" i="14"/>
  <c r="G754" i="14"/>
  <c r="G413" i="14"/>
  <c r="G412" i="14"/>
  <c r="G411" i="14"/>
  <c r="F290" i="14"/>
  <c r="F289" i="14" s="1"/>
  <c r="F288" i="14"/>
  <c r="F287" i="14" s="1"/>
  <c r="G222" i="14"/>
  <c r="G221" i="14" s="1"/>
  <c r="G220" i="14" s="1"/>
  <c r="F222" i="14"/>
  <c r="F217" i="14"/>
  <c r="H922" i="15"/>
  <c r="H921" i="15" s="1"/>
  <c r="H870" i="15"/>
  <c r="H867" i="15" s="1"/>
  <c r="G870" i="15"/>
  <c r="G867" i="15" s="1"/>
  <c r="G727" i="15"/>
  <c r="G726" i="15" s="1"/>
  <c r="H594" i="15"/>
  <c r="H593" i="15" s="1"/>
  <c r="G594" i="15"/>
  <c r="G593" i="15" s="1"/>
  <c r="G494" i="15"/>
  <c r="G473" i="15"/>
  <c r="G451" i="15"/>
  <c r="G395" i="15"/>
  <c r="H149" i="15"/>
  <c r="H148" i="15" s="1"/>
  <c r="H147" i="15" s="1"/>
  <c r="G149" i="15"/>
  <c r="G148" i="15" s="1"/>
  <c r="G147" i="15" s="1"/>
  <c r="G72" i="15"/>
  <c r="G71" i="15" s="1"/>
  <c r="G29" i="15"/>
  <c r="F286" i="14" l="1"/>
  <c r="C12" i="1" l="1"/>
  <c r="C11" i="1" l="1"/>
  <c r="E11" i="1" s="1"/>
  <c r="E12" i="1"/>
  <c r="G71" i="14"/>
  <c r="G70" i="14" s="1"/>
  <c r="F71" i="14"/>
  <c r="F70" i="14" s="1"/>
  <c r="G777" i="14"/>
  <c r="H588" i="16"/>
  <c r="H587" i="16" s="1"/>
  <c r="H586" i="16" s="1"/>
  <c r="H585" i="16" s="1"/>
  <c r="H584" i="16" s="1"/>
  <c r="H583" i="16" s="1"/>
  <c r="H589" i="16" s="1"/>
  <c r="G588" i="16"/>
  <c r="G587" i="16" s="1"/>
  <c r="G586" i="16" s="1"/>
  <c r="G585" i="16" s="1"/>
  <c r="G584" i="16" s="1"/>
  <c r="G583" i="16" s="1"/>
  <c r="G589" i="16" s="1"/>
  <c r="H395" i="15"/>
  <c r="H394" i="15" s="1"/>
  <c r="H393" i="15" s="1"/>
  <c r="G394" i="15"/>
  <c r="G393" i="15" s="1"/>
  <c r="G66" i="14"/>
  <c r="G65" i="14" s="1"/>
  <c r="G64" i="14" s="1"/>
  <c r="F66" i="14"/>
  <c r="F65" i="14" s="1"/>
  <c r="F64" i="14" s="1"/>
  <c r="F777" i="14" l="1"/>
  <c r="H317" i="16"/>
  <c r="H316" i="16" s="1"/>
  <c r="H315" i="16" s="1"/>
  <c r="G317" i="16"/>
  <c r="G316" i="16" s="1"/>
  <c r="G315" i="16" s="1"/>
  <c r="H232" i="15"/>
  <c r="H231" i="15" s="1"/>
  <c r="G232" i="15"/>
  <c r="G231" i="15" s="1"/>
  <c r="H318" i="16" l="1"/>
  <c r="G318" i="16"/>
  <c r="G505" i="15"/>
  <c r="H72" i="15"/>
  <c r="H71" i="15" s="1"/>
  <c r="G587" i="5"/>
  <c r="G339" i="5"/>
  <c r="G318" i="5"/>
  <c r="G317" i="5" l="1"/>
  <c r="I318" i="5"/>
  <c r="G338" i="5"/>
  <c r="I339" i="5"/>
  <c r="G586" i="5"/>
  <c r="I586" i="5" s="1"/>
  <c r="I587" i="5"/>
  <c r="G597" i="15"/>
  <c r="G596" i="15" s="1"/>
  <c r="G592" i="15" s="1"/>
  <c r="F84" i="14"/>
  <c r="F83" i="14" s="1"/>
  <c r="F82" i="14" s="1"/>
  <c r="G585" i="5"/>
  <c r="G531" i="14"/>
  <c r="G530" i="14" s="1"/>
  <c r="G529" i="14" s="1"/>
  <c r="G525" i="14" s="1"/>
  <c r="G321" i="16"/>
  <c r="G320" i="16" s="1"/>
  <c r="G319" i="16" s="1"/>
  <c r="G314" i="16" s="1"/>
  <c r="G313" i="16" s="1"/>
  <c r="G312" i="16" s="1"/>
  <c r="G504" i="15"/>
  <c r="G503" i="15" s="1"/>
  <c r="F597" i="3"/>
  <c r="F517" i="3"/>
  <c r="F867" i="3"/>
  <c r="F67" i="3"/>
  <c r="F85" i="3"/>
  <c r="G583" i="5" l="1"/>
  <c r="G589" i="5" s="1"/>
  <c r="I589" i="5" s="1"/>
  <c r="G584" i="5"/>
  <c r="I584" i="5" s="1"/>
  <c r="I585" i="5"/>
  <c r="G337" i="5"/>
  <c r="I338" i="5"/>
  <c r="G316" i="5"/>
  <c r="I317" i="5"/>
  <c r="F516" i="3"/>
  <c r="H517" i="3"/>
  <c r="F866" i="3"/>
  <c r="H866" i="3" s="1"/>
  <c r="H867" i="3"/>
  <c r="F84" i="3"/>
  <c r="H85" i="3"/>
  <c r="F596" i="3"/>
  <c r="H597" i="3"/>
  <c r="F66" i="3"/>
  <c r="H67" i="3"/>
  <c r="F865" i="3"/>
  <c r="H58" i="15"/>
  <c r="G58" i="15"/>
  <c r="H505" i="15"/>
  <c r="H504" i="15" s="1"/>
  <c r="H503" i="15" s="1"/>
  <c r="G84" i="14"/>
  <c r="G83" i="14" s="1"/>
  <c r="G82" i="14" s="1"/>
  <c r="H597" i="15"/>
  <c r="H596" i="15" s="1"/>
  <c r="H592" i="15" s="1"/>
  <c r="H321" i="16"/>
  <c r="H320" i="16" s="1"/>
  <c r="H319" i="16" s="1"/>
  <c r="H314" i="16" s="1"/>
  <c r="H313" i="16" s="1"/>
  <c r="H312" i="16" s="1"/>
  <c r="G322" i="16"/>
  <c r="G72" i="4"/>
  <c r="G665" i="4"/>
  <c r="G527" i="4"/>
  <c r="G497" i="4"/>
  <c r="G583" i="4"/>
  <c r="I583" i="4" s="1"/>
  <c r="G586" i="4"/>
  <c r="D137" i="12"/>
  <c r="C137" i="12"/>
  <c r="D94" i="12"/>
  <c r="C94" i="12"/>
  <c r="C86" i="12"/>
  <c r="C82" i="12"/>
  <c r="C93" i="1"/>
  <c r="E93" i="1" s="1"/>
  <c r="I583" i="5" l="1"/>
  <c r="G496" i="4"/>
  <c r="I497" i="4"/>
  <c r="G526" i="4"/>
  <c r="I527" i="4"/>
  <c r="G585" i="4"/>
  <c r="I585" i="4" s="1"/>
  <c r="I586" i="4"/>
  <c r="G664" i="4"/>
  <c r="I664" i="4" s="1"/>
  <c r="I665" i="4"/>
  <c r="G71" i="4"/>
  <c r="I71" i="4" s="1"/>
  <c r="I72" i="4"/>
  <c r="G315" i="5"/>
  <c r="I316" i="5"/>
  <c r="I337" i="5"/>
  <c r="G336" i="5"/>
  <c r="F864" i="3"/>
  <c r="H865" i="3"/>
  <c r="F595" i="3"/>
  <c r="H596" i="3"/>
  <c r="F65" i="3"/>
  <c r="H65" i="3" s="1"/>
  <c r="H66" i="3"/>
  <c r="F83" i="3"/>
  <c r="H83" i="3" s="1"/>
  <c r="H84" i="3"/>
  <c r="F515" i="3"/>
  <c r="H515" i="3" s="1"/>
  <c r="H516" i="3"/>
  <c r="C86" i="1"/>
  <c r="E86" i="1" s="1"/>
  <c r="G334" i="16"/>
  <c r="G333" i="16" s="1"/>
  <c r="G332" i="16" s="1"/>
  <c r="G331" i="16" s="1"/>
  <c r="G330" i="16" s="1"/>
  <c r="G336" i="16" s="1"/>
  <c r="G582" i="4"/>
  <c r="H322" i="16"/>
  <c r="G781" i="4"/>
  <c r="I781" i="4" s="1"/>
  <c r="H77" i="15"/>
  <c r="G77" i="15"/>
  <c r="I792" i="15"/>
  <c r="G663" i="4" l="1"/>
  <c r="I663" i="4" s="1"/>
  <c r="G581" i="4"/>
  <c r="I581" i="4" s="1"/>
  <c r="I582" i="4"/>
  <c r="G525" i="4"/>
  <c r="I526" i="4"/>
  <c r="G495" i="4"/>
  <c r="I495" i="4" s="1"/>
  <c r="I496" i="4"/>
  <c r="G335" i="5"/>
  <c r="I336" i="5"/>
  <c r="I315" i="5"/>
  <c r="G314" i="5"/>
  <c r="F594" i="3"/>
  <c r="H594" i="3" s="1"/>
  <c r="H595" i="3"/>
  <c r="D46" i="2"/>
  <c r="F46" i="2" s="1"/>
  <c r="H864" i="3"/>
  <c r="G623" i="15"/>
  <c r="G622" i="15" s="1"/>
  <c r="G996" i="15"/>
  <c r="G995" i="15" s="1"/>
  <c r="F437" i="14"/>
  <c r="F436" i="14" s="1"/>
  <c r="F435" i="14" s="1"/>
  <c r="G238" i="15"/>
  <c r="F877" i="14"/>
  <c r="F876" i="14" s="1"/>
  <c r="C82" i="1"/>
  <c r="C81" i="1" l="1"/>
  <c r="E81" i="1" s="1"/>
  <c r="E82" i="1"/>
  <c r="G524" i="4"/>
  <c r="I525" i="4"/>
  <c r="I314" i="5"/>
  <c r="G313" i="5"/>
  <c r="I313" i="5" s="1"/>
  <c r="G319" i="5"/>
  <c r="I319" i="5" s="1"/>
  <c r="G334" i="5"/>
  <c r="I335" i="5"/>
  <c r="G1122" i="4"/>
  <c r="G828" i="5"/>
  <c r="I828" i="5" s="1"/>
  <c r="F957" i="3"/>
  <c r="H957" i="3" s="1"/>
  <c r="F960" i="3"/>
  <c r="H960" i="3" s="1"/>
  <c r="F965" i="3"/>
  <c r="H965" i="3" s="1"/>
  <c r="H474" i="15"/>
  <c r="H494" i="16" s="1"/>
  <c r="G478" i="4"/>
  <c r="G473" i="4"/>
  <c r="G469" i="4"/>
  <c r="I469" i="4" s="1"/>
  <c r="G465" i="4"/>
  <c r="I465" i="4" s="1"/>
  <c r="G472" i="4" l="1"/>
  <c r="I473" i="4"/>
  <c r="G477" i="4"/>
  <c r="I477" i="4" s="1"/>
  <c r="I478" i="4"/>
  <c r="G523" i="4"/>
  <c r="I523" i="4" s="1"/>
  <c r="I524" i="4"/>
  <c r="G340" i="5"/>
  <c r="I340" i="5" s="1"/>
  <c r="I334" i="5"/>
  <c r="H495" i="16"/>
  <c r="H493" i="16"/>
  <c r="G467" i="4"/>
  <c r="G497" i="5"/>
  <c r="I497" i="5" s="1"/>
  <c r="G957" i="14"/>
  <c r="G956" i="14" s="1"/>
  <c r="H473" i="15"/>
  <c r="G844" i="16"/>
  <c r="F969" i="14"/>
  <c r="F968" i="14" s="1"/>
  <c r="F967" i="14" s="1"/>
  <c r="H478" i="15"/>
  <c r="H500" i="16" s="1"/>
  <c r="F961" i="14"/>
  <c r="F960" i="14" s="1"/>
  <c r="G477" i="15"/>
  <c r="H482" i="15"/>
  <c r="H542" i="16" s="1"/>
  <c r="F964" i="14"/>
  <c r="F963" i="14" s="1"/>
  <c r="F962" i="14" s="1"/>
  <c r="F955" i="3"/>
  <c r="H955" i="3" s="1"/>
  <c r="F953" i="3"/>
  <c r="H953" i="3" s="1"/>
  <c r="G481" i="15"/>
  <c r="G480" i="15" s="1"/>
  <c r="G479" i="15" s="1"/>
  <c r="G486" i="15"/>
  <c r="G485" i="15" s="1"/>
  <c r="G484" i="15" s="1"/>
  <c r="G969" i="14"/>
  <c r="G968" i="14" s="1"/>
  <c r="G967" i="14" s="1"/>
  <c r="G475" i="4"/>
  <c r="I475" i="4" s="1"/>
  <c r="G476" i="4"/>
  <c r="I476" i="4" s="1"/>
  <c r="G464" i="4" l="1"/>
  <c r="I467" i="4"/>
  <c r="G471" i="4"/>
  <c r="I471" i="4" s="1"/>
  <c r="I472" i="4"/>
  <c r="H541" i="16"/>
  <c r="H540" i="16" s="1"/>
  <c r="H539" i="16" s="1"/>
  <c r="H538" i="16" s="1"/>
  <c r="H543" i="16"/>
  <c r="H501" i="16"/>
  <c r="H499" i="16"/>
  <c r="G496" i="5"/>
  <c r="G498" i="5"/>
  <c r="I498" i="5" s="1"/>
  <c r="G18" i="15"/>
  <c r="F122" i="14"/>
  <c r="F121" i="14" s="1"/>
  <c r="H476" i="15"/>
  <c r="H497" i="16" s="1"/>
  <c r="F959" i="14"/>
  <c r="F958" i="14" s="1"/>
  <c r="G475" i="15"/>
  <c r="G472" i="15" s="1"/>
  <c r="G471" i="15" s="1"/>
  <c r="G470" i="15" s="1"/>
  <c r="G961" i="14"/>
  <c r="G960" i="14" s="1"/>
  <c r="H477" i="15"/>
  <c r="H481" i="15"/>
  <c r="H480" i="15" s="1"/>
  <c r="H479" i="15" s="1"/>
  <c r="G964" i="14"/>
  <c r="G963" i="14" s="1"/>
  <c r="G962" i="14" s="1"/>
  <c r="G483" i="15"/>
  <c r="H844" i="16"/>
  <c r="H486" i="15"/>
  <c r="H485" i="15" s="1"/>
  <c r="G463" i="4" l="1"/>
  <c r="I464" i="4"/>
  <c r="G492" i="5"/>
  <c r="I496" i="5"/>
  <c r="H496" i="16"/>
  <c r="H492" i="16" s="1"/>
  <c r="H491" i="16" s="1"/>
  <c r="H490" i="16" s="1"/>
  <c r="H498" i="16"/>
  <c r="G959" i="14"/>
  <c r="G958" i="14" s="1"/>
  <c r="H475" i="15"/>
  <c r="H472" i="15" s="1"/>
  <c r="H471" i="15" s="1"/>
  <c r="H470" i="15" s="1"/>
  <c r="G469" i="15"/>
  <c r="G468" i="15" s="1"/>
  <c r="G1125" i="15" s="1"/>
  <c r="H484" i="15"/>
  <c r="H483" i="15"/>
  <c r="G133" i="14"/>
  <c r="G132" i="14" s="1"/>
  <c r="G135" i="14"/>
  <c r="G134" i="14" s="1"/>
  <c r="F135" i="14"/>
  <c r="F134" i="14" s="1"/>
  <c r="F133" i="14"/>
  <c r="F132" i="14" s="1"/>
  <c r="F131" i="3"/>
  <c r="F133" i="3"/>
  <c r="H128" i="15"/>
  <c r="H126" i="15"/>
  <c r="G128" i="15"/>
  <c r="G126" i="15"/>
  <c r="G123" i="4"/>
  <c r="I123" i="4" s="1"/>
  <c r="G125" i="4"/>
  <c r="I125" i="4" s="1"/>
  <c r="G462" i="4" l="1"/>
  <c r="I463" i="4"/>
  <c r="G491" i="5"/>
  <c r="I492" i="5"/>
  <c r="F130" i="3"/>
  <c r="H130" i="3" s="1"/>
  <c r="H131" i="3"/>
  <c r="F132" i="3"/>
  <c r="H132" i="3" s="1"/>
  <c r="H133" i="3"/>
  <c r="H469" i="15"/>
  <c r="H468" i="15" s="1"/>
  <c r="H1125" i="15" s="1"/>
  <c r="G122" i="4"/>
  <c r="G125" i="15"/>
  <c r="G124" i="15" s="1"/>
  <c r="G123" i="15" s="1"/>
  <c r="G122" i="15" s="1"/>
  <c r="G131" i="14"/>
  <c r="G130" i="14" s="1"/>
  <c r="G129" i="14" s="1"/>
  <c r="G128" i="14" s="1"/>
  <c r="E16" i="13" s="1"/>
  <c r="F131" i="14"/>
  <c r="F130" i="14" s="1"/>
  <c r="F129" i="14" s="1"/>
  <c r="F128" i="14" s="1"/>
  <c r="D16" i="13" s="1"/>
  <c r="H125" i="15"/>
  <c r="H124" i="15" s="1"/>
  <c r="H123" i="15" s="1"/>
  <c r="H122" i="15" s="1"/>
  <c r="G392" i="14"/>
  <c r="G391" i="14" s="1"/>
  <c r="G390" i="14" s="1"/>
  <c r="G389" i="14" s="1"/>
  <c r="G388" i="14" s="1"/>
  <c r="F392" i="14"/>
  <c r="F391" i="14" s="1"/>
  <c r="F390" i="14" s="1"/>
  <c r="F389" i="14" s="1"/>
  <c r="F388" i="14" s="1"/>
  <c r="F383" i="3"/>
  <c r="H892" i="16"/>
  <c r="H891" i="16" s="1"/>
  <c r="H890" i="16" s="1"/>
  <c r="H889" i="16" s="1"/>
  <c r="H888" i="16" s="1"/>
  <c r="H887" i="16" s="1"/>
  <c r="H886" i="16" s="1"/>
  <c r="H885" i="16" s="1"/>
  <c r="G892" i="16"/>
  <c r="G891" i="16" s="1"/>
  <c r="G890" i="16" s="1"/>
  <c r="G889" i="16" s="1"/>
  <c r="G888" i="16" s="1"/>
  <c r="G887" i="16" s="1"/>
  <c r="G886" i="16" s="1"/>
  <c r="G885" i="16" s="1"/>
  <c r="G876" i="5"/>
  <c r="H951" i="15"/>
  <c r="H950" i="15" s="1"/>
  <c r="H949" i="15" s="1"/>
  <c r="H948" i="15" s="1"/>
  <c r="H1150" i="15" s="1"/>
  <c r="G951" i="15"/>
  <c r="G950" i="15" s="1"/>
  <c r="G949" i="15" s="1"/>
  <c r="G948" i="15" s="1"/>
  <c r="G1150" i="15" s="1"/>
  <c r="G940" i="4"/>
  <c r="H451" i="15"/>
  <c r="H450" i="15" s="1"/>
  <c r="G450" i="15"/>
  <c r="I462" i="4" l="1"/>
  <c r="G461" i="4"/>
  <c r="G939" i="4"/>
  <c r="I940" i="4"/>
  <c r="G121" i="4"/>
  <c r="I122" i="4"/>
  <c r="G875" i="5"/>
  <c r="I876" i="5"/>
  <c r="F129" i="3"/>
  <c r="F128" i="3" s="1"/>
  <c r="G490" i="5"/>
  <c r="I490" i="5" s="1"/>
  <c r="I491" i="5"/>
  <c r="F382" i="3"/>
  <c r="H383" i="3"/>
  <c r="G507" i="4"/>
  <c r="I507" i="4" s="1"/>
  <c r="H129" i="3" l="1"/>
  <c r="G938" i="4"/>
  <c r="I939" i="4"/>
  <c r="G460" i="4"/>
  <c r="I461" i="4"/>
  <c r="G120" i="4"/>
  <c r="I121" i="4"/>
  <c r="G874" i="5"/>
  <c r="I875" i="5"/>
  <c r="F127" i="3"/>
  <c r="H128" i="3"/>
  <c r="F381" i="3"/>
  <c r="H382" i="3"/>
  <c r="G158" i="14"/>
  <c r="G157" i="14" s="1"/>
  <c r="G156" i="14" s="1"/>
  <c r="F158" i="14"/>
  <c r="F157" i="14" s="1"/>
  <c r="F156" i="14" s="1"/>
  <c r="H29" i="15"/>
  <c r="H28" i="15" s="1"/>
  <c r="H27" i="15" s="1"/>
  <c r="H26" i="15" s="1"/>
  <c r="H25" i="15" s="1"/>
  <c r="G28" i="15"/>
  <c r="G27" i="15" s="1"/>
  <c r="G26" i="15" s="1"/>
  <c r="G25" i="15" s="1"/>
  <c r="G1098" i="4" l="1"/>
  <c r="I460" i="4"/>
  <c r="G119" i="4"/>
  <c r="I119" i="4" s="1"/>
  <c r="I120" i="4"/>
  <c r="G937" i="4"/>
  <c r="I937" i="4" s="1"/>
  <c r="I938" i="4"/>
  <c r="G873" i="5"/>
  <c r="I874" i="5"/>
  <c r="F380" i="3"/>
  <c r="H381" i="3"/>
  <c r="F126" i="3"/>
  <c r="H127" i="3"/>
  <c r="D37" i="12"/>
  <c r="D35" i="12"/>
  <c r="C37" i="12"/>
  <c r="C35" i="12"/>
  <c r="C40" i="1"/>
  <c r="E40" i="1" s="1"/>
  <c r="C38" i="1"/>
  <c r="E38" i="1" s="1"/>
  <c r="D29" i="12"/>
  <c r="C29" i="12"/>
  <c r="C32" i="1"/>
  <c r="E32" i="1" s="1"/>
  <c r="C27" i="1"/>
  <c r="E27" i="1" s="1"/>
  <c r="G872" i="5" l="1"/>
  <c r="I873" i="5"/>
  <c r="D17" i="2"/>
  <c r="F17" i="2" s="1"/>
  <c r="H126" i="3"/>
  <c r="F379" i="3"/>
  <c r="H379" i="3" s="1"/>
  <c r="H380" i="3"/>
  <c r="C34" i="12"/>
  <c r="C37" i="1"/>
  <c r="E37" i="1" s="1"/>
  <c r="D34" i="12"/>
  <c r="K34" i="12" s="1"/>
  <c r="F280" i="14"/>
  <c r="F279" i="14" s="1"/>
  <c r="F276" i="14" s="1"/>
  <c r="C68" i="1"/>
  <c r="E68" i="1" s="1"/>
  <c r="C70" i="1"/>
  <c r="C72" i="1"/>
  <c r="E72" i="1" s="1"/>
  <c r="D65" i="12"/>
  <c r="D67" i="12"/>
  <c r="C67" i="12"/>
  <c r="D69" i="12"/>
  <c r="C69" i="12"/>
  <c r="C65" i="12"/>
  <c r="G209" i="15"/>
  <c r="C148" i="12"/>
  <c r="D148" i="12" s="1"/>
  <c r="C147" i="12"/>
  <c r="D147" i="12" s="1"/>
  <c r="G871" i="5" l="1"/>
  <c r="I872" i="5"/>
  <c r="D64" i="12"/>
  <c r="D63" i="12" s="1"/>
  <c r="C64" i="12"/>
  <c r="C63" i="12" s="1"/>
  <c r="C67" i="1"/>
  <c r="C66" i="1" l="1"/>
  <c r="E66" i="1" s="1"/>
  <c r="E67" i="1"/>
  <c r="G870" i="5"/>
  <c r="I871" i="5"/>
  <c r="E19" i="13"/>
  <c r="E18" i="13"/>
  <c r="D17" i="12"/>
  <c r="D16" i="12" s="1"/>
  <c r="K16" i="12" s="1"/>
  <c r="D56" i="12"/>
  <c r="D151" i="12"/>
  <c r="D150" i="12" s="1"/>
  <c r="D149" i="12" s="1"/>
  <c r="C151" i="12"/>
  <c r="C150" i="12" s="1"/>
  <c r="C149" i="12" s="1"/>
  <c r="D139" i="12"/>
  <c r="C139" i="12"/>
  <c r="D96" i="12"/>
  <c r="C96" i="12"/>
  <c r="D92" i="12"/>
  <c r="C92" i="12"/>
  <c r="D90" i="12"/>
  <c r="C90" i="12"/>
  <c r="D72" i="12"/>
  <c r="D71" i="12" s="1"/>
  <c r="C72" i="12"/>
  <c r="C71" i="12" s="1"/>
  <c r="D61" i="12"/>
  <c r="C61" i="12"/>
  <c r="D59" i="12"/>
  <c r="C59" i="12"/>
  <c r="C56" i="12"/>
  <c r="C55" i="12"/>
  <c r="D48" i="12"/>
  <c r="K48" i="12" s="1"/>
  <c r="C48" i="12"/>
  <c r="I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I16" i="12" s="1"/>
  <c r="D11" i="12"/>
  <c r="D10" i="12" s="1"/>
  <c r="C11" i="12"/>
  <c r="C10" i="12" s="1"/>
  <c r="H42" i="17"/>
  <c r="H41" i="17" s="1"/>
  <c r="H40" i="17" s="1"/>
  <c r="H39" i="17" s="1"/>
  <c r="H883" i="16"/>
  <c r="H882" i="16" s="1"/>
  <c r="H881" i="16" s="1"/>
  <c r="H880" i="16" s="1"/>
  <c r="H879" i="16" s="1"/>
  <c r="H877" i="16" s="1"/>
  <c r="H875" i="16"/>
  <c r="H874" i="16" s="1"/>
  <c r="H873" i="16" s="1"/>
  <c r="H872" i="16" s="1"/>
  <c r="H871" i="16" s="1"/>
  <c r="H801" i="16"/>
  <c r="H800" i="16" s="1"/>
  <c r="H799" i="16" s="1"/>
  <c r="H778" i="16"/>
  <c r="H776" i="16"/>
  <c r="H775" i="16" s="1"/>
  <c r="H717" i="16"/>
  <c r="H718" i="16" s="1"/>
  <c r="H643" i="16"/>
  <c r="H641" i="16"/>
  <c r="H640" i="16" s="1"/>
  <c r="H639" i="16" s="1"/>
  <c r="H638" i="16" s="1"/>
  <c r="H631" i="16"/>
  <c r="H632" i="16" s="1"/>
  <c r="H609" i="16"/>
  <c r="H610" i="16" s="1"/>
  <c r="G883" i="16"/>
  <c r="G882" i="16" s="1"/>
  <c r="G881" i="16" s="1"/>
  <c r="G880" i="16" s="1"/>
  <c r="G879" i="16" s="1"/>
  <c r="G875" i="16"/>
  <c r="G874" i="16" s="1"/>
  <c r="G873" i="16" s="1"/>
  <c r="G872" i="16" s="1"/>
  <c r="G871" i="16" s="1"/>
  <c r="G801" i="16"/>
  <c r="G800" i="16" s="1"/>
  <c r="G799" i="16" s="1"/>
  <c r="G776" i="16"/>
  <c r="G775" i="16" s="1"/>
  <c r="G717" i="16"/>
  <c r="G718" i="16" s="1"/>
  <c r="G631" i="16"/>
  <c r="G632" i="16" s="1"/>
  <c r="G609" i="16"/>
  <c r="G610" i="16" s="1"/>
  <c r="G26" i="16"/>
  <c r="G821" i="16"/>
  <c r="G820" i="16" s="1"/>
  <c r="G643" i="16"/>
  <c r="G641" i="16"/>
  <c r="G640" i="16" s="1"/>
  <c r="G639" i="16" s="1"/>
  <c r="G638" i="16" s="1"/>
  <c r="G869" i="5" l="1"/>
  <c r="I869" i="5" s="1"/>
  <c r="I870" i="5"/>
  <c r="C81" i="12"/>
  <c r="D81" i="12"/>
  <c r="D58" i="12"/>
  <c r="D55" i="12"/>
  <c r="H716" i="16"/>
  <c r="H715" i="16" s="1"/>
  <c r="H714" i="16" s="1"/>
  <c r="H713" i="16" s="1"/>
  <c r="H712" i="16" s="1"/>
  <c r="G24" i="16"/>
  <c r="D43" i="12"/>
  <c r="D42" i="12" s="1"/>
  <c r="K42" i="12" s="1"/>
  <c r="C43" i="12"/>
  <c r="C42" i="12" s="1"/>
  <c r="I42" i="12" s="1"/>
  <c r="H869" i="16"/>
  <c r="H876" i="16" s="1"/>
  <c r="H870" i="16"/>
  <c r="G716" i="16"/>
  <c r="G715" i="16" s="1"/>
  <c r="G714" i="16" s="1"/>
  <c r="G713" i="16" s="1"/>
  <c r="G712" i="16" s="1"/>
  <c r="H630" i="16"/>
  <c r="H629" i="16" s="1"/>
  <c r="H628" i="16" s="1"/>
  <c r="H627" i="16" s="1"/>
  <c r="H802" i="16"/>
  <c r="H608" i="16"/>
  <c r="H607" i="16" s="1"/>
  <c r="H606" i="16" s="1"/>
  <c r="H605" i="16" s="1"/>
  <c r="C58" i="12"/>
  <c r="D77" i="12"/>
  <c r="D76" i="12" s="1"/>
  <c r="C77" i="12"/>
  <c r="C76" i="12" s="1"/>
  <c r="D26" i="12"/>
  <c r="D25" i="12" s="1"/>
  <c r="D23" i="12"/>
  <c r="C26" i="12"/>
  <c r="C25" i="12" s="1"/>
  <c r="C23" i="12"/>
  <c r="D31" i="12"/>
  <c r="H878" i="16"/>
  <c r="H884" i="16"/>
  <c r="G608" i="16"/>
  <c r="G607" i="16" s="1"/>
  <c r="G606" i="16" s="1"/>
  <c r="G605" i="16" s="1"/>
  <c r="G869" i="16"/>
  <c r="G876" i="16" s="1"/>
  <c r="G870" i="16"/>
  <c r="G877" i="16"/>
  <c r="G878" i="16"/>
  <c r="G630" i="16"/>
  <c r="G629" i="16" s="1"/>
  <c r="G628" i="16" s="1"/>
  <c r="G627" i="16" s="1"/>
  <c r="G778" i="16"/>
  <c r="G802" i="16"/>
  <c r="F221" i="14"/>
  <c r="F220" i="14" s="1"/>
  <c r="F219" i="14" s="1"/>
  <c r="F218" i="14" s="1"/>
  <c r="F275" i="14"/>
  <c r="H402" i="15"/>
  <c r="G402" i="15"/>
  <c r="F298" i="3"/>
  <c r="G299" i="4"/>
  <c r="I299" i="4" s="1"/>
  <c r="G491" i="4"/>
  <c r="I491" i="4" s="1"/>
  <c r="G519" i="4"/>
  <c r="I519" i="4" s="1"/>
  <c r="G635" i="4"/>
  <c r="I635" i="4" s="1"/>
  <c r="G742" i="4"/>
  <c r="I742" i="4" s="1"/>
  <c r="G808" i="4"/>
  <c r="I808" i="4" s="1"/>
  <c r="F297" i="3" l="1"/>
  <c r="H298" i="3"/>
  <c r="C98" i="12"/>
  <c r="D98" i="12"/>
  <c r="F308" i="14"/>
  <c r="F307" i="14" s="1"/>
  <c r="F306" i="14" s="1"/>
  <c r="F305" i="14" s="1"/>
  <c r="H291" i="15"/>
  <c r="H290" i="15" s="1"/>
  <c r="H289" i="15" s="1"/>
  <c r="C22" i="12"/>
  <c r="D22" i="12"/>
  <c r="G884" i="16"/>
  <c r="G97" i="5"/>
  <c r="I97" i="5" s="1"/>
  <c r="G291" i="15"/>
  <c r="G290" i="15" s="1"/>
  <c r="G289" i="15" s="1"/>
  <c r="G277" i="4"/>
  <c r="G276" i="4" l="1"/>
  <c r="I276" i="4" s="1"/>
  <c r="I277" i="4"/>
  <c r="F296" i="3"/>
  <c r="H297" i="3"/>
  <c r="D21" i="12"/>
  <c r="D9" i="12" s="1"/>
  <c r="D157" i="12" s="1"/>
  <c r="K22" i="12"/>
  <c r="K10" i="12" s="1"/>
  <c r="C21" i="12"/>
  <c r="E9" i="12" s="1"/>
  <c r="I22" i="12"/>
  <c r="I10" i="12" s="1"/>
  <c r="G275" i="4"/>
  <c r="I275" i="4" s="1"/>
  <c r="G308" i="14"/>
  <c r="G307" i="14" s="1"/>
  <c r="G306" i="14" s="1"/>
  <c r="G305" i="14" s="1"/>
  <c r="C9" i="12"/>
  <c r="G95" i="5"/>
  <c r="G94" i="5" l="1"/>
  <c r="I95" i="5"/>
  <c r="F295" i="3"/>
  <c r="H295" i="3" s="1"/>
  <c r="H296" i="3"/>
  <c r="C157" i="12"/>
  <c r="G1095" i="15" s="1"/>
  <c r="D10" i="13"/>
  <c r="E10" i="12"/>
  <c r="F9" i="12"/>
  <c r="F10" i="12"/>
  <c r="H1095" i="15"/>
  <c r="G96" i="16"/>
  <c r="G94" i="16"/>
  <c r="G93" i="16" s="1"/>
  <c r="G92" i="16" s="1"/>
  <c r="G91" i="16" s="1"/>
  <c r="G90" i="16" s="1"/>
  <c r="G93" i="5" l="1"/>
  <c r="I94" i="5"/>
  <c r="F8" i="14"/>
  <c r="G8" i="14"/>
  <c r="H57" i="15" s="1"/>
  <c r="G789" i="14"/>
  <c r="G788" i="14" s="1"/>
  <c r="G787" i="14" s="1"/>
  <c r="G786" i="14" s="1"/>
  <c r="G785" i="14" s="1"/>
  <c r="F789" i="14"/>
  <c r="F788" i="14" s="1"/>
  <c r="F787" i="14" s="1"/>
  <c r="F786" i="14" s="1"/>
  <c r="F785" i="14" s="1"/>
  <c r="G477" i="14"/>
  <c r="G476" i="14" s="1"/>
  <c r="G475" i="14" s="1"/>
  <c r="G474" i="14" s="1"/>
  <c r="G473" i="14" s="1"/>
  <c r="F477" i="14"/>
  <c r="F476" i="14" s="1"/>
  <c r="F475" i="14" s="1"/>
  <c r="F474" i="14" s="1"/>
  <c r="F473" i="14" s="1"/>
  <c r="F470" i="3"/>
  <c r="I93" i="5" l="1"/>
  <c r="G92" i="5"/>
  <c r="F469" i="3"/>
  <c r="H470" i="3"/>
  <c r="G57" i="15"/>
  <c r="F50" i="14" s="1"/>
  <c r="H1126" i="15"/>
  <c r="G604" i="5"/>
  <c r="H404" i="15"/>
  <c r="H403" i="15" s="1"/>
  <c r="H401" i="15" s="1"/>
  <c r="G404" i="15"/>
  <c r="G403" i="15" s="1"/>
  <c r="G401" i="15" s="1"/>
  <c r="H1036" i="15"/>
  <c r="H1035" i="15" s="1"/>
  <c r="H1034" i="15" s="1"/>
  <c r="H1033" i="15" s="1"/>
  <c r="G1036" i="15"/>
  <c r="G1035" i="15" s="1"/>
  <c r="G1034" i="15" s="1"/>
  <c r="G1033" i="15" s="1"/>
  <c r="G603" i="5" l="1"/>
  <c r="I604" i="5"/>
  <c r="G91" i="5"/>
  <c r="I91" i="5" s="1"/>
  <c r="I92" i="5"/>
  <c r="F468" i="3"/>
  <c r="H469" i="3"/>
  <c r="G1027" i="4"/>
  <c r="G363" i="14"/>
  <c r="G362" i="14" s="1"/>
  <c r="G361" i="14" s="1"/>
  <c r="G360" i="14" s="1"/>
  <c r="F363" i="14"/>
  <c r="F362" i="14" s="1"/>
  <c r="F361" i="14" s="1"/>
  <c r="F360" i="14" s="1"/>
  <c r="G922" i="15"/>
  <c r="G921" i="15" s="1"/>
  <c r="G920" i="15" s="1"/>
  <c r="G217" i="14"/>
  <c r="G216" i="14" s="1"/>
  <c r="G215" i="14" s="1"/>
  <c r="G214" i="14" s="1"/>
  <c r="G213" i="14" s="1"/>
  <c r="F216" i="14"/>
  <c r="F215" i="14" s="1"/>
  <c r="F214" i="14" s="1"/>
  <c r="F213" i="14" s="1"/>
  <c r="H158" i="15"/>
  <c r="H157" i="15" s="1"/>
  <c r="H156" i="15" s="1"/>
  <c r="H155" i="15" s="1"/>
  <c r="G158" i="15"/>
  <c r="G157" i="15" s="1"/>
  <c r="G156" i="15" s="1"/>
  <c r="G155" i="15" s="1"/>
  <c r="G867" i="5"/>
  <c r="I867" i="5" s="1"/>
  <c r="H163" i="15"/>
  <c r="H162" i="15" s="1"/>
  <c r="G163" i="15"/>
  <c r="G162" i="15" s="1"/>
  <c r="G1026" i="4" l="1"/>
  <c r="I1027" i="4"/>
  <c r="G602" i="5"/>
  <c r="I603" i="5"/>
  <c r="F467" i="3"/>
  <c r="H468" i="3"/>
  <c r="G161" i="15"/>
  <c r="G160" i="15"/>
  <c r="H160" i="15"/>
  <c r="H161" i="15"/>
  <c r="F188" i="3"/>
  <c r="F179" i="3"/>
  <c r="H179" i="3" s="1"/>
  <c r="G758" i="5"/>
  <c r="G761" i="5"/>
  <c r="G752" i="4"/>
  <c r="G751" i="4" l="1"/>
  <c r="I752" i="4"/>
  <c r="G1025" i="4"/>
  <c r="I1026" i="4"/>
  <c r="G760" i="5"/>
  <c r="I760" i="5" s="1"/>
  <c r="I761" i="5"/>
  <c r="G759" i="5"/>
  <c r="I759" i="5" s="1"/>
  <c r="I758" i="5"/>
  <c r="G601" i="5"/>
  <c r="I602" i="5"/>
  <c r="F466" i="3"/>
  <c r="H466" i="3" s="1"/>
  <c r="H467" i="3"/>
  <c r="F187" i="3"/>
  <c r="H187" i="3" s="1"/>
  <c r="H188" i="3"/>
  <c r="G762" i="15"/>
  <c r="G761" i="15" s="1"/>
  <c r="G773" i="16"/>
  <c r="G762" i="5"/>
  <c r="I762" i="5" s="1"/>
  <c r="F42" i="3"/>
  <c r="H42" i="3" s="1"/>
  <c r="C150" i="1"/>
  <c r="E150" i="1" s="1"/>
  <c r="G1024" i="4" l="1"/>
  <c r="I1024" i="4" s="1"/>
  <c r="I1025" i="4"/>
  <c r="G750" i="4"/>
  <c r="I751" i="4"/>
  <c r="G600" i="5"/>
  <c r="I601" i="5"/>
  <c r="H773" i="16"/>
  <c r="H774" i="16" s="1"/>
  <c r="H762" i="15"/>
  <c r="H761" i="15" s="1"/>
  <c r="H760" i="15" s="1"/>
  <c r="H759" i="15" s="1"/>
  <c r="H758" i="15" s="1"/>
  <c r="H757" i="15" s="1"/>
  <c r="G760" i="15"/>
  <c r="G759" i="15" s="1"/>
  <c r="G758" i="15" s="1"/>
  <c r="G757" i="15" s="1"/>
  <c r="G772" i="16"/>
  <c r="G774" i="16"/>
  <c r="G749" i="4" l="1"/>
  <c r="I750" i="4"/>
  <c r="G599" i="5"/>
  <c r="I599" i="5" s="1"/>
  <c r="I600" i="5"/>
  <c r="H772" i="16"/>
  <c r="C25" i="1"/>
  <c r="C24" i="1" l="1"/>
  <c r="E24" i="1" s="1"/>
  <c r="E25" i="1"/>
  <c r="I749" i="4"/>
  <c r="G748" i="4"/>
  <c r="G462" i="15"/>
  <c r="H463" i="15"/>
  <c r="G38" i="17"/>
  <c r="I748" i="4" l="1"/>
  <c r="G747" i="4"/>
  <c r="I747" i="4" s="1"/>
  <c r="G853" i="14"/>
  <c r="G852" i="14" s="1"/>
  <c r="H125" i="16"/>
  <c r="H462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40" i="6"/>
  <c r="G454" i="4"/>
  <c r="I454" i="4" s="1"/>
  <c r="G39" i="6" l="1"/>
  <c r="I39" i="6" s="1"/>
  <c r="I40" i="6"/>
  <c r="H126" i="16"/>
  <c r="H124" i="16"/>
  <c r="G37" i="17"/>
  <c r="G36" i="17" s="1"/>
  <c r="G35" i="17" s="1"/>
  <c r="G34" i="17" s="1"/>
  <c r="G33" i="17" s="1"/>
  <c r="G28" i="6" l="1"/>
  <c r="G21" i="6"/>
  <c r="I21" i="6" s="1"/>
  <c r="G27" i="6" l="1"/>
  <c r="I28" i="6"/>
  <c r="F44" i="14"/>
  <c r="G44" i="14" s="1"/>
  <c r="G26" i="6" l="1"/>
  <c r="I27" i="6"/>
  <c r="D19" i="13"/>
  <c r="G1082" i="15"/>
  <c r="H1082" i="15" s="1"/>
  <c r="G1023" i="15"/>
  <c r="H1023" i="15" s="1"/>
  <c r="G994" i="15"/>
  <c r="G972" i="15"/>
  <c r="G947" i="15"/>
  <c r="G943" i="15"/>
  <c r="G939" i="15"/>
  <c r="G918" i="15"/>
  <c r="H918" i="15" s="1"/>
  <c r="G915" i="15"/>
  <c r="H915" i="15" s="1"/>
  <c r="G913" i="15"/>
  <c r="H913" i="15" s="1"/>
  <c r="G910" i="15"/>
  <c r="H910" i="15" s="1"/>
  <c r="G907" i="15"/>
  <c r="H907" i="15" s="1"/>
  <c r="G905" i="15"/>
  <c r="H905" i="15" s="1"/>
  <c r="G901" i="15"/>
  <c r="H901" i="15" s="1"/>
  <c r="G898" i="15"/>
  <c r="G897" i="15" s="1"/>
  <c r="G896" i="15"/>
  <c r="H894" i="15"/>
  <c r="G280" i="14"/>
  <c r="G279" i="14" s="1"/>
  <c r="G276" i="14" s="1"/>
  <c r="G774" i="15"/>
  <c r="G710" i="15"/>
  <c r="H710" i="15" s="1"/>
  <c r="G620" i="16"/>
  <c r="G650" i="15"/>
  <c r="G643" i="15"/>
  <c r="G615" i="16"/>
  <c r="G581" i="15"/>
  <c r="G574" i="15"/>
  <c r="G547" i="15"/>
  <c r="G515" i="15"/>
  <c r="H515" i="15" s="1"/>
  <c r="G418" i="15"/>
  <c r="H418" i="15" s="1"/>
  <c r="G346" i="15"/>
  <c r="G288" i="15"/>
  <c r="G88" i="16" s="1"/>
  <c r="G280" i="15"/>
  <c r="G74" i="16" s="1"/>
  <c r="G271" i="15"/>
  <c r="G270" i="15" s="1"/>
  <c r="G261" i="15"/>
  <c r="F195" i="14" s="1"/>
  <c r="F194" i="14" s="1"/>
  <c r="F193" i="14" s="1"/>
  <c r="F189" i="14"/>
  <c r="F188" i="14" s="1"/>
  <c r="F187" i="14" s="1"/>
  <c r="G255" i="15"/>
  <c r="G107" i="16"/>
  <c r="G171" i="15"/>
  <c r="H171" i="15" s="1"/>
  <c r="G112" i="15"/>
  <c r="G396" i="16" s="1"/>
  <c r="H19" i="15"/>
  <c r="G25" i="6" l="1"/>
  <c r="I26" i="6"/>
  <c r="G224" i="16"/>
  <c r="G223" i="16" s="1"/>
  <c r="G222" i="16" s="1"/>
  <c r="F504" i="14"/>
  <c r="G260" i="16"/>
  <c r="G259" i="16" s="1"/>
  <c r="G258" i="16" s="1"/>
  <c r="G257" i="16" s="1"/>
  <c r="F511" i="14"/>
  <c r="F186" i="14"/>
  <c r="F185" i="14" s="1"/>
  <c r="F184" i="14" s="1"/>
  <c r="G767" i="16"/>
  <c r="G397" i="16"/>
  <c r="G395" i="16"/>
  <c r="G394" i="16" s="1"/>
  <c r="G75" i="16"/>
  <c r="G73" i="16"/>
  <c r="G72" i="16" s="1"/>
  <c r="G71" i="16" s="1"/>
  <c r="F576" i="14"/>
  <c r="F575" i="14" s="1"/>
  <c r="F574" i="14" s="1"/>
  <c r="G242" i="16"/>
  <c r="G225" i="16"/>
  <c r="F583" i="14"/>
  <c r="F582" i="14" s="1"/>
  <c r="F581" i="14" s="1"/>
  <c r="F580" i="14" s="1"/>
  <c r="G273" i="16"/>
  <c r="G108" i="16"/>
  <c r="G106" i="16"/>
  <c r="G105" i="16" s="1"/>
  <c r="G99" i="16" s="1"/>
  <c r="G98" i="16" s="1"/>
  <c r="G97" i="16" s="1"/>
  <c r="H896" i="15"/>
  <c r="F336" i="14"/>
  <c r="F335" i="14" s="1"/>
  <c r="F332" i="14" s="1"/>
  <c r="G895" i="15"/>
  <c r="G892" i="15" s="1"/>
  <c r="F93" i="14"/>
  <c r="F92" i="14" s="1"/>
  <c r="G96" i="15"/>
  <c r="H121" i="15"/>
  <c r="H120" i="15" s="1"/>
  <c r="H119" i="15" s="1"/>
  <c r="G120" i="15"/>
  <c r="G119" i="15" s="1"/>
  <c r="H178" i="15"/>
  <c r="F236" i="14"/>
  <c r="F235" i="14" s="1"/>
  <c r="F234" i="14" s="1"/>
  <c r="G177" i="15"/>
  <c r="G176" i="15" s="1"/>
  <c r="F659" i="14"/>
  <c r="F658" i="14" s="1"/>
  <c r="F657" i="14" s="1"/>
  <c r="G309" i="15"/>
  <c r="G308" i="15" s="1"/>
  <c r="H421" i="15"/>
  <c r="F805" i="14"/>
  <c r="F804" i="14" s="1"/>
  <c r="F803" i="14" s="1"/>
  <c r="G420" i="15"/>
  <c r="G419" i="15" s="1"/>
  <c r="H433" i="15"/>
  <c r="F817" i="14"/>
  <c r="F816" i="14" s="1"/>
  <c r="F815" i="14" s="1"/>
  <c r="G432" i="15"/>
  <c r="G431" i="15" s="1"/>
  <c r="G553" i="15"/>
  <c r="G552" i="15" s="1"/>
  <c r="G551" i="15" s="1"/>
  <c r="F619" i="14"/>
  <c r="F618" i="14" s="1"/>
  <c r="F617" i="14" s="1"/>
  <c r="G689" i="15"/>
  <c r="G688" i="15" s="1"/>
  <c r="H852" i="15"/>
  <c r="H851" i="15" s="1"/>
  <c r="H850" i="15" s="1"/>
  <c r="G851" i="15"/>
  <c r="G850" i="15" s="1"/>
  <c r="H958" i="15"/>
  <c r="G957" i="15"/>
  <c r="G956" i="15" s="1"/>
  <c r="F398" i="14"/>
  <c r="F397" i="14" s="1"/>
  <c r="F396" i="14" s="1"/>
  <c r="F430" i="14"/>
  <c r="F429" i="14" s="1"/>
  <c r="F428" i="14" s="1"/>
  <c r="G989" i="15"/>
  <c r="G988" i="15" s="1"/>
  <c r="G1054" i="15"/>
  <c r="F16" i="14"/>
  <c r="F105" i="14"/>
  <c r="F104" i="14" s="1"/>
  <c r="F103" i="14" s="1"/>
  <c r="F102" i="14" s="1"/>
  <c r="G108" i="15"/>
  <c r="G107" i="15" s="1"/>
  <c r="H140" i="15"/>
  <c r="F167" i="14"/>
  <c r="F166" i="14" s="1"/>
  <c r="F165" i="14" s="1"/>
  <c r="G139" i="15"/>
  <c r="G138" i="15" s="1"/>
  <c r="G266" i="15"/>
  <c r="G265" i="15" s="1"/>
  <c r="F198" i="14"/>
  <c r="F197" i="14" s="1"/>
  <c r="F196" i="14" s="1"/>
  <c r="F650" i="14"/>
  <c r="F649" i="14" s="1"/>
  <c r="G300" i="15"/>
  <c r="F704" i="14"/>
  <c r="F703" i="14" s="1"/>
  <c r="G351" i="15"/>
  <c r="F794" i="14"/>
  <c r="F793" i="14" s="1"/>
  <c r="F792" i="14" s="1"/>
  <c r="G409" i="15"/>
  <c r="G408" i="15" s="1"/>
  <c r="H426" i="15"/>
  <c r="F810" i="14"/>
  <c r="F809" i="14" s="1"/>
  <c r="G425" i="15"/>
  <c r="G456" i="15"/>
  <c r="G455" i="15" s="1"/>
  <c r="G576" i="15"/>
  <c r="G575" i="15" s="1"/>
  <c r="F740" i="14"/>
  <c r="F739" i="14" s="1"/>
  <c r="F738" i="14" s="1"/>
  <c r="G754" i="15"/>
  <c r="G753" i="15" s="1"/>
  <c r="H811" i="15"/>
  <c r="F931" i="14"/>
  <c r="F930" i="14" s="1"/>
  <c r="F929" i="14" s="1"/>
  <c r="G810" i="15"/>
  <c r="G809" i="15" s="1"/>
  <c r="F407" i="14"/>
  <c r="F406" i="14" s="1"/>
  <c r="F405" i="14" s="1"/>
  <c r="G966" i="15"/>
  <c r="G965" i="15" s="1"/>
  <c r="F419" i="14"/>
  <c r="F418" i="14" s="1"/>
  <c r="F417" i="14" s="1"/>
  <c r="G978" i="15"/>
  <c r="G977" i="15" s="1"/>
  <c r="H1008" i="15"/>
  <c r="F448" i="14"/>
  <c r="F447" i="14" s="1"/>
  <c r="G1007" i="15"/>
  <c r="H1027" i="15"/>
  <c r="F467" i="14"/>
  <c r="F466" i="14" s="1"/>
  <c r="G1026" i="15"/>
  <c r="F19" i="14"/>
  <c r="F18" i="14" s="1"/>
  <c r="G1057" i="15"/>
  <c r="G1056" i="15" s="1"/>
  <c r="H1090" i="15"/>
  <c r="F113" i="14"/>
  <c r="F112" i="14" s="1"/>
  <c r="G1089" i="15"/>
  <c r="H61" i="15"/>
  <c r="F54" i="14"/>
  <c r="F53" i="14" s="1"/>
  <c r="G60" i="15"/>
  <c r="F207" i="14"/>
  <c r="F206" i="14" s="1"/>
  <c r="F205" i="14" s="1"/>
  <c r="G153" i="15"/>
  <c r="G152" i="15" s="1"/>
  <c r="G151" i="15" s="1"/>
  <c r="F255" i="14"/>
  <c r="F254" i="14" s="1"/>
  <c r="F253" i="14" s="1"/>
  <c r="G196" i="15"/>
  <c r="G195" i="15" s="1"/>
  <c r="H224" i="15"/>
  <c r="F835" i="14"/>
  <c r="F834" i="14" s="1"/>
  <c r="F833" i="14" s="1"/>
  <c r="G223" i="15"/>
  <c r="G222" i="15" s="1"/>
  <c r="G221" i="15" s="1"/>
  <c r="G220" i="15" s="1"/>
  <c r="F652" i="14"/>
  <c r="F651" i="14" s="1"/>
  <c r="G302" i="15"/>
  <c r="F685" i="14"/>
  <c r="F684" i="14" s="1"/>
  <c r="F683" i="14" s="1"/>
  <c r="G335" i="15"/>
  <c r="G334" i="15" s="1"/>
  <c r="F708" i="14"/>
  <c r="F707" i="14" s="1"/>
  <c r="F706" i="14" s="1"/>
  <c r="G355" i="15"/>
  <c r="G354" i="15" s="1"/>
  <c r="F757" i="14"/>
  <c r="F756" i="14" s="1"/>
  <c r="F753" i="14" s="1"/>
  <c r="G372" i="15"/>
  <c r="G369" i="15" s="1"/>
  <c r="H416" i="15"/>
  <c r="F800" i="14"/>
  <c r="F799" i="14" s="1"/>
  <c r="F798" i="14" s="1"/>
  <c r="G415" i="15"/>
  <c r="G414" i="15" s="1"/>
  <c r="H428" i="15"/>
  <c r="F812" i="14"/>
  <c r="F811" i="14" s="1"/>
  <c r="G427" i="15"/>
  <c r="G460" i="15"/>
  <c r="G459" i="15" s="1"/>
  <c r="G770" i="16"/>
  <c r="G769" i="16" s="1"/>
  <c r="G543" i="15"/>
  <c r="G542" i="15" s="1"/>
  <c r="G607" i="15"/>
  <c r="G606" i="15" s="1"/>
  <c r="F891" i="14"/>
  <c r="F890" i="14" s="1"/>
  <c r="F889" i="14" s="1"/>
  <c r="F888" i="14" s="1"/>
  <c r="G769" i="15"/>
  <c r="G768" i="15" s="1"/>
  <c r="G767" i="15" s="1"/>
  <c r="H823" i="15"/>
  <c r="F943" i="14"/>
  <c r="F942" i="14" s="1"/>
  <c r="F941" i="14" s="1"/>
  <c r="G822" i="15"/>
  <c r="G821" i="15" s="1"/>
  <c r="G983" i="15"/>
  <c r="F424" i="14"/>
  <c r="F423" i="14" s="1"/>
  <c r="H1010" i="15"/>
  <c r="F450" i="14"/>
  <c r="F449" i="14" s="1"/>
  <c r="G1009" i="15"/>
  <c r="H1032" i="15"/>
  <c r="F472" i="14"/>
  <c r="F471" i="14" s="1"/>
  <c r="F470" i="14" s="1"/>
  <c r="G1031" i="15"/>
  <c r="G1030" i="15" s="1"/>
  <c r="F24" i="14"/>
  <c r="F23" i="14" s="1"/>
  <c r="F22" i="14" s="1"/>
  <c r="G1062" i="15"/>
  <c r="G1061" i="15" s="1"/>
  <c r="H1093" i="15"/>
  <c r="F116" i="14"/>
  <c r="F115" i="14" s="1"/>
  <c r="F114" i="14" s="1"/>
  <c r="G1092" i="15"/>
  <c r="G1091" i="15" s="1"/>
  <c r="F124" i="14"/>
  <c r="F123" i="14" s="1"/>
  <c r="G20" i="15"/>
  <c r="F648" i="14"/>
  <c r="F647" i="14" s="1"/>
  <c r="G298" i="15"/>
  <c r="F751" i="14"/>
  <c r="F750" i="14" s="1"/>
  <c r="G366" i="15"/>
  <c r="H502" i="15"/>
  <c r="H501" i="15" s="1"/>
  <c r="H500" i="15" s="1"/>
  <c r="G501" i="15"/>
  <c r="G500" i="15" s="1"/>
  <c r="H739" i="15"/>
  <c r="F724" i="14"/>
  <c r="F723" i="14" s="1"/>
  <c r="F722" i="14" s="1"/>
  <c r="G738" i="15"/>
  <c r="G737" i="15" s="1"/>
  <c r="F127" i="14"/>
  <c r="F126" i="14" s="1"/>
  <c r="F125" i="14" s="1"/>
  <c r="G23" i="15"/>
  <c r="G22" i="15" s="1"/>
  <c r="H190" i="15"/>
  <c r="F248" i="14"/>
  <c r="F247" i="14" s="1"/>
  <c r="F246" i="14" s="1"/>
  <c r="G189" i="15"/>
  <c r="G188" i="15" s="1"/>
  <c r="F300" i="14"/>
  <c r="F299" i="14" s="1"/>
  <c r="F298" i="14" s="1"/>
  <c r="F297" i="14" s="1"/>
  <c r="G283" i="15"/>
  <c r="G282" i="15" s="1"/>
  <c r="G281" i="15" s="1"/>
  <c r="F665" i="14"/>
  <c r="F664" i="14" s="1"/>
  <c r="F663" i="14" s="1"/>
  <c r="G315" i="15"/>
  <c r="G314" i="15" s="1"/>
  <c r="G122" i="14"/>
  <c r="G121" i="14" s="1"/>
  <c r="H18" i="15"/>
  <c r="H69" i="15"/>
  <c r="F62" i="14"/>
  <c r="F61" i="14" s="1"/>
  <c r="F60" i="14" s="1"/>
  <c r="G68" i="15"/>
  <c r="G67" i="15" s="1"/>
  <c r="H118" i="15"/>
  <c r="G117" i="15"/>
  <c r="G116" i="15" s="1"/>
  <c r="F262" i="14"/>
  <c r="F261" i="14" s="1"/>
  <c r="F260" i="14" s="1"/>
  <c r="G203" i="15"/>
  <c r="G202" i="15" s="1"/>
  <c r="F862" i="14"/>
  <c r="F861" i="14" s="1"/>
  <c r="F860" i="14" s="1"/>
  <c r="G228" i="15"/>
  <c r="G227" i="15" s="1"/>
  <c r="F192" i="14"/>
  <c r="F191" i="14" s="1"/>
  <c r="F190" i="14" s="1"/>
  <c r="F183" i="14" s="1"/>
  <c r="G306" i="15"/>
  <c r="G305" i="15" s="1"/>
  <c r="F656" i="14"/>
  <c r="F655" i="14" s="1"/>
  <c r="F654" i="14" s="1"/>
  <c r="F695" i="14"/>
  <c r="F694" i="14" s="1"/>
  <c r="F693" i="14" s="1"/>
  <c r="G342" i="15"/>
  <c r="G341" i="15" s="1"/>
  <c r="G364" i="15"/>
  <c r="F749" i="14"/>
  <c r="F748" i="14" s="1"/>
  <c r="F761" i="14"/>
  <c r="F760" i="14" s="1"/>
  <c r="F759" i="14" s="1"/>
  <c r="G376" i="15"/>
  <c r="G375" i="15" s="1"/>
  <c r="H430" i="15"/>
  <c r="F814" i="14"/>
  <c r="F813" i="14" s="1"/>
  <c r="G429" i="15"/>
  <c r="G566" i="15"/>
  <c r="G565" i="15" s="1"/>
  <c r="G590" i="15"/>
  <c r="G589" i="15" s="1"/>
  <c r="G588" i="15" s="1"/>
  <c r="G613" i="15"/>
  <c r="G612" i="15" s="1"/>
  <c r="G611" i="15" s="1"/>
  <c r="G632" i="15"/>
  <c r="G631" i="15" s="1"/>
  <c r="F688" i="14"/>
  <c r="F687" i="14" s="1"/>
  <c r="F686" i="14" s="1"/>
  <c r="G718" i="15"/>
  <c r="G717" i="15" s="1"/>
  <c r="F901" i="14"/>
  <c r="F900" i="14" s="1"/>
  <c r="F899" i="14" s="1"/>
  <c r="H838" i="15"/>
  <c r="F141" i="14"/>
  <c r="F140" i="14" s="1"/>
  <c r="F139" i="14" s="1"/>
  <c r="G837" i="15"/>
  <c r="G836" i="15" s="1"/>
  <c r="G975" i="15"/>
  <c r="G974" i="15" s="1"/>
  <c r="F416" i="14"/>
  <c r="F415" i="14" s="1"/>
  <c r="F414" i="14" s="1"/>
  <c r="H1015" i="15"/>
  <c r="F455" i="14"/>
  <c r="F454" i="14" s="1"/>
  <c r="F453" i="14" s="1"/>
  <c r="G1014" i="15"/>
  <c r="G1013" i="15" s="1"/>
  <c r="H1045" i="15"/>
  <c r="F884" i="14"/>
  <c r="F883" i="14" s="1"/>
  <c r="F882" i="14" s="1"/>
  <c r="G1044" i="15"/>
  <c r="G1043" i="15" s="1"/>
  <c r="H1079" i="15"/>
  <c r="F41" i="14"/>
  <c r="F40" i="14" s="1"/>
  <c r="G1078" i="15"/>
  <c r="F765" i="14"/>
  <c r="F764" i="14" s="1"/>
  <c r="F763" i="14" s="1"/>
  <c r="F762" i="14" s="1"/>
  <c r="G380" i="15"/>
  <c r="G379" i="15" s="1"/>
  <c r="G378" i="15" s="1"/>
  <c r="G1118" i="15" s="1"/>
  <c r="G626" i="15"/>
  <c r="G625" i="15" s="1"/>
  <c r="G702" i="15"/>
  <c r="G701" i="15" s="1"/>
  <c r="F632" i="14"/>
  <c r="F631" i="14" s="1"/>
  <c r="F630" i="14" s="1"/>
  <c r="G560" i="15"/>
  <c r="G559" i="15" s="1"/>
  <c r="F339" i="14"/>
  <c r="F338" i="14" s="1"/>
  <c r="F337" i="14" s="1"/>
  <c r="H898" i="15"/>
  <c r="H897" i="15" s="1"/>
  <c r="H109" i="15"/>
  <c r="H392" i="16" s="1"/>
  <c r="H267" i="15"/>
  <c r="G793" i="16"/>
  <c r="H346" i="15"/>
  <c r="H41" i="16" s="1"/>
  <c r="H42" i="16" s="1"/>
  <c r="G41" i="16"/>
  <c r="G566" i="14"/>
  <c r="G565" i="14" s="1"/>
  <c r="G564" i="14" s="1"/>
  <c r="G200" i="16"/>
  <c r="G826" i="16"/>
  <c r="H781" i="15"/>
  <c r="G427" i="16"/>
  <c r="G664" i="16"/>
  <c r="H154" i="15"/>
  <c r="G851" i="16"/>
  <c r="G702" i="16"/>
  <c r="G781" i="16"/>
  <c r="H316" i="15"/>
  <c r="G530" i="16"/>
  <c r="G51" i="16"/>
  <c r="G832" i="16"/>
  <c r="G817" i="16"/>
  <c r="H994" i="15"/>
  <c r="H690" i="16" s="1"/>
  <c r="G690" i="16"/>
  <c r="G709" i="16"/>
  <c r="G192" i="14"/>
  <c r="G191" i="14" s="1"/>
  <c r="G190" i="14" s="1"/>
  <c r="G785" i="16"/>
  <c r="H303" i="15"/>
  <c r="G476" i="16"/>
  <c r="H822" i="16"/>
  <c r="H821" i="16" s="1"/>
  <c r="H820" i="16" s="1"/>
  <c r="G823" i="16"/>
  <c r="H97" i="15"/>
  <c r="H374" i="16" s="1"/>
  <c r="H217" i="15"/>
  <c r="G350" i="16"/>
  <c r="H307" i="15"/>
  <c r="G507" i="16"/>
  <c r="H343" i="15"/>
  <c r="G37" i="16"/>
  <c r="H365" i="15"/>
  <c r="G485" i="16"/>
  <c r="H377" i="15"/>
  <c r="G536" i="16"/>
  <c r="G857" i="14"/>
  <c r="G856" i="14" s="1"/>
  <c r="G855" i="14" s="1"/>
  <c r="G854" i="14" s="1"/>
  <c r="H591" i="15"/>
  <c r="G521" i="14" s="1"/>
  <c r="G520" i="14" s="1"/>
  <c r="G519" i="14" s="1"/>
  <c r="G518" i="14" s="1"/>
  <c r="G289" i="16"/>
  <c r="H627" i="15"/>
  <c r="G560" i="14" s="1"/>
  <c r="G559" i="14" s="1"/>
  <c r="G558" i="14" s="1"/>
  <c r="G192" i="16"/>
  <c r="G310" i="16"/>
  <c r="H984" i="15"/>
  <c r="G424" i="14" s="1"/>
  <c r="G423" i="14" s="1"/>
  <c r="G675" i="16"/>
  <c r="H284" i="15"/>
  <c r="H81" i="16" s="1"/>
  <c r="H310" i="15"/>
  <c r="G511" i="16"/>
  <c r="H367" i="15"/>
  <c r="G488" i="16"/>
  <c r="G524" i="14"/>
  <c r="G523" i="14" s="1"/>
  <c r="G522" i="14" s="1"/>
  <c r="H112" i="15"/>
  <c r="H396" i="16" s="1"/>
  <c r="G805" i="16"/>
  <c r="F203" i="14"/>
  <c r="F202" i="14" s="1"/>
  <c r="F201" i="14" s="1"/>
  <c r="F200" i="14" s="1"/>
  <c r="H301" i="15"/>
  <c r="G473" i="16"/>
  <c r="H457" i="15"/>
  <c r="H32" i="17" s="1"/>
  <c r="G25" i="17"/>
  <c r="G24" i="17" s="1"/>
  <c r="G23" i="17" s="1"/>
  <c r="G22" i="17" s="1"/>
  <c r="G21" i="17" s="1"/>
  <c r="H577" i="15"/>
  <c r="G507" i="14" s="1"/>
  <c r="G683" i="16"/>
  <c r="H230" i="15"/>
  <c r="G404" i="16"/>
  <c r="H356" i="15"/>
  <c r="G58" i="16"/>
  <c r="G13" i="17"/>
  <c r="G12" i="17" s="1"/>
  <c r="G11" i="17" s="1"/>
  <c r="G10" i="17" s="1"/>
  <c r="G9" i="17" s="1"/>
  <c r="H461" i="15"/>
  <c r="H561" i="15"/>
  <c r="G491" i="14" s="1"/>
  <c r="G490" i="14" s="1"/>
  <c r="G489" i="14" s="1"/>
  <c r="G167" i="16"/>
  <c r="G541" i="14"/>
  <c r="G540" i="14" s="1"/>
  <c r="G539" i="14" s="1"/>
  <c r="G538" i="14" s="1"/>
  <c r="G537" i="14" s="1"/>
  <c r="G812" i="16"/>
  <c r="H703" i="15"/>
  <c r="G209" i="16"/>
  <c r="G650" i="16"/>
  <c r="G668" i="16"/>
  <c r="G694" i="16"/>
  <c r="H547" i="15"/>
  <c r="H354" i="16"/>
  <c r="G354" i="16"/>
  <c r="H107" i="16"/>
  <c r="H261" i="15"/>
  <c r="G789" i="16"/>
  <c r="H280" i="15"/>
  <c r="H74" i="16" s="1"/>
  <c r="H288" i="15"/>
  <c r="H88" i="16" s="1"/>
  <c r="H574" i="15"/>
  <c r="H581" i="15"/>
  <c r="G614" i="16"/>
  <c r="G613" i="16" s="1"/>
  <c r="G612" i="16" s="1"/>
  <c r="G616" i="16"/>
  <c r="H643" i="15"/>
  <c r="H242" i="16" s="1"/>
  <c r="H650" i="15"/>
  <c r="H273" i="16" s="1"/>
  <c r="G619" i="16"/>
  <c r="G618" i="16" s="1"/>
  <c r="G617" i="16" s="1"/>
  <c r="G621" i="16"/>
  <c r="F614" i="14" s="1"/>
  <c r="F613" i="14" s="1"/>
  <c r="F612" i="14" s="1"/>
  <c r="F611" i="14" s="1"/>
  <c r="F610" i="14" s="1"/>
  <c r="H785" i="15"/>
  <c r="H434" i="16" s="1"/>
  <c r="H433" i="16" s="1"/>
  <c r="H432" i="16" s="1"/>
  <c r="G434" i="16"/>
  <c r="H777" i="15"/>
  <c r="G898" i="14" s="1"/>
  <c r="G897" i="14" s="1"/>
  <c r="G896" i="14" s="1"/>
  <c r="G423" i="16"/>
  <c r="H774" i="15"/>
  <c r="H419" i="16" s="1"/>
  <c r="H418" i="16" s="1"/>
  <c r="H417" i="16" s="1"/>
  <c r="G419" i="16"/>
  <c r="H15" i="16"/>
  <c r="H14" i="16" s="1"/>
  <c r="H13" i="16" s="1"/>
  <c r="G15" i="16"/>
  <c r="H943" i="15"/>
  <c r="H752" i="16" s="1"/>
  <c r="H753" i="16" s="1"/>
  <c r="G752" i="16"/>
  <c r="H939" i="15"/>
  <c r="H745" i="16" s="1"/>
  <c r="H744" i="16" s="1"/>
  <c r="H743" i="16" s="1"/>
  <c r="H742" i="16" s="1"/>
  <c r="H741" i="16" s="1"/>
  <c r="H740" i="16" s="1"/>
  <c r="G745" i="16"/>
  <c r="H947" i="15"/>
  <c r="H759" i="16" s="1"/>
  <c r="H760" i="16" s="1"/>
  <c r="G759" i="16"/>
  <c r="H679" i="16"/>
  <c r="G679" i="16"/>
  <c r="H972" i="15"/>
  <c r="H657" i="16" s="1"/>
  <c r="H658" i="16" s="1"/>
  <c r="G657" i="16"/>
  <c r="H381" i="15"/>
  <c r="F135" i="12" s="1"/>
  <c r="G563" i="16"/>
  <c r="H614" i="15"/>
  <c r="G547" i="14" s="1"/>
  <c r="G546" i="14" s="1"/>
  <c r="G545" i="14" s="1"/>
  <c r="G544" i="14" s="1"/>
  <c r="G151" i="16"/>
  <c r="H554" i="15"/>
  <c r="G484" i="14" s="1"/>
  <c r="G483" i="14" s="1"/>
  <c r="G482" i="14" s="1"/>
  <c r="G481" i="14" s="1"/>
  <c r="G146" i="16"/>
  <c r="H770" i="15"/>
  <c r="G412" i="16"/>
  <c r="G557" i="14"/>
  <c r="G556" i="14" s="1"/>
  <c r="G555" i="14" s="1"/>
  <c r="G188" i="16"/>
  <c r="G497" i="14"/>
  <c r="G496" i="14" s="1"/>
  <c r="G495" i="14" s="1"/>
  <c r="G175" i="16"/>
  <c r="H25" i="16"/>
  <c r="H373" i="15"/>
  <c r="G523" i="16"/>
  <c r="H520" i="16"/>
  <c r="G520" i="16"/>
  <c r="H299" i="15"/>
  <c r="G470" i="16"/>
  <c r="H620" i="16"/>
  <c r="H615" i="16"/>
  <c r="H272" i="15"/>
  <c r="H271" i="15" s="1"/>
  <c r="H270" i="15" s="1"/>
  <c r="G789" i="5"/>
  <c r="I789" i="5" s="1"/>
  <c r="G655" i="5"/>
  <c r="I655" i="5" s="1"/>
  <c r="G627" i="5"/>
  <c r="I627" i="5" s="1"/>
  <c r="G24" i="6" l="1"/>
  <c r="I25" i="6"/>
  <c r="H350" i="16"/>
  <c r="G313" i="14"/>
  <c r="G312" i="14" s="1"/>
  <c r="G311" i="14" s="1"/>
  <c r="G310" i="14" s="1"/>
  <c r="G309" i="14" s="1"/>
  <c r="H423" i="16"/>
  <c r="H422" i="16" s="1"/>
  <c r="H421" i="16" s="1"/>
  <c r="H776" i="15"/>
  <c r="H775" i="15" s="1"/>
  <c r="H19" i="17"/>
  <c r="H18" i="17" s="1"/>
  <c r="H17" i="17" s="1"/>
  <c r="H16" i="17" s="1"/>
  <c r="H15" i="17" s="1"/>
  <c r="H20" i="17"/>
  <c r="G611" i="16"/>
  <c r="H62" i="14"/>
  <c r="G597" i="14"/>
  <c r="G596" i="14" s="1"/>
  <c r="G595" i="14" s="1"/>
  <c r="F653" i="14"/>
  <c r="H224" i="16"/>
  <c r="H225" i="16" s="1"/>
  <c r="G504" i="14"/>
  <c r="G261" i="16"/>
  <c r="H260" i="16"/>
  <c r="H259" i="16" s="1"/>
  <c r="H258" i="16" s="1"/>
  <c r="G511" i="14"/>
  <c r="G768" i="16"/>
  <c r="G766" i="16"/>
  <c r="G765" i="16" s="1"/>
  <c r="G304" i="15"/>
  <c r="G851" i="14"/>
  <c r="G850" i="14" s="1"/>
  <c r="G849" i="14" s="1"/>
  <c r="G848" i="14" s="1"/>
  <c r="H122" i="16"/>
  <c r="G506" i="14"/>
  <c r="G505" i="14" s="1"/>
  <c r="G498" i="14" s="1"/>
  <c r="H228" i="16"/>
  <c r="G847" i="14"/>
  <c r="G846" i="14" s="1"/>
  <c r="G845" i="14" s="1"/>
  <c r="G844" i="14" s="1"/>
  <c r="H115" i="16"/>
  <c r="H82" i="16"/>
  <c r="H80" i="16"/>
  <c r="H79" i="16" s="1"/>
  <c r="H78" i="16" s="1"/>
  <c r="H87" i="16"/>
  <c r="H86" i="16" s="1"/>
  <c r="H85" i="16" s="1"/>
  <c r="H89" i="16"/>
  <c r="G274" i="16"/>
  <c r="G272" i="16"/>
  <c r="G271" i="16" s="1"/>
  <c r="G270" i="16" s="1"/>
  <c r="G256" i="16" s="1"/>
  <c r="G255" i="16" s="1"/>
  <c r="G243" i="16"/>
  <c r="G241" i="16"/>
  <c r="G240" i="16" s="1"/>
  <c r="H272" i="16"/>
  <c r="H271" i="16" s="1"/>
  <c r="H274" i="16"/>
  <c r="H106" i="16"/>
  <c r="H105" i="16" s="1"/>
  <c r="H108" i="16"/>
  <c r="H241" i="16"/>
  <c r="H240" i="16" s="1"/>
  <c r="H243" i="16"/>
  <c r="H75" i="16"/>
  <c r="H73" i="16"/>
  <c r="H72" i="16" s="1"/>
  <c r="H71" i="16" s="1"/>
  <c r="G576" i="14"/>
  <c r="G575" i="14" s="1"/>
  <c r="G574" i="14" s="1"/>
  <c r="G583" i="14"/>
  <c r="G582" i="14" s="1"/>
  <c r="G581" i="14" s="1"/>
  <c r="G297" i="15"/>
  <c r="F646" i="14"/>
  <c r="G771" i="16"/>
  <c r="F808" i="14"/>
  <c r="H466" i="15"/>
  <c r="H465" i="15" s="1"/>
  <c r="H507" i="16"/>
  <c r="H508" i="16" s="1"/>
  <c r="G656" i="14"/>
  <c r="G655" i="14" s="1"/>
  <c r="G654" i="14" s="1"/>
  <c r="H306" i="15"/>
  <c r="H305" i="15" s="1"/>
  <c r="H832" i="16"/>
  <c r="H831" i="16" s="1"/>
  <c r="H830" i="16" s="1"/>
  <c r="H829" i="16" s="1"/>
  <c r="H828" i="16" s="1"/>
  <c r="G794" i="14"/>
  <c r="G793" i="14" s="1"/>
  <c r="G792" i="14" s="1"/>
  <c r="H409" i="15"/>
  <c r="H408" i="15" s="1"/>
  <c r="H781" i="16"/>
  <c r="H780" i="16" s="1"/>
  <c r="H779" i="16" s="1"/>
  <c r="G189" i="14"/>
  <c r="G188" i="14" s="1"/>
  <c r="G187" i="14" s="1"/>
  <c r="H851" i="16"/>
  <c r="H852" i="16" s="1"/>
  <c r="G207" i="14"/>
  <c r="G206" i="14" s="1"/>
  <c r="G205" i="14" s="1"/>
  <c r="H153" i="15"/>
  <c r="H152" i="15" s="1"/>
  <c r="H151" i="15" s="1"/>
  <c r="H427" i="16"/>
  <c r="H426" i="16" s="1"/>
  <c r="H425" i="16" s="1"/>
  <c r="H416" i="16" s="1"/>
  <c r="H415" i="16" s="1"/>
  <c r="H414" i="16" s="1"/>
  <c r="G901" i="14"/>
  <c r="G900" i="14" s="1"/>
  <c r="G899" i="14" s="1"/>
  <c r="G892" i="14" s="1"/>
  <c r="H780" i="15"/>
  <c r="H779" i="15" s="1"/>
  <c r="H778" i="15" s="1"/>
  <c r="H200" i="16"/>
  <c r="H201" i="16" s="1"/>
  <c r="H632" i="15"/>
  <c r="H631" i="15" s="1"/>
  <c r="H793" i="16"/>
  <c r="H794" i="16" s="1"/>
  <c r="G198" i="14"/>
  <c r="G197" i="14" s="1"/>
  <c r="G196" i="14" s="1"/>
  <c r="H266" i="15"/>
  <c r="H265" i="15" s="1"/>
  <c r="G884" i="14"/>
  <c r="G883" i="14" s="1"/>
  <c r="G882" i="14" s="1"/>
  <c r="H1044" i="15"/>
  <c r="H1043" i="15" s="1"/>
  <c r="H837" i="15"/>
  <c r="H836" i="15" s="1"/>
  <c r="G141" i="14"/>
  <c r="G140" i="14" s="1"/>
  <c r="G139" i="14" s="1"/>
  <c r="G943" i="14"/>
  <c r="G942" i="14" s="1"/>
  <c r="G941" i="14" s="1"/>
  <c r="H822" i="15"/>
  <c r="H821" i="15" s="1"/>
  <c r="G398" i="14"/>
  <c r="G397" i="14" s="1"/>
  <c r="G396" i="14" s="1"/>
  <c r="H957" i="15"/>
  <c r="H956" i="15" s="1"/>
  <c r="G805" i="14"/>
  <c r="G804" i="14" s="1"/>
  <c r="G803" i="14" s="1"/>
  <c r="H420" i="15"/>
  <c r="H419" i="15" s="1"/>
  <c r="H175" i="16"/>
  <c r="H174" i="16" s="1"/>
  <c r="H173" i="16" s="1"/>
  <c r="H566" i="15"/>
  <c r="H565" i="15" s="1"/>
  <c r="H146" i="16"/>
  <c r="H145" i="16" s="1"/>
  <c r="H144" i="16" s="1"/>
  <c r="H143" i="16" s="1"/>
  <c r="H553" i="15"/>
  <c r="H552" i="15" s="1"/>
  <c r="H551" i="15" s="1"/>
  <c r="H789" i="16"/>
  <c r="H788" i="16" s="1"/>
  <c r="H787" i="16" s="1"/>
  <c r="G195" i="14"/>
  <c r="G194" i="14" s="1"/>
  <c r="G193" i="14" s="1"/>
  <c r="H694" i="16"/>
  <c r="H695" i="16" s="1"/>
  <c r="H996" i="15"/>
  <c r="H995" i="15" s="1"/>
  <c r="G437" i="14"/>
  <c r="G436" i="14" s="1"/>
  <c r="G435" i="14" s="1"/>
  <c r="H812" i="16"/>
  <c r="H813" i="16" s="1"/>
  <c r="H607" i="15"/>
  <c r="H606" i="15" s="1"/>
  <c r="H456" i="15"/>
  <c r="H455" i="15" s="1"/>
  <c r="H488" i="16"/>
  <c r="H489" i="16" s="1"/>
  <c r="G751" i="14"/>
  <c r="G750" i="14" s="1"/>
  <c r="H366" i="15"/>
  <c r="G300" i="14"/>
  <c r="G299" i="14" s="1"/>
  <c r="G298" i="14" s="1"/>
  <c r="G297" i="14" s="1"/>
  <c r="H283" i="15"/>
  <c r="H282" i="15" s="1"/>
  <c r="H281" i="15" s="1"/>
  <c r="H289" i="16"/>
  <c r="H288" i="16" s="1"/>
  <c r="H287" i="16" s="1"/>
  <c r="H286" i="16" s="1"/>
  <c r="H590" i="15"/>
  <c r="H589" i="15" s="1"/>
  <c r="H588" i="15" s="1"/>
  <c r="H1078" i="15"/>
  <c r="G41" i="14"/>
  <c r="G40" i="14" s="1"/>
  <c r="G724" i="14"/>
  <c r="G723" i="14" s="1"/>
  <c r="G722" i="14" s="1"/>
  <c r="H738" i="15"/>
  <c r="H737" i="15" s="1"/>
  <c r="G800" i="14"/>
  <c r="G799" i="14" s="1"/>
  <c r="G798" i="14" s="1"/>
  <c r="H415" i="15"/>
  <c r="H414" i="15" s="1"/>
  <c r="G835" i="14"/>
  <c r="G834" i="14" s="1"/>
  <c r="G833" i="14" s="1"/>
  <c r="H223" i="15"/>
  <c r="H222" i="15" s="1"/>
  <c r="H221" i="15" s="1"/>
  <c r="H220" i="15" s="1"/>
  <c r="H219" i="15" s="1"/>
  <c r="G467" i="14"/>
  <c r="G466" i="14" s="1"/>
  <c r="H1026" i="15"/>
  <c r="G810" i="14"/>
  <c r="G809" i="14" s="1"/>
  <c r="H425" i="15"/>
  <c r="G817" i="14"/>
  <c r="G816" i="14" s="1"/>
  <c r="G815" i="14" s="1"/>
  <c r="H432" i="15"/>
  <c r="H431" i="15" s="1"/>
  <c r="H470" i="16"/>
  <c r="H471" i="16" s="1"/>
  <c r="G648" i="14"/>
  <c r="G647" i="14" s="1"/>
  <c r="H298" i="15"/>
  <c r="H523" i="16"/>
  <c r="H524" i="16" s="1"/>
  <c r="G757" i="14"/>
  <c r="G756" i="14" s="1"/>
  <c r="G753" i="14" s="1"/>
  <c r="H372" i="15"/>
  <c r="H369" i="15" s="1"/>
  <c r="H404" i="16"/>
  <c r="H403" i="16" s="1"/>
  <c r="H402" i="16" s="1"/>
  <c r="H401" i="16" s="1"/>
  <c r="G862" i="14"/>
  <c r="G861" i="14" s="1"/>
  <c r="G860" i="14" s="1"/>
  <c r="H229" i="15"/>
  <c r="H228" i="15" s="1"/>
  <c r="H576" i="15"/>
  <c r="H575" i="15" s="1"/>
  <c r="H536" i="16"/>
  <c r="H535" i="16" s="1"/>
  <c r="H534" i="16" s="1"/>
  <c r="G761" i="14"/>
  <c r="G760" i="14" s="1"/>
  <c r="G759" i="14" s="1"/>
  <c r="H376" i="15"/>
  <c r="H375" i="15" s="1"/>
  <c r="H37" i="16"/>
  <c r="H36" i="16" s="1"/>
  <c r="H35" i="16" s="1"/>
  <c r="G695" i="14"/>
  <c r="G694" i="14" s="1"/>
  <c r="G693" i="14" s="1"/>
  <c r="H342" i="15"/>
  <c r="H341" i="15" s="1"/>
  <c r="H476" i="16"/>
  <c r="H477" i="16" s="1"/>
  <c r="G652" i="14"/>
  <c r="G651" i="14" s="1"/>
  <c r="H302" i="15"/>
  <c r="H709" i="16"/>
  <c r="H708" i="16" s="1"/>
  <c r="H707" i="16" s="1"/>
  <c r="H706" i="16" s="1"/>
  <c r="H705" i="16" s="1"/>
  <c r="H704" i="16" s="1"/>
  <c r="G262" i="14"/>
  <c r="G261" i="14" s="1"/>
  <c r="G260" i="14" s="1"/>
  <c r="G259" i="14" s="1"/>
  <c r="H203" i="15"/>
  <c r="H202" i="15" s="1"/>
  <c r="H817" i="16"/>
  <c r="H816" i="16" s="1"/>
  <c r="H815" i="16" s="1"/>
  <c r="H814" i="16" s="1"/>
  <c r="G619" i="14"/>
  <c r="G618" i="14" s="1"/>
  <c r="G617" i="14" s="1"/>
  <c r="H689" i="15"/>
  <c r="H688" i="15" s="1"/>
  <c r="H530" i="16"/>
  <c r="H531" i="16" s="1"/>
  <c r="G665" i="14"/>
  <c r="G664" i="14" s="1"/>
  <c r="G663" i="14" s="1"/>
  <c r="H315" i="15"/>
  <c r="H314" i="15" s="1"/>
  <c r="H702" i="16"/>
  <c r="H703" i="16" s="1"/>
  <c r="G255" i="14"/>
  <c r="G254" i="14" s="1"/>
  <c r="G253" i="14" s="1"/>
  <c r="H196" i="15"/>
  <c r="H195" i="15" s="1"/>
  <c r="H664" i="16"/>
  <c r="H663" i="16" s="1"/>
  <c r="H662" i="16" s="1"/>
  <c r="H975" i="15"/>
  <c r="H974" i="15" s="1"/>
  <c r="G416" i="14"/>
  <c r="G415" i="14" s="1"/>
  <c r="G414" i="14" s="1"/>
  <c r="H826" i="16"/>
  <c r="H825" i="16" s="1"/>
  <c r="H824" i="16" s="1"/>
  <c r="H819" i="16" s="1"/>
  <c r="G688" i="14"/>
  <c r="G687" i="14" s="1"/>
  <c r="G686" i="14" s="1"/>
  <c r="H718" i="15"/>
  <c r="H717" i="15" s="1"/>
  <c r="H391" i="16"/>
  <c r="H390" i="16" s="1"/>
  <c r="G105" i="14"/>
  <c r="G104" i="14" s="1"/>
  <c r="G103" i="14" s="1"/>
  <c r="G102" i="14" s="1"/>
  <c r="H108" i="15"/>
  <c r="H107" i="15" s="1"/>
  <c r="G127" i="14"/>
  <c r="G126" i="14" s="1"/>
  <c r="G125" i="14" s="1"/>
  <c r="H23" i="15"/>
  <c r="H22" i="15" s="1"/>
  <c r="G812" i="14"/>
  <c r="G811" i="14" s="1"/>
  <c r="H427" i="15"/>
  <c r="H1057" i="15"/>
  <c r="H1056" i="15" s="1"/>
  <c r="G19" i="14"/>
  <c r="G740" i="14"/>
  <c r="G739" i="14" s="1"/>
  <c r="G738" i="14" s="1"/>
  <c r="H754" i="15"/>
  <c r="H753" i="15" s="1"/>
  <c r="G167" i="14"/>
  <c r="G166" i="14" s="1"/>
  <c r="G165" i="14" s="1"/>
  <c r="H139" i="15"/>
  <c r="H138" i="15" s="1"/>
  <c r="G708" i="14"/>
  <c r="G707" i="14" s="1"/>
  <c r="G706" i="14" s="1"/>
  <c r="H355" i="15"/>
  <c r="H354" i="15" s="1"/>
  <c r="H683" i="16"/>
  <c r="H684" i="16" s="1"/>
  <c r="H989" i="15"/>
  <c r="H988" i="15" s="1"/>
  <c r="G430" i="14"/>
  <c r="G429" i="14" s="1"/>
  <c r="G428" i="14" s="1"/>
  <c r="H573" i="16"/>
  <c r="H572" i="16" s="1"/>
  <c r="H485" i="16"/>
  <c r="H486" i="16" s="1"/>
  <c r="G749" i="14"/>
  <c r="G748" i="14" s="1"/>
  <c r="H364" i="15"/>
  <c r="G93" i="14"/>
  <c r="G92" i="14" s="1"/>
  <c r="H96" i="15"/>
  <c r="H823" i="16"/>
  <c r="G685" i="14"/>
  <c r="G684" i="14" s="1"/>
  <c r="G683" i="14" s="1"/>
  <c r="H335" i="15"/>
  <c r="H334" i="15" s="1"/>
  <c r="H51" i="16"/>
  <c r="H50" i="16" s="1"/>
  <c r="G704" i="14"/>
  <c r="G703" i="14" s="1"/>
  <c r="H351" i="15"/>
  <c r="H117" i="15"/>
  <c r="H116" i="15" s="1"/>
  <c r="G124" i="14"/>
  <c r="G123" i="14" s="1"/>
  <c r="H20" i="15"/>
  <c r="H1031" i="15"/>
  <c r="H1030" i="15" s="1"/>
  <c r="G472" i="14"/>
  <c r="G471" i="14" s="1"/>
  <c r="G470" i="14" s="1"/>
  <c r="G54" i="14"/>
  <c r="G53" i="14" s="1"/>
  <c r="H60" i="15"/>
  <c r="G448" i="14"/>
  <c r="G447" i="14" s="1"/>
  <c r="H1007" i="15"/>
  <c r="H770" i="16"/>
  <c r="H771" i="16" s="1"/>
  <c r="H543" i="15"/>
  <c r="H542" i="15" s="1"/>
  <c r="G185" i="14"/>
  <c r="G184" i="14" s="1"/>
  <c r="H412" i="16"/>
  <c r="H411" i="16" s="1"/>
  <c r="H410" i="16" s="1"/>
  <c r="H409" i="16" s="1"/>
  <c r="G891" i="14"/>
  <c r="G890" i="14" s="1"/>
  <c r="G889" i="14" s="1"/>
  <c r="G888" i="14" s="1"/>
  <c r="H769" i="15"/>
  <c r="H768" i="15" s="1"/>
  <c r="H767" i="15" s="1"/>
  <c r="H650" i="16"/>
  <c r="H649" i="16" s="1"/>
  <c r="H648" i="16" s="1"/>
  <c r="H966" i="15"/>
  <c r="H965" i="15" s="1"/>
  <c r="G407" i="14"/>
  <c r="G406" i="14" s="1"/>
  <c r="G405" i="14" s="1"/>
  <c r="H473" i="16"/>
  <c r="H474" i="16" s="1"/>
  <c r="G650" i="14"/>
  <c r="G649" i="14" s="1"/>
  <c r="H300" i="15"/>
  <c r="H310" i="16"/>
  <c r="H311" i="16" s="1"/>
  <c r="H664" i="15"/>
  <c r="H663" i="15" s="1"/>
  <c r="H662" i="15" s="1"/>
  <c r="H623" i="15"/>
  <c r="H622" i="15" s="1"/>
  <c r="H151" i="16"/>
  <c r="H150" i="16" s="1"/>
  <c r="H149" i="16" s="1"/>
  <c r="H148" i="16" s="1"/>
  <c r="H613" i="15"/>
  <c r="H612" i="15" s="1"/>
  <c r="H611" i="15" s="1"/>
  <c r="H668" i="16"/>
  <c r="H667" i="16" s="1"/>
  <c r="H666" i="16" s="1"/>
  <c r="H978" i="15"/>
  <c r="H977" i="15" s="1"/>
  <c r="G419" i="14"/>
  <c r="G418" i="14" s="1"/>
  <c r="G417" i="14" s="1"/>
  <c r="H460" i="15"/>
  <c r="H459" i="15" s="1"/>
  <c r="H580" i="16"/>
  <c r="H579" i="16" s="1"/>
  <c r="H578" i="16" s="1"/>
  <c r="H373" i="16"/>
  <c r="H1062" i="15"/>
  <c r="H1061" i="15" s="1"/>
  <c r="G24" i="14"/>
  <c r="G23" i="14" s="1"/>
  <c r="H511" i="16"/>
  <c r="H510" i="16" s="1"/>
  <c r="G659" i="14"/>
  <c r="G658" i="14" s="1"/>
  <c r="G657" i="14" s="1"/>
  <c r="H309" i="15"/>
  <c r="H308" i="15" s="1"/>
  <c r="G455" i="14"/>
  <c r="G454" i="14" s="1"/>
  <c r="G453" i="14" s="1"/>
  <c r="H1014" i="15"/>
  <c r="H1013" i="15" s="1"/>
  <c r="G814" i="14"/>
  <c r="G813" i="14" s="1"/>
  <c r="H429" i="15"/>
  <c r="G62" i="14"/>
  <c r="G61" i="14" s="1"/>
  <c r="G60" i="14" s="1"/>
  <c r="H68" i="15"/>
  <c r="H67" i="15" s="1"/>
  <c r="G248" i="14"/>
  <c r="G247" i="14" s="1"/>
  <c r="G246" i="14" s="1"/>
  <c r="H189" i="15"/>
  <c r="H188" i="15" s="1"/>
  <c r="H1092" i="15"/>
  <c r="H1091" i="15" s="1"/>
  <c r="G116" i="14"/>
  <c r="G115" i="14" s="1"/>
  <c r="G114" i="14" s="1"/>
  <c r="G450" i="14"/>
  <c r="G449" i="14" s="1"/>
  <c r="H1009" i="15"/>
  <c r="H1089" i="15"/>
  <c r="G113" i="14"/>
  <c r="G112" i="14" s="1"/>
  <c r="H810" i="15"/>
  <c r="H809" i="15" s="1"/>
  <c r="G931" i="14"/>
  <c r="G930" i="14" s="1"/>
  <c r="G929" i="14" s="1"/>
  <c r="G424" i="15"/>
  <c r="G16" i="14"/>
  <c r="H1054" i="15"/>
  <c r="G236" i="14"/>
  <c r="G235" i="14" s="1"/>
  <c r="G234" i="14" s="1"/>
  <c r="H177" i="15"/>
  <c r="H176" i="15" s="1"/>
  <c r="H563" i="16"/>
  <c r="H564" i="16" s="1"/>
  <c r="H380" i="15"/>
  <c r="H379" i="15" s="1"/>
  <c r="H378" i="15" s="1"/>
  <c r="H1118" i="15" s="1"/>
  <c r="G765" i="14"/>
  <c r="G764" i="14" s="1"/>
  <c r="G763" i="14" s="1"/>
  <c r="G762" i="14" s="1"/>
  <c r="H192" i="16"/>
  <c r="H193" i="16" s="1"/>
  <c r="H626" i="15"/>
  <c r="H625" i="15" s="1"/>
  <c r="H209" i="16"/>
  <c r="H210" i="16" s="1"/>
  <c r="G632" i="14"/>
  <c r="G631" i="14" s="1"/>
  <c r="G630" i="14" s="1"/>
  <c r="H702" i="15"/>
  <c r="H701" i="15" s="1"/>
  <c r="H167" i="16"/>
  <c r="H166" i="16" s="1"/>
  <c r="H165" i="16" s="1"/>
  <c r="H560" i="15"/>
  <c r="H559" i="15" s="1"/>
  <c r="H675" i="16"/>
  <c r="H676" i="16" s="1"/>
  <c r="H983" i="15"/>
  <c r="H785" i="16"/>
  <c r="H784" i="16" s="1"/>
  <c r="H783" i="16" s="1"/>
  <c r="H188" i="16"/>
  <c r="H187" i="16" s="1"/>
  <c r="H186" i="16" s="1"/>
  <c r="G339" i="14"/>
  <c r="G338" i="14" s="1"/>
  <c r="G337" i="14" s="1"/>
  <c r="H40" i="16"/>
  <c r="H39" i="16" s="1"/>
  <c r="H656" i="16"/>
  <c r="H435" i="16"/>
  <c r="H16" i="16"/>
  <c r="H751" i="16"/>
  <c r="H750" i="16" s="1"/>
  <c r="H749" i="16" s="1"/>
  <c r="H748" i="16" s="1"/>
  <c r="H747" i="16" s="1"/>
  <c r="G804" i="16"/>
  <c r="G803" i="16" s="1"/>
  <c r="G798" i="16" s="1"/>
  <c r="G797" i="16" s="1"/>
  <c r="G796" i="16" s="1"/>
  <c r="G806" i="16"/>
  <c r="G484" i="16"/>
  <c r="G486" i="16"/>
  <c r="G784" i="16"/>
  <c r="G783" i="16" s="1"/>
  <c r="G786" i="16"/>
  <c r="G833" i="16"/>
  <c r="G831" i="16"/>
  <c r="G830" i="16" s="1"/>
  <c r="G829" i="16" s="1"/>
  <c r="G828" i="16" s="1"/>
  <c r="G780" i="16"/>
  <c r="G779" i="16" s="1"/>
  <c r="G782" i="16"/>
  <c r="G201" i="16"/>
  <c r="G199" i="16"/>
  <c r="G198" i="16" s="1"/>
  <c r="H58" i="16"/>
  <c r="H13" i="17"/>
  <c r="H12" i="17" s="1"/>
  <c r="H11" i="17" s="1"/>
  <c r="H10" i="17" s="1"/>
  <c r="H9" i="17" s="1"/>
  <c r="G290" i="16"/>
  <c r="G288" i="16"/>
  <c r="G287" i="16" s="1"/>
  <c r="G286" i="16" s="1"/>
  <c r="H689" i="16"/>
  <c r="H688" i="16" s="1"/>
  <c r="H691" i="16"/>
  <c r="H746" i="16"/>
  <c r="G403" i="16"/>
  <c r="G402" i="16" s="1"/>
  <c r="G401" i="16" s="1"/>
  <c r="G405" i="16"/>
  <c r="H25" i="17"/>
  <c r="H24" i="17" s="1"/>
  <c r="H23" i="17" s="1"/>
  <c r="H22" i="17" s="1"/>
  <c r="H21" i="17" s="1"/>
  <c r="H395" i="16"/>
  <c r="H394" i="16" s="1"/>
  <c r="H397" i="16"/>
  <c r="G535" i="16"/>
  <c r="G534" i="16" s="1"/>
  <c r="G533" i="16" s="1"/>
  <c r="G537" i="16"/>
  <c r="G38" i="16"/>
  <c r="G36" i="16"/>
  <c r="G35" i="16" s="1"/>
  <c r="G349" i="16"/>
  <c r="G348" i="16" s="1"/>
  <c r="G347" i="16" s="1"/>
  <c r="G351" i="16"/>
  <c r="G475" i="16"/>
  <c r="G477" i="16"/>
  <c r="G710" i="16"/>
  <c r="G708" i="16"/>
  <c r="G707" i="16" s="1"/>
  <c r="G706" i="16" s="1"/>
  <c r="G705" i="16" s="1"/>
  <c r="G704" i="16" s="1"/>
  <c r="G816" i="16"/>
  <c r="G815" i="16" s="1"/>
  <c r="G814" i="16" s="1"/>
  <c r="G818" i="16"/>
  <c r="G529" i="16"/>
  <c r="G528" i="16" s="1"/>
  <c r="G531" i="16"/>
  <c r="G701" i="16"/>
  <c r="G700" i="16" s="1"/>
  <c r="G699" i="16" s="1"/>
  <c r="G703" i="16"/>
  <c r="G665" i="16"/>
  <c r="G663" i="16"/>
  <c r="G662" i="16" s="1"/>
  <c r="G827" i="16"/>
  <c r="G825" i="16"/>
  <c r="G824" i="16" s="1"/>
  <c r="G819" i="16" s="1"/>
  <c r="G40" i="16"/>
  <c r="G39" i="16" s="1"/>
  <c r="G42" i="16"/>
  <c r="H805" i="16"/>
  <c r="G203" i="14"/>
  <c r="G57" i="16"/>
  <c r="G56" i="16" s="1"/>
  <c r="G59" i="16"/>
  <c r="G684" i="16"/>
  <c r="G682" i="16"/>
  <c r="G681" i="16" s="1"/>
  <c r="G575" i="16"/>
  <c r="G573" i="16"/>
  <c r="G572" i="16" s="1"/>
  <c r="G508" i="16"/>
  <c r="G506" i="16"/>
  <c r="G505" i="16" s="1"/>
  <c r="G689" i="16"/>
  <c r="G688" i="16" s="1"/>
  <c r="G691" i="16"/>
  <c r="G52" i="16"/>
  <c r="G50" i="16"/>
  <c r="G852" i="16"/>
  <c r="G850" i="16"/>
  <c r="G849" i="16" s="1"/>
  <c r="G848" i="16" s="1"/>
  <c r="G847" i="16" s="1"/>
  <c r="G846" i="16" s="1"/>
  <c r="G426" i="16"/>
  <c r="G425" i="16" s="1"/>
  <c r="G428" i="16"/>
  <c r="G792" i="16"/>
  <c r="G791" i="16" s="1"/>
  <c r="G794" i="16"/>
  <c r="G693" i="16"/>
  <c r="G692" i="16" s="1"/>
  <c r="G695" i="16"/>
  <c r="G649" i="16"/>
  <c r="G648" i="16" s="1"/>
  <c r="G651" i="16"/>
  <c r="G813" i="16"/>
  <c r="G811" i="16"/>
  <c r="G810" i="16" s="1"/>
  <c r="G809" i="16" s="1"/>
  <c r="G472" i="16"/>
  <c r="G474" i="16"/>
  <c r="G487" i="16"/>
  <c r="G489" i="16"/>
  <c r="G309" i="16"/>
  <c r="G308" i="16" s="1"/>
  <c r="G311" i="16"/>
  <c r="G669" i="16"/>
  <c r="G667" i="16"/>
  <c r="G666" i="16" s="1"/>
  <c r="G210" i="16"/>
  <c r="G208" i="16"/>
  <c r="G207" i="16" s="1"/>
  <c r="G168" i="16"/>
  <c r="G166" i="16"/>
  <c r="G165" i="16" s="1"/>
  <c r="G582" i="16"/>
  <c r="G580" i="16"/>
  <c r="G579" i="16" s="1"/>
  <c r="G578" i="16" s="1"/>
  <c r="G510" i="16"/>
  <c r="G512" i="16"/>
  <c r="G676" i="16"/>
  <c r="G674" i="16"/>
  <c r="G191" i="16"/>
  <c r="G190" i="16" s="1"/>
  <c r="G193" i="16"/>
  <c r="H349" i="16"/>
  <c r="H348" i="16" s="1"/>
  <c r="H347" i="16" s="1"/>
  <c r="H351" i="16"/>
  <c r="G353" i="16"/>
  <c r="G352" i="16" s="1"/>
  <c r="G355" i="16"/>
  <c r="H353" i="16"/>
  <c r="H352" i="16" s="1"/>
  <c r="H355" i="16"/>
  <c r="G788" i="16"/>
  <c r="G787" i="16" s="1"/>
  <c r="G790" i="16"/>
  <c r="H616" i="16"/>
  <c r="H614" i="16"/>
  <c r="H613" i="16" s="1"/>
  <c r="H612" i="16" s="1"/>
  <c r="G435" i="16"/>
  <c r="G433" i="16"/>
  <c r="G432" i="16" s="1"/>
  <c r="G418" i="16"/>
  <c r="G417" i="16" s="1"/>
  <c r="G420" i="16"/>
  <c r="H420" i="16"/>
  <c r="G422" i="16"/>
  <c r="G421" i="16" s="1"/>
  <c r="G424" i="16"/>
  <c r="G14" i="16"/>
  <c r="G13" i="16" s="1"/>
  <c r="G16" i="16"/>
  <c r="G746" i="16"/>
  <c r="G744" i="16"/>
  <c r="G743" i="16" s="1"/>
  <c r="G742" i="16" s="1"/>
  <c r="G741" i="16" s="1"/>
  <c r="G740" i="16" s="1"/>
  <c r="H758" i="16"/>
  <c r="H757" i="16" s="1"/>
  <c r="H756" i="16" s="1"/>
  <c r="H755" i="16" s="1"/>
  <c r="H754" i="16" s="1"/>
  <c r="G760" i="16"/>
  <c r="G758" i="16"/>
  <c r="G757" i="16" s="1"/>
  <c r="G756" i="16" s="1"/>
  <c r="G755" i="16" s="1"/>
  <c r="G754" i="16" s="1"/>
  <c r="G753" i="16"/>
  <c r="G751" i="16"/>
  <c r="G750" i="16" s="1"/>
  <c r="G749" i="16" s="1"/>
  <c r="G748" i="16" s="1"/>
  <c r="G747" i="16" s="1"/>
  <c r="G680" i="16"/>
  <c r="G678" i="16"/>
  <c r="G677" i="16" s="1"/>
  <c r="H680" i="16"/>
  <c r="H678" i="16"/>
  <c r="H677" i="16" s="1"/>
  <c r="G658" i="16"/>
  <c r="G656" i="16"/>
  <c r="G564" i="16"/>
  <c r="G562" i="16"/>
  <c r="G561" i="16" s="1"/>
  <c r="G560" i="16" s="1"/>
  <c r="H10" i="16"/>
  <c r="H12" i="16"/>
  <c r="H11" i="16" s="1"/>
  <c r="H619" i="16"/>
  <c r="H618" i="16" s="1"/>
  <c r="H617" i="16" s="1"/>
  <c r="H621" i="16"/>
  <c r="G614" i="14" s="1"/>
  <c r="G613" i="14" s="1"/>
  <c r="G612" i="14" s="1"/>
  <c r="G611" i="14" s="1"/>
  <c r="G610" i="14" s="1"/>
  <c r="G152" i="16"/>
  <c r="G150" i="16"/>
  <c r="G149" i="16" s="1"/>
  <c r="G148" i="16" s="1"/>
  <c r="G145" i="16"/>
  <c r="G144" i="16" s="1"/>
  <c r="G143" i="16" s="1"/>
  <c r="G147" i="16"/>
  <c r="G411" i="16"/>
  <c r="G410" i="16" s="1"/>
  <c r="G409" i="16" s="1"/>
  <c r="G413" i="16"/>
  <c r="G189" i="16"/>
  <c r="G187" i="16"/>
  <c r="G186" i="16" s="1"/>
  <c r="G176" i="16"/>
  <c r="G174" i="16"/>
  <c r="G173" i="16" s="1"/>
  <c r="H24" i="16"/>
  <c r="H26" i="16"/>
  <c r="G524" i="16"/>
  <c r="G522" i="16"/>
  <c r="H521" i="16"/>
  <c r="H519" i="16"/>
  <c r="G519" i="16"/>
  <c r="G521" i="16"/>
  <c r="G469" i="16"/>
  <c r="G471" i="16"/>
  <c r="G656" i="5"/>
  <c r="I656" i="5" s="1"/>
  <c r="G790" i="5"/>
  <c r="I790" i="5" s="1"/>
  <c r="G788" i="5"/>
  <c r="I788" i="5" s="1"/>
  <c r="G530" i="5"/>
  <c r="I530" i="5" s="1"/>
  <c r="G511" i="5"/>
  <c r="I511" i="5" s="1"/>
  <c r="G507" i="5"/>
  <c r="I507" i="5" s="1"/>
  <c r="G468" i="5"/>
  <c r="I468" i="5" s="1"/>
  <c r="G465" i="5"/>
  <c r="I465" i="5" s="1"/>
  <c r="G462" i="5"/>
  <c r="I462" i="5" s="1"/>
  <c r="G581" i="5"/>
  <c r="I581" i="5" s="1"/>
  <c r="G210" i="5"/>
  <c r="I210" i="5" s="1"/>
  <c r="F836" i="3"/>
  <c r="H836" i="3" s="1"/>
  <c r="F939" i="3"/>
  <c r="H939" i="3" s="1"/>
  <c r="F927" i="3"/>
  <c r="H927" i="3" s="1"/>
  <c r="G23" i="6" l="1"/>
  <c r="I23" i="6" s="1"/>
  <c r="I24" i="6"/>
  <c r="G518" i="16"/>
  <c r="G517" i="16" s="1"/>
  <c r="H424" i="16"/>
  <c r="G764" i="16"/>
  <c r="G763" i="16" s="1"/>
  <c r="G762" i="16" s="1"/>
  <c r="G761" i="16" s="1"/>
  <c r="G183" i="14"/>
  <c r="H611" i="16"/>
  <c r="G598" i="16"/>
  <c r="G597" i="16" s="1"/>
  <c r="H223" i="16"/>
  <c r="H222" i="16" s="1"/>
  <c r="H114" i="16"/>
  <c r="H113" i="16" s="1"/>
  <c r="H112" i="16" s="1"/>
  <c r="H111" i="16" s="1"/>
  <c r="H110" i="16" s="1"/>
  <c r="H116" i="16"/>
  <c r="H261" i="16"/>
  <c r="H70" i="16"/>
  <c r="H69" i="16" s="1"/>
  <c r="H533" i="16"/>
  <c r="H77" i="16"/>
  <c r="H76" i="16" s="1"/>
  <c r="H227" i="16"/>
  <c r="H226" i="16" s="1"/>
  <c r="H229" i="16"/>
  <c r="H123" i="16"/>
  <c r="H121" i="16"/>
  <c r="H120" i="16" s="1"/>
  <c r="H119" i="16" s="1"/>
  <c r="H118" i="16" s="1"/>
  <c r="H117" i="16" s="1"/>
  <c r="G843" i="14"/>
  <c r="G837" i="14" s="1"/>
  <c r="H84" i="16"/>
  <c r="H83" i="16" s="1"/>
  <c r="G653" i="14"/>
  <c r="H304" i="15"/>
  <c r="H786" i="16"/>
  <c r="H285" i="16"/>
  <c r="H284" i="16" s="1"/>
  <c r="H651" i="16"/>
  <c r="H682" i="16"/>
  <c r="H681" i="16" s="1"/>
  <c r="H669" i="16"/>
  <c r="H472" i="16"/>
  <c r="H782" i="16"/>
  <c r="H375" i="16"/>
  <c r="H665" i="16"/>
  <c r="H405" i="16"/>
  <c r="H38" i="16"/>
  <c r="H309" i="16"/>
  <c r="H308" i="16" s="1"/>
  <c r="H475" i="16"/>
  <c r="H827" i="16"/>
  <c r="H428" i="16"/>
  <c r="H487" i="16"/>
  <c r="H833" i="16"/>
  <c r="H484" i="16"/>
  <c r="H582" i="16"/>
  <c r="H34" i="16"/>
  <c r="H33" i="16" s="1"/>
  <c r="H32" i="16" s="1"/>
  <c r="H176" i="16"/>
  <c r="H191" i="16"/>
  <c r="H190" i="16" s="1"/>
  <c r="H199" i="16"/>
  <c r="H198" i="16" s="1"/>
  <c r="H522" i="16"/>
  <c r="H518" i="16" s="1"/>
  <c r="H517" i="16" s="1"/>
  <c r="H393" i="16"/>
  <c r="H693" i="16"/>
  <c r="H692" i="16" s="1"/>
  <c r="H687" i="16" s="1"/>
  <c r="H686" i="16" s="1"/>
  <c r="H685" i="16" s="1"/>
  <c r="H408" i="16"/>
  <c r="H407" i="16" s="1"/>
  <c r="H818" i="16"/>
  <c r="H512" i="16"/>
  <c r="H811" i="16"/>
  <c r="H810" i="16" s="1"/>
  <c r="H809" i="16" s="1"/>
  <c r="H808" i="16" s="1"/>
  <c r="H850" i="16"/>
  <c r="H849" i="16" s="1"/>
  <c r="H848" i="16" s="1"/>
  <c r="H847" i="16" s="1"/>
  <c r="H846" i="16" s="1"/>
  <c r="H529" i="16"/>
  <c r="H528" i="16" s="1"/>
  <c r="H413" i="16"/>
  <c r="H147" i="16"/>
  <c r="H208" i="16"/>
  <c r="H207" i="16" s="1"/>
  <c r="H290" i="16"/>
  <c r="H562" i="16"/>
  <c r="H561" i="16" s="1"/>
  <c r="H537" i="16"/>
  <c r="H506" i="16"/>
  <c r="H505" i="16" s="1"/>
  <c r="H168" i="16"/>
  <c r="H424" i="15"/>
  <c r="G646" i="14"/>
  <c r="H152" i="16"/>
  <c r="H469" i="16"/>
  <c r="H790" i="16"/>
  <c r="H701" i="16"/>
  <c r="H700" i="16" s="1"/>
  <c r="H699" i="16" s="1"/>
  <c r="H710" i="16"/>
  <c r="H769" i="16"/>
  <c r="H765" i="16" s="1"/>
  <c r="H575" i="16"/>
  <c r="H792" i="16"/>
  <c r="H791" i="16" s="1"/>
  <c r="H52" i="16"/>
  <c r="H297" i="15"/>
  <c r="H674" i="16"/>
  <c r="G808" i="14"/>
  <c r="H389" i="16"/>
  <c r="H388" i="16" s="1"/>
  <c r="H387" i="16" s="1"/>
  <c r="H400" i="16"/>
  <c r="G400" i="16"/>
  <c r="H189" i="16"/>
  <c r="G285" i="16"/>
  <c r="G284" i="16" s="1"/>
  <c r="H346" i="16"/>
  <c r="H345" i="16" s="1"/>
  <c r="G408" i="16"/>
  <c r="G407" i="16" s="1"/>
  <c r="G307" i="16"/>
  <c r="G306" i="16" s="1"/>
  <c r="G305" i="16" s="1"/>
  <c r="H804" i="16"/>
  <c r="H803" i="16" s="1"/>
  <c r="H798" i="16" s="1"/>
  <c r="H797" i="16" s="1"/>
  <c r="H796" i="16" s="1"/>
  <c r="H806" i="16"/>
  <c r="G527" i="16"/>
  <c r="G526" i="16" s="1"/>
  <c r="G577" i="16"/>
  <c r="G576" i="16" s="1"/>
  <c r="G34" i="16"/>
  <c r="G33" i="16" s="1"/>
  <c r="G468" i="16"/>
  <c r="G467" i="16" s="1"/>
  <c r="G466" i="16" s="1"/>
  <c r="G808" i="16"/>
  <c r="G687" i="16"/>
  <c r="G686" i="16" s="1"/>
  <c r="G685" i="16" s="1"/>
  <c r="G55" i="16"/>
  <c r="G54" i="16" s="1"/>
  <c r="G53" i="16"/>
  <c r="G346" i="16"/>
  <c r="H569" i="16"/>
  <c r="H571" i="16"/>
  <c r="H570" i="16" s="1"/>
  <c r="G569" i="16"/>
  <c r="G571" i="16"/>
  <c r="G570" i="16" s="1"/>
  <c r="H577" i="16"/>
  <c r="H576" i="16" s="1"/>
  <c r="H59" i="16"/>
  <c r="H57" i="16"/>
  <c r="H56" i="16" s="1"/>
  <c r="G416" i="16"/>
  <c r="G415" i="16" s="1"/>
  <c r="G414" i="16" s="1"/>
  <c r="G12" i="16"/>
  <c r="G11" i="16" s="1"/>
  <c r="G10" i="16"/>
  <c r="G532" i="16"/>
  <c r="G559" i="16"/>
  <c r="G516" i="16"/>
  <c r="G787" i="5"/>
  <c r="I787" i="5" s="1"/>
  <c r="G15" i="5"/>
  <c r="F959" i="3"/>
  <c r="H959" i="3" s="1"/>
  <c r="G529" i="5"/>
  <c r="I529" i="5" s="1"/>
  <c r="G531" i="5"/>
  <c r="I531" i="5" s="1"/>
  <c r="G510" i="5"/>
  <c r="I510" i="5" s="1"/>
  <c r="G512" i="5"/>
  <c r="I512" i="5" s="1"/>
  <c r="G506" i="5"/>
  <c r="I506" i="5" s="1"/>
  <c r="G508" i="5"/>
  <c r="I508" i="5" s="1"/>
  <c r="G464" i="5"/>
  <c r="I464" i="5" s="1"/>
  <c r="G466" i="5"/>
  <c r="I466" i="5" s="1"/>
  <c r="G461" i="5"/>
  <c r="I461" i="5" s="1"/>
  <c r="G463" i="5"/>
  <c r="I463" i="5" s="1"/>
  <c r="G467" i="5"/>
  <c r="I467" i="5" s="1"/>
  <c r="G469" i="5"/>
  <c r="I469" i="5" s="1"/>
  <c r="G580" i="5"/>
  <c r="I580" i="5" s="1"/>
  <c r="G582" i="5"/>
  <c r="I582" i="5" s="1"/>
  <c r="G209" i="5"/>
  <c r="I209" i="5" s="1"/>
  <c r="G211" i="5"/>
  <c r="I211" i="5" s="1"/>
  <c r="G17" i="5"/>
  <c r="F902" i="3"/>
  <c r="F898" i="3"/>
  <c r="H898" i="3" s="1"/>
  <c r="F895" i="3"/>
  <c r="H895" i="3" s="1"/>
  <c r="F892" i="3"/>
  <c r="F888" i="3"/>
  <c r="H888" i="3" s="1"/>
  <c r="F881" i="3"/>
  <c r="H881" i="3" s="1"/>
  <c r="F863" i="3"/>
  <c r="H863" i="3" s="1"/>
  <c r="F835" i="3"/>
  <c r="H835" i="3" s="1"/>
  <c r="F818" i="3"/>
  <c r="H818" i="3" s="1"/>
  <c r="F815" i="3"/>
  <c r="H815" i="3" s="1"/>
  <c r="F813" i="3"/>
  <c r="H813" i="3" s="1"/>
  <c r="F811" i="3"/>
  <c r="H811" i="3" s="1"/>
  <c r="F806" i="3"/>
  <c r="H806" i="3" s="1"/>
  <c r="F803" i="3"/>
  <c r="H803" i="3" s="1"/>
  <c r="F801" i="3"/>
  <c r="H801" i="3" s="1"/>
  <c r="F795" i="3"/>
  <c r="H795" i="3" s="1"/>
  <c r="F790" i="3"/>
  <c r="H790" i="3" s="1"/>
  <c r="F777" i="3"/>
  <c r="H777" i="3" s="1"/>
  <c r="F773" i="3"/>
  <c r="H773" i="3" s="1"/>
  <c r="F766" i="3"/>
  <c r="H766" i="3" s="1"/>
  <c r="F762" i="3"/>
  <c r="H762" i="3" s="1"/>
  <c r="F758" i="3"/>
  <c r="H758" i="3" s="1"/>
  <c r="F756" i="3"/>
  <c r="H756" i="3" s="1"/>
  <c r="F749" i="3"/>
  <c r="H749" i="3" s="1"/>
  <c r="F747" i="3"/>
  <c r="H747" i="3" s="1"/>
  <c r="F706" i="3"/>
  <c r="H706" i="3" s="1"/>
  <c r="F702" i="3"/>
  <c r="H702" i="3" s="1"/>
  <c r="F696" i="3"/>
  <c r="F693" i="3"/>
  <c r="H693" i="3" s="1"/>
  <c r="F686" i="3"/>
  <c r="H686" i="3" s="1"/>
  <c r="F683" i="3"/>
  <c r="H683" i="3" s="1"/>
  <c r="F663" i="3"/>
  <c r="H663" i="3" s="1"/>
  <c r="F657" i="3"/>
  <c r="H657" i="3" s="1"/>
  <c r="F654" i="3"/>
  <c r="H654" i="3" s="1"/>
  <c r="G304" i="4"/>
  <c r="I304" i="4" s="1"/>
  <c r="F698" i="14" l="1"/>
  <c r="G698" i="14" s="1"/>
  <c r="H696" i="3"/>
  <c r="F895" i="14"/>
  <c r="H892" i="3"/>
  <c r="F905" i="14"/>
  <c r="H902" i="3"/>
  <c r="H764" i="16"/>
  <c r="H763" i="16" s="1"/>
  <c r="H762" i="16" s="1"/>
  <c r="H761" i="16" s="1"/>
  <c r="G460" i="5"/>
  <c r="H598" i="16"/>
  <c r="H597" i="16" s="1"/>
  <c r="G344" i="16"/>
  <c r="G345" i="16"/>
  <c r="H532" i="16"/>
  <c r="H560" i="16"/>
  <c r="H559" i="16" s="1"/>
  <c r="G525" i="16"/>
  <c r="H68" i="16"/>
  <c r="H307" i="16"/>
  <c r="H306" i="16" s="1"/>
  <c r="H305" i="16" s="1"/>
  <c r="H468" i="16"/>
  <c r="H467" i="16" s="1"/>
  <c r="H466" i="16" s="1"/>
  <c r="H527" i="16"/>
  <c r="H526" i="16" s="1"/>
  <c r="H516" i="16"/>
  <c r="G399" i="16"/>
  <c r="G398" i="16"/>
  <c r="H399" i="16"/>
  <c r="H398" i="16"/>
  <c r="H344" i="16"/>
  <c r="H55" i="16"/>
  <c r="H54" i="16" s="1"/>
  <c r="H53" i="16"/>
  <c r="G32" i="16"/>
  <c r="G303" i="4"/>
  <c r="I303" i="4" s="1"/>
  <c r="G579" i="5"/>
  <c r="G528" i="5"/>
  <c r="I528" i="5" s="1"/>
  <c r="G208" i="5"/>
  <c r="I208" i="5" s="1"/>
  <c r="G14" i="5"/>
  <c r="F662" i="3"/>
  <c r="H662" i="3" s="1"/>
  <c r="G563" i="5"/>
  <c r="F800" i="3"/>
  <c r="H800" i="3" s="1"/>
  <c r="G520" i="5"/>
  <c r="I520" i="5" s="1"/>
  <c r="F755" i="14"/>
  <c r="F776" i="3"/>
  <c r="H776" i="3" s="1"/>
  <c r="F802" i="3"/>
  <c r="F802" i="14"/>
  <c r="F653" i="3"/>
  <c r="H653" i="3" s="1"/>
  <c r="F685" i="3"/>
  <c r="H685" i="3" s="1"/>
  <c r="G523" i="5"/>
  <c r="I523" i="5" s="1"/>
  <c r="F789" i="3"/>
  <c r="H789" i="3" s="1"/>
  <c r="F958" i="3"/>
  <c r="H958" i="3" s="1"/>
  <c r="F656" i="3"/>
  <c r="H656" i="3" s="1"/>
  <c r="F746" i="3"/>
  <c r="H746" i="3" s="1"/>
  <c r="F772" i="3"/>
  <c r="H772" i="3" s="1"/>
  <c r="F794" i="3"/>
  <c r="H794" i="3" s="1"/>
  <c r="F834" i="3"/>
  <c r="H834" i="3" s="1"/>
  <c r="F880" i="3"/>
  <c r="H880" i="3" s="1"/>
  <c r="F761" i="3"/>
  <c r="H761" i="3" s="1"/>
  <c r="G536" i="5"/>
  <c r="I536" i="5" s="1"/>
  <c r="F692" i="3"/>
  <c r="H692" i="3" s="1"/>
  <c r="F695" i="3"/>
  <c r="H695" i="3" s="1"/>
  <c r="G42" i="5"/>
  <c r="I42" i="5" s="1"/>
  <c r="F701" i="3"/>
  <c r="H701" i="3" s="1"/>
  <c r="F705" i="3"/>
  <c r="H705" i="3" s="1"/>
  <c r="G459" i="5" l="1"/>
  <c r="I459" i="5" s="1"/>
  <c r="I460" i="5"/>
  <c r="G564" i="5"/>
  <c r="I564" i="5" s="1"/>
  <c r="I563" i="5"/>
  <c r="G578" i="5"/>
  <c r="I578" i="5" s="1"/>
  <c r="I579" i="5"/>
  <c r="F801" i="14"/>
  <c r="H802" i="3"/>
  <c r="H525" i="16"/>
  <c r="G521" i="5"/>
  <c r="I521" i="5" s="1"/>
  <c r="G302" i="4"/>
  <c r="I302" i="4" s="1"/>
  <c r="G53" i="5"/>
  <c r="I53" i="5" s="1"/>
  <c r="G617" i="5"/>
  <c r="I617" i="5" s="1"/>
  <c r="G527" i="5"/>
  <c r="G519" i="5"/>
  <c r="I519" i="5" s="1"/>
  <c r="G524" i="5"/>
  <c r="I524" i="5" s="1"/>
  <c r="G562" i="5"/>
  <c r="I562" i="5" s="1"/>
  <c r="G11" i="5"/>
  <c r="G13" i="5"/>
  <c r="G522" i="5"/>
  <c r="I522" i="5" s="1"/>
  <c r="F704" i="3"/>
  <c r="H704" i="3" s="1"/>
  <c r="F760" i="3"/>
  <c r="H760" i="3" s="1"/>
  <c r="F879" i="3"/>
  <c r="H879" i="3" s="1"/>
  <c r="F788" i="3"/>
  <c r="H788" i="3" s="1"/>
  <c r="F684" i="3"/>
  <c r="H684" i="3" s="1"/>
  <c r="F775" i="3"/>
  <c r="F691" i="3"/>
  <c r="H691" i="3" s="1"/>
  <c r="F694" i="3"/>
  <c r="F697" i="14"/>
  <c r="G697" i="14" s="1"/>
  <c r="F793" i="3"/>
  <c r="H793" i="3" s="1"/>
  <c r="F833" i="3"/>
  <c r="H833" i="3" s="1"/>
  <c r="F652" i="3"/>
  <c r="H652" i="3" s="1"/>
  <c r="F661" i="3"/>
  <c r="H661" i="3" s="1"/>
  <c r="G535" i="5"/>
  <c r="I535" i="5" s="1"/>
  <c r="G537" i="5"/>
  <c r="I537" i="5" s="1"/>
  <c r="G58" i="5"/>
  <c r="I58" i="5" s="1"/>
  <c r="G60" i="5"/>
  <c r="I60" i="5" s="1"/>
  <c r="G41" i="5"/>
  <c r="I41" i="5" s="1"/>
  <c r="G43" i="5"/>
  <c r="I43" i="5" s="1"/>
  <c r="G37" i="5"/>
  <c r="I37" i="5" s="1"/>
  <c r="G39" i="5"/>
  <c r="I39" i="5" s="1"/>
  <c r="G577" i="5" l="1"/>
  <c r="G576" i="5" s="1"/>
  <c r="I576" i="5" s="1"/>
  <c r="G526" i="5"/>
  <c r="I526" i="5" s="1"/>
  <c r="I527" i="5"/>
  <c r="F696" i="14"/>
  <c r="G696" i="14" s="1"/>
  <c r="G692" i="14" s="1"/>
  <c r="H694" i="3"/>
  <c r="F774" i="3"/>
  <c r="H774" i="3" s="1"/>
  <c r="H775" i="3"/>
  <c r="H313" i="15"/>
  <c r="G313" i="15"/>
  <c r="G832" i="14"/>
  <c r="G831" i="14" s="1"/>
  <c r="G830" i="14" s="1"/>
  <c r="F832" i="14"/>
  <c r="F831" i="14" s="1"/>
  <c r="F830" i="14" s="1"/>
  <c r="G758" i="14"/>
  <c r="F758" i="14"/>
  <c r="G881" i="14"/>
  <c r="G880" i="14" s="1"/>
  <c r="F881" i="14"/>
  <c r="F880" i="14" s="1"/>
  <c r="G36" i="5"/>
  <c r="I36" i="5" s="1"/>
  <c r="G534" i="5"/>
  <c r="G561" i="5"/>
  <c r="I561" i="5" s="1"/>
  <c r="G40" i="5"/>
  <c r="I40" i="5" s="1"/>
  <c r="G616" i="5"/>
  <c r="I616" i="5" s="1"/>
  <c r="G518" i="5"/>
  <c r="F660" i="3"/>
  <c r="H660" i="3" s="1"/>
  <c r="F832" i="3"/>
  <c r="H832" i="3" s="1"/>
  <c r="F703" i="3"/>
  <c r="H703" i="3" s="1"/>
  <c r="F690" i="3"/>
  <c r="H690" i="3" s="1"/>
  <c r="F792" i="3"/>
  <c r="H792" i="3" s="1"/>
  <c r="F787" i="3"/>
  <c r="H787" i="3" s="1"/>
  <c r="F647" i="3"/>
  <c r="H647" i="3" s="1"/>
  <c r="F645" i="3"/>
  <c r="H645" i="3" s="1"/>
  <c r="F643" i="3"/>
  <c r="H643" i="3" s="1"/>
  <c r="F682" i="3"/>
  <c r="H682" i="3" s="1"/>
  <c r="F722" i="3"/>
  <c r="H722" i="3" s="1"/>
  <c r="F738" i="3"/>
  <c r="H738" i="3" s="1"/>
  <c r="F634" i="3"/>
  <c r="H634" i="3" s="1"/>
  <c r="F627" i="3"/>
  <c r="H627" i="3" s="1"/>
  <c r="F585" i="3"/>
  <c r="H585" i="3" s="1"/>
  <c r="F611" i="3"/>
  <c r="H611" i="3" s="1"/>
  <c r="F570" i="3"/>
  <c r="H570" i="3" s="1"/>
  <c r="F606" i="3"/>
  <c r="H606" i="3" s="1"/>
  <c r="F563" i="3"/>
  <c r="H563" i="3" s="1"/>
  <c r="F553" i="3"/>
  <c r="H553" i="3" s="1"/>
  <c r="F547" i="3"/>
  <c r="H547" i="3" s="1"/>
  <c r="F544" i="3"/>
  <c r="H544" i="3" s="1"/>
  <c r="F534" i="3"/>
  <c r="H534" i="3" s="1"/>
  <c r="F523" i="3"/>
  <c r="H523" i="3" s="1"/>
  <c r="F528" i="3"/>
  <c r="H528" i="3" s="1"/>
  <c r="F514" i="3"/>
  <c r="H514" i="3" s="1"/>
  <c r="F504" i="3"/>
  <c r="H504" i="3" s="1"/>
  <c r="F500" i="3"/>
  <c r="H500" i="3" s="1"/>
  <c r="F497" i="3"/>
  <c r="H497" i="3" s="1"/>
  <c r="F490" i="3"/>
  <c r="H490" i="3" s="1"/>
  <c r="F484" i="3"/>
  <c r="H484" i="3" s="1"/>
  <c r="F477" i="3"/>
  <c r="H477" i="3" s="1"/>
  <c r="F465" i="3"/>
  <c r="H465" i="3" s="1"/>
  <c r="F460" i="3"/>
  <c r="H460" i="3" s="1"/>
  <c r="F456" i="3"/>
  <c r="H456" i="3" s="1"/>
  <c r="F439" i="3"/>
  <c r="H439" i="3" s="1"/>
  <c r="F441" i="3"/>
  <c r="H441" i="3" s="1"/>
  <c r="F446" i="3"/>
  <c r="H446" i="3" s="1"/>
  <c r="I577" i="5" l="1"/>
  <c r="F692" i="14"/>
  <c r="G517" i="5"/>
  <c r="I518" i="5"/>
  <c r="G525" i="5"/>
  <c r="I525" i="5" s="1"/>
  <c r="I534" i="5"/>
  <c r="D42" i="13"/>
  <c r="G560" i="5"/>
  <c r="I560" i="5" s="1"/>
  <c r="G533" i="5"/>
  <c r="I533" i="5" s="1"/>
  <c r="G791" i="14"/>
  <c r="G790" i="14" s="1"/>
  <c r="F791" i="14"/>
  <c r="F790" i="14" s="1"/>
  <c r="G662" i="14"/>
  <c r="F662" i="14"/>
  <c r="G705" i="14"/>
  <c r="F705" i="14"/>
  <c r="E42" i="13"/>
  <c r="G35" i="5"/>
  <c r="I35" i="5" s="1"/>
  <c r="F626" i="3"/>
  <c r="H626" i="3" s="1"/>
  <c r="F681" i="3"/>
  <c r="H681" i="3" s="1"/>
  <c r="F786" i="3"/>
  <c r="H786" i="3" s="1"/>
  <c r="F464" i="3"/>
  <c r="H464" i="3" s="1"/>
  <c r="G193" i="5"/>
  <c r="I193" i="5" s="1"/>
  <c r="F633" i="3"/>
  <c r="H633" i="3" s="1"/>
  <c r="F639" i="14"/>
  <c r="G639" i="14" s="1"/>
  <c r="F642" i="3"/>
  <c r="H642" i="3" s="1"/>
  <c r="F831" i="3"/>
  <c r="H831" i="3" s="1"/>
  <c r="G201" i="5"/>
  <c r="F737" i="3"/>
  <c r="H737" i="3" s="1"/>
  <c r="F644" i="3"/>
  <c r="H644" i="3" s="1"/>
  <c r="F445" i="3"/>
  <c r="H445" i="3" s="1"/>
  <c r="G168" i="5"/>
  <c r="I168" i="5" s="1"/>
  <c r="G189" i="5"/>
  <c r="G176" i="5"/>
  <c r="F455" i="3"/>
  <c r="F463" i="14"/>
  <c r="G463" i="14" s="1"/>
  <c r="F527" i="3"/>
  <c r="H527" i="3" s="1"/>
  <c r="F562" i="3"/>
  <c r="H562" i="3" s="1"/>
  <c r="G311" i="5"/>
  <c r="I311" i="5" s="1"/>
  <c r="F721" i="3"/>
  <c r="H721" i="3" s="1"/>
  <c r="F646" i="3"/>
  <c r="H646" i="3" s="1"/>
  <c r="F476" i="3"/>
  <c r="H476" i="3" s="1"/>
  <c r="F425" i="3"/>
  <c r="F428" i="3"/>
  <c r="H428" i="3" s="1"/>
  <c r="F389" i="3"/>
  <c r="H389" i="3" s="1"/>
  <c r="G510" i="14"/>
  <c r="G509" i="14" s="1"/>
  <c r="G503" i="14"/>
  <c r="G502" i="14" s="1"/>
  <c r="G946" i="4"/>
  <c r="I946" i="4" s="1"/>
  <c r="F407" i="3"/>
  <c r="H407" i="3" s="1"/>
  <c r="F403" i="3"/>
  <c r="H403" i="3" s="1"/>
  <c r="G175" i="5" l="1"/>
  <c r="I175" i="5" s="1"/>
  <c r="I176" i="5"/>
  <c r="G188" i="5"/>
  <c r="I188" i="5" s="1"/>
  <c r="I189" i="5"/>
  <c r="G200" i="5"/>
  <c r="I200" i="5" s="1"/>
  <c r="I201" i="5"/>
  <c r="G516" i="5"/>
  <c r="I516" i="5" s="1"/>
  <c r="I517" i="5"/>
  <c r="F434" i="14"/>
  <c r="G434" i="14" s="1"/>
  <c r="H425" i="3"/>
  <c r="F462" i="14"/>
  <c r="G462" i="14" s="1"/>
  <c r="H455" i="3"/>
  <c r="H137" i="16"/>
  <c r="H136" i="16" s="1"/>
  <c r="H135" i="16" s="1"/>
  <c r="H134" i="16" s="1"/>
  <c r="H139" i="16"/>
  <c r="H843" i="16"/>
  <c r="H842" i="16" s="1"/>
  <c r="H841" i="16" s="1"/>
  <c r="H840" i="16" s="1"/>
  <c r="H845" i="16" s="1"/>
  <c r="G945" i="4"/>
  <c r="I945" i="4" s="1"/>
  <c r="G194" i="5"/>
  <c r="I194" i="5" s="1"/>
  <c r="G192" i="5"/>
  <c r="I192" i="5" s="1"/>
  <c r="F641" i="3"/>
  <c r="G144" i="5"/>
  <c r="I144" i="5" s="1"/>
  <c r="G312" i="5"/>
  <c r="I312" i="5" s="1"/>
  <c r="G177" i="5"/>
  <c r="I177" i="5" s="1"/>
  <c r="G202" i="5"/>
  <c r="I202" i="5" s="1"/>
  <c r="G169" i="5"/>
  <c r="I169" i="5" s="1"/>
  <c r="G167" i="5"/>
  <c r="I167" i="5" s="1"/>
  <c r="G190" i="5"/>
  <c r="I190" i="5" s="1"/>
  <c r="G147" i="5"/>
  <c r="I147" i="5" s="1"/>
  <c r="G648" i="5"/>
  <c r="I648" i="5" s="1"/>
  <c r="F412" i="14"/>
  <c r="F475" i="3"/>
  <c r="F720" i="3"/>
  <c r="H720" i="3" s="1"/>
  <c r="F444" i="3"/>
  <c r="H444" i="3" s="1"/>
  <c r="F736" i="3"/>
  <c r="H736" i="3" s="1"/>
  <c r="D44" i="2"/>
  <c r="F44" i="2" s="1"/>
  <c r="F632" i="3"/>
  <c r="H632" i="3" s="1"/>
  <c r="F638" i="14"/>
  <c r="G638" i="14" s="1"/>
  <c r="F463" i="3"/>
  <c r="H463" i="3" s="1"/>
  <c r="F680" i="3"/>
  <c r="H680" i="3" s="1"/>
  <c r="F388" i="3"/>
  <c r="H388" i="3" s="1"/>
  <c r="F424" i="3"/>
  <c r="H424" i="3" s="1"/>
  <c r="G681" i="5"/>
  <c r="I681" i="5" s="1"/>
  <c r="F427" i="3"/>
  <c r="H427" i="3" s="1"/>
  <c r="G685" i="5"/>
  <c r="I685" i="5" s="1"/>
  <c r="F378" i="3"/>
  <c r="F374" i="3"/>
  <c r="F370" i="3"/>
  <c r="F349" i="3"/>
  <c r="F344" i="3"/>
  <c r="H344" i="3" s="1"/>
  <c r="F346" i="3"/>
  <c r="H346" i="3" s="1"/>
  <c r="F341" i="3"/>
  <c r="H341" i="3" s="1"/>
  <c r="F336" i="3"/>
  <c r="H336" i="3" s="1"/>
  <c r="F338" i="3"/>
  <c r="H338" i="3" s="1"/>
  <c r="F330" i="3"/>
  <c r="H330" i="3" s="1"/>
  <c r="F332" i="3"/>
  <c r="F326" i="3"/>
  <c r="H326" i="3" s="1"/>
  <c r="F324" i="3"/>
  <c r="H324" i="3" s="1"/>
  <c r="F264" i="3"/>
  <c r="H264" i="3" s="1"/>
  <c r="F270" i="3"/>
  <c r="H270" i="3" s="1"/>
  <c r="F294" i="3"/>
  <c r="F290" i="3"/>
  <c r="H290" i="3" s="1"/>
  <c r="F286" i="3"/>
  <c r="F303" i="3"/>
  <c r="H303" i="3" s="1"/>
  <c r="F248" i="3"/>
  <c r="H248" i="3" s="1"/>
  <c r="F252" i="3"/>
  <c r="H252" i="3" s="1"/>
  <c r="F241" i="3"/>
  <c r="H241" i="3" s="1"/>
  <c r="F229" i="3"/>
  <c r="H229" i="3" s="1"/>
  <c r="F222" i="3"/>
  <c r="H222" i="3" s="1"/>
  <c r="F60" i="3"/>
  <c r="H60" i="3" s="1"/>
  <c r="F191" i="3"/>
  <c r="H191" i="3" s="1"/>
  <c r="F185" i="3"/>
  <c r="H185" i="3" s="1"/>
  <c r="F159" i="3"/>
  <c r="H159" i="3" s="1"/>
  <c r="F215" i="3"/>
  <c r="H215" i="3" s="1"/>
  <c r="G174" i="5" l="1"/>
  <c r="I174" i="5" s="1"/>
  <c r="G199" i="5"/>
  <c r="I199" i="5" s="1"/>
  <c r="F433" i="14"/>
  <c r="F432" i="14" s="1"/>
  <c r="G187" i="5"/>
  <c r="I187" i="5" s="1"/>
  <c r="F296" i="14"/>
  <c r="G296" i="14" s="1"/>
  <c r="H286" i="3"/>
  <c r="F304" i="14"/>
  <c r="G304" i="14" s="1"/>
  <c r="H294" i="3"/>
  <c r="F358" i="14"/>
  <c r="G358" i="14" s="1"/>
  <c r="H349" i="3"/>
  <c r="F341" i="14"/>
  <c r="G341" i="14" s="1"/>
  <c r="H332" i="3"/>
  <c r="F379" i="14"/>
  <c r="G379" i="14" s="1"/>
  <c r="H370" i="3"/>
  <c r="F474" i="3"/>
  <c r="H474" i="3" s="1"/>
  <c r="H475" i="3"/>
  <c r="F383" i="14"/>
  <c r="G383" i="14" s="1"/>
  <c r="H374" i="3"/>
  <c r="F640" i="3"/>
  <c r="H640" i="3" s="1"/>
  <c r="H641" i="3"/>
  <c r="F387" i="14"/>
  <c r="G387" i="14" s="1"/>
  <c r="H378" i="3"/>
  <c r="G336" i="14"/>
  <c r="F325" i="3"/>
  <c r="H325" i="3" s="1"/>
  <c r="G682" i="14"/>
  <c r="G681" i="14" s="1"/>
  <c r="F682" i="14"/>
  <c r="F681" i="14" s="1"/>
  <c r="F190" i="3"/>
  <c r="H190" i="3" s="1"/>
  <c r="G944" i="4"/>
  <c r="I944" i="4" s="1"/>
  <c r="G647" i="5"/>
  <c r="I647" i="5" s="1"/>
  <c r="G649" i="5"/>
  <c r="I649" i="5" s="1"/>
  <c r="G146" i="5"/>
  <c r="G532" i="5"/>
  <c r="I532" i="5" s="1"/>
  <c r="G191" i="5"/>
  <c r="I191" i="5" s="1"/>
  <c r="G166" i="5"/>
  <c r="I166" i="5" s="1"/>
  <c r="F221" i="3"/>
  <c r="H221" i="3" s="1"/>
  <c r="F229" i="14"/>
  <c r="G229" i="14" s="1"/>
  <c r="F158" i="3"/>
  <c r="H158" i="3" s="1"/>
  <c r="F155" i="14"/>
  <c r="G155" i="14" s="1"/>
  <c r="F426" i="3"/>
  <c r="H426" i="3" s="1"/>
  <c r="F240" i="3"/>
  <c r="H240" i="3" s="1"/>
  <c r="F263" i="3"/>
  <c r="H263" i="3" s="1"/>
  <c r="F345" i="3"/>
  <c r="F355" i="14"/>
  <c r="G355" i="14" s="1"/>
  <c r="F679" i="3"/>
  <c r="H679" i="3" s="1"/>
  <c r="F184" i="3"/>
  <c r="H184" i="3" s="1"/>
  <c r="F247" i="3"/>
  <c r="H247" i="3" s="1"/>
  <c r="F335" i="3"/>
  <c r="F345" i="14"/>
  <c r="G345" i="14" s="1"/>
  <c r="F423" i="3"/>
  <c r="H423" i="3" s="1"/>
  <c r="F387" i="3"/>
  <c r="H387" i="3" s="1"/>
  <c r="F269" i="3"/>
  <c r="H269" i="3" s="1"/>
  <c r="F340" i="3"/>
  <c r="H340" i="3" s="1"/>
  <c r="F350" i="14"/>
  <c r="G350" i="14" s="1"/>
  <c r="F323" i="3"/>
  <c r="G334" i="14"/>
  <c r="F337" i="3"/>
  <c r="F347" i="14"/>
  <c r="G347" i="14" s="1"/>
  <c r="F343" i="3"/>
  <c r="F353" i="14"/>
  <c r="G353" i="14" s="1"/>
  <c r="F631" i="3"/>
  <c r="H631" i="3" s="1"/>
  <c r="F637" i="14"/>
  <c r="F369" i="3"/>
  <c r="H369" i="3" s="1"/>
  <c r="G736" i="5"/>
  <c r="I736" i="5" s="1"/>
  <c r="F373" i="3"/>
  <c r="H373" i="3" s="1"/>
  <c r="G743" i="5"/>
  <c r="I743" i="5" s="1"/>
  <c r="G684" i="5"/>
  <c r="I684" i="5" s="1"/>
  <c r="G686" i="5"/>
  <c r="I686" i="5" s="1"/>
  <c r="F251" i="3"/>
  <c r="H251" i="3" s="1"/>
  <c r="G700" i="5"/>
  <c r="I700" i="5" s="1"/>
  <c r="F377" i="3"/>
  <c r="H377" i="3" s="1"/>
  <c r="G750" i="5"/>
  <c r="I750" i="5" s="1"/>
  <c r="G682" i="5"/>
  <c r="I682" i="5" s="1"/>
  <c r="G680" i="5"/>
  <c r="I680" i="5" s="1"/>
  <c r="F214" i="3"/>
  <c r="H214" i="3" s="1"/>
  <c r="F302" i="3"/>
  <c r="H302" i="3" s="1"/>
  <c r="G354" i="5"/>
  <c r="I354" i="5" s="1"/>
  <c r="F285" i="3"/>
  <c r="H285" i="3" s="1"/>
  <c r="G76" i="5"/>
  <c r="I76" i="5" s="1"/>
  <c r="F293" i="3"/>
  <c r="H293" i="3" s="1"/>
  <c r="F289" i="3"/>
  <c r="H289" i="3" s="1"/>
  <c r="F210" i="3"/>
  <c r="H210" i="3" s="1"/>
  <c r="F196" i="3"/>
  <c r="H196" i="3" s="1"/>
  <c r="F200" i="3"/>
  <c r="H200" i="3" s="1"/>
  <c r="F182" i="3"/>
  <c r="H182" i="3" s="1"/>
  <c r="F176" i="14"/>
  <c r="G176" i="14" s="1"/>
  <c r="F168" i="3"/>
  <c r="H168" i="3" s="1"/>
  <c r="F145" i="3"/>
  <c r="H145" i="3" s="1"/>
  <c r="F94" i="3"/>
  <c r="H94" i="3" s="1"/>
  <c r="F103" i="3"/>
  <c r="H103" i="3" s="1"/>
  <c r="G433" i="14" l="1"/>
  <c r="G145" i="5"/>
  <c r="I145" i="5" s="1"/>
  <c r="I146" i="5"/>
  <c r="G333" i="14"/>
  <c r="H323" i="3"/>
  <c r="F352" i="14"/>
  <c r="G352" i="14" s="1"/>
  <c r="H343" i="3"/>
  <c r="F344" i="14"/>
  <c r="G344" i="14" s="1"/>
  <c r="H335" i="3"/>
  <c r="F354" i="14"/>
  <c r="G354" i="14" s="1"/>
  <c r="H345" i="3"/>
  <c r="F346" i="14"/>
  <c r="G346" i="14" s="1"/>
  <c r="H337" i="3"/>
  <c r="H131" i="16"/>
  <c r="H130" i="16" s="1"/>
  <c r="H129" i="16" s="1"/>
  <c r="H128" i="16" s="1"/>
  <c r="H127" i="16" s="1"/>
  <c r="H109" i="16" s="1"/>
  <c r="H133" i="16"/>
  <c r="H955" i="15"/>
  <c r="H954" i="15" s="1"/>
  <c r="G955" i="15"/>
  <c r="G954" i="15" s="1"/>
  <c r="G637" i="14"/>
  <c r="G636" i="14" s="1"/>
  <c r="F636" i="14"/>
  <c r="G432" i="14"/>
  <c r="G431" i="14" s="1"/>
  <c r="F431" i="14"/>
  <c r="G645" i="14"/>
  <c r="F645" i="14"/>
  <c r="G943" i="4"/>
  <c r="I943" i="4" s="1"/>
  <c r="G74" i="5"/>
  <c r="I74" i="5" s="1"/>
  <c r="G751" i="5"/>
  <c r="I751" i="5" s="1"/>
  <c r="G737" i="5"/>
  <c r="I737" i="5" s="1"/>
  <c r="G683" i="5"/>
  <c r="I683" i="5" s="1"/>
  <c r="G679" i="5"/>
  <c r="I679" i="5" s="1"/>
  <c r="G744" i="5"/>
  <c r="I744" i="5" s="1"/>
  <c r="F178" i="3"/>
  <c r="H178" i="3" s="1"/>
  <c r="F250" i="3"/>
  <c r="H250" i="3" s="1"/>
  <c r="F372" i="3"/>
  <c r="H372" i="3" s="1"/>
  <c r="F382" i="14"/>
  <c r="G382" i="14" s="1"/>
  <c r="F339" i="3"/>
  <c r="F349" i="14"/>
  <c r="G349" i="14" s="1"/>
  <c r="F386" i="3"/>
  <c r="H386" i="3" s="1"/>
  <c r="F157" i="3"/>
  <c r="F154" i="14"/>
  <c r="G154" i="14" s="1"/>
  <c r="F144" i="3"/>
  <c r="H144" i="3" s="1"/>
  <c r="F376" i="3"/>
  <c r="H376" i="3" s="1"/>
  <c r="F386" i="14"/>
  <c r="G386" i="14" s="1"/>
  <c r="F368" i="3"/>
  <c r="H368" i="3" s="1"/>
  <c r="F378" i="14"/>
  <c r="G378" i="14" s="1"/>
  <c r="F167" i="3"/>
  <c r="H167" i="3" s="1"/>
  <c r="F334" i="3"/>
  <c r="F288" i="3"/>
  <c r="F292" i="3"/>
  <c r="H292" i="3" s="1"/>
  <c r="F303" i="14"/>
  <c r="G303" i="14" s="1"/>
  <c r="F301" i="3"/>
  <c r="H301" i="3" s="1"/>
  <c r="F422" i="3"/>
  <c r="H422" i="3" s="1"/>
  <c r="F181" i="3"/>
  <c r="H181" i="3" s="1"/>
  <c r="F284" i="3"/>
  <c r="H284" i="3" s="1"/>
  <c r="F295" i="14"/>
  <c r="G295" i="14" s="1"/>
  <c r="F342" i="3"/>
  <c r="F246" i="3"/>
  <c r="F262" i="3"/>
  <c r="H262" i="3" s="1"/>
  <c r="F220" i="3"/>
  <c r="H220" i="3" s="1"/>
  <c r="F228" i="14"/>
  <c r="G228" i="14" s="1"/>
  <c r="G699" i="5"/>
  <c r="I699" i="5" s="1"/>
  <c r="G701" i="5"/>
  <c r="I701" i="5" s="1"/>
  <c r="G353" i="5"/>
  <c r="I353" i="5" s="1"/>
  <c r="G355" i="5"/>
  <c r="I355" i="5" s="1"/>
  <c r="G88" i="5"/>
  <c r="I88" i="5" s="1"/>
  <c r="G90" i="5"/>
  <c r="I90" i="5" s="1"/>
  <c r="G81" i="5"/>
  <c r="I81" i="5" s="1"/>
  <c r="G83" i="5"/>
  <c r="I83" i="5" s="1"/>
  <c r="F102" i="3"/>
  <c r="H102" i="3" s="1"/>
  <c r="G388" i="5"/>
  <c r="I388" i="5" s="1"/>
  <c r="F93" i="3"/>
  <c r="H93" i="3" s="1"/>
  <c r="G374" i="5"/>
  <c r="I374" i="5" s="1"/>
  <c r="F120" i="3"/>
  <c r="H120" i="3" s="1"/>
  <c r="F125" i="3"/>
  <c r="H125" i="3" s="1"/>
  <c r="F114" i="3"/>
  <c r="H114" i="3" s="1"/>
  <c r="F111" i="3"/>
  <c r="H111" i="3" s="1"/>
  <c r="F64" i="3"/>
  <c r="H64" i="3" s="1"/>
  <c r="F59" i="3"/>
  <c r="H59" i="3" s="1"/>
  <c r="F41" i="3"/>
  <c r="H41" i="3" s="1"/>
  <c r="F20" i="3"/>
  <c r="H20" i="3" s="1"/>
  <c r="F351" i="14" l="1"/>
  <c r="G351" i="14" s="1"/>
  <c r="H342" i="3"/>
  <c r="F287" i="3"/>
  <c r="H287" i="3" s="1"/>
  <c r="H288" i="3"/>
  <c r="F348" i="14"/>
  <c r="G348" i="14" s="1"/>
  <c r="H339" i="3"/>
  <c r="F343" i="14"/>
  <c r="G343" i="14" s="1"/>
  <c r="H334" i="3"/>
  <c r="F153" i="14"/>
  <c r="G153" i="14" s="1"/>
  <c r="H157" i="3"/>
  <c r="F245" i="3"/>
  <c r="H245" i="3" s="1"/>
  <c r="H246" i="3"/>
  <c r="F300" i="3"/>
  <c r="H300" i="3" s="1"/>
  <c r="F294" i="14"/>
  <c r="F283" i="3"/>
  <c r="H283" i="3" s="1"/>
  <c r="F302" i="14"/>
  <c r="F291" i="3"/>
  <c r="H291" i="3" s="1"/>
  <c r="G395" i="14"/>
  <c r="G394" i="14" s="1"/>
  <c r="F395" i="14"/>
  <c r="F394" i="14" s="1"/>
  <c r="G352" i="5"/>
  <c r="G698" i="5"/>
  <c r="I698" i="5" s="1"/>
  <c r="G375" i="5"/>
  <c r="I375" i="5" s="1"/>
  <c r="G678" i="5"/>
  <c r="I678" i="5" s="1"/>
  <c r="G80" i="5"/>
  <c r="G87" i="5"/>
  <c r="F40" i="3"/>
  <c r="F43" i="14"/>
  <c r="G43" i="14" s="1"/>
  <c r="F58" i="3"/>
  <c r="H58" i="3" s="1"/>
  <c r="F249" i="3"/>
  <c r="H249" i="3" s="1"/>
  <c r="F63" i="3"/>
  <c r="H63" i="3" s="1"/>
  <c r="F124" i="3"/>
  <c r="H124" i="3" s="1"/>
  <c r="F174" i="14"/>
  <c r="G174" i="14" s="1"/>
  <c r="F175" i="14"/>
  <c r="G175" i="14" s="1"/>
  <c r="F101" i="3"/>
  <c r="F261" i="3"/>
  <c r="H261" i="3" s="1"/>
  <c r="F110" i="3"/>
  <c r="H110" i="3" s="1"/>
  <c r="F219" i="3"/>
  <c r="H219" i="3" s="1"/>
  <c r="F227" i="14"/>
  <c r="F113" i="3"/>
  <c r="H113" i="3" s="1"/>
  <c r="F367" i="3"/>
  <c r="H367" i="3" s="1"/>
  <c r="F377" i="14"/>
  <c r="F19" i="3"/>
  <c r="F166" i="3"/>
  <c r="H166" i="3" s="1"/>
  <c r="F375" i="3"/>
  <c r="H375" i="3" s="1"/>
  <c r="F385" i="14"/>
  <c r="F143" i="3"/>
  <c r="H143" i="3" s="1"/>
  <c r="F385" i="3"/>
  <c r="H385" i="3" s="1"/>
  <c r="F371" i="3"/>
  <c r="H371" i="3" s="1"/>
  <c r="F381" i="14"/>
  <c r="G387" i="5"/>
  <c r="I387" i="5" s="1"/>
  <c r="G389" i="5"/>
  <c r="I389" i="5" s="1"/>
  <c r="F299" i="3" l="1"/>
  <c r="H299" i="3" s="1"/>
  <c r="G86" i="5"/>
  <c r="I86" i="5" s="1"/>
  <c r="I87" i="5"/>
  <c r="G79" i="5"/>
  <c r="I79" i="5" s="1"/>
  <c r="I80" i="5"/>
  <c r="G351" i="5"/>
  <c r="I351" i="5" s="1"/>
  <c r="I352" i="5"/>
  <c r="G18" i="14"/>
  <c r="H19" i="3"/>
  <c r="F100" i="3"/>
  <c r="H100" i="3" s="1"/>
  <c r="H101" i="3"/>
  <c r="F42" i="14"/>
  <c r="G42" i="14" s="1"/>
  <c r="H40" i="3"/>
  <c r="G302" i="14"/>
  <c r="G301" i="14" s="1"/>
  <c r="F301" i="14"/>
  <c r="G294" i="14"/>
  <c r="G293" i="14" s="1"/>
  <c r="F293" i="14"/>
  <c r="G1065" i="15"/>
  <c r="G1064" i="15" s="1"/>
  <c r="F62" i="3"/>
  <c r="H62" i="3" s="1"/>
  <c r="F282" i="3"/>
  <c r="H282" i="3" s="1"/>
  <c r="G381" i="14"/>
  <c r="G380" i="14" s="1"/>
  <c r="F380" i="14"/>
  <c r="G377" i="14"/>
  <c r="G376" i="14" s="1"/>
  <c r="F376" i="14"/>
  <c r="G227" i="14"/>
  <c r="G226" i="14" s="1"/>
  <c r="G225" i="14" s="1"/>
  <c r="G224" i="14" s="1"/>
  <c r="G223" i="14" s="1"/>
  <c r="F226" i="14"/>
  <c r="F225" i="14" s="1"/>
  <c r="F224" i="14" s="1"/>
  <c r="F223" i="14" s="1"/>
  <c r="G271" i="14"/>
  <c r="F271" i="14"/>
  <c r="F270" i="14" s="1"/>
  <c r="F269" i="14" s="1"/>
  <c r="D25" i="13" s="1"/>
  <c r="G385" i="14"/>
  <c r="G384" i="14" s="1"/>
  <c r="F384" i="14"/>
  <c r="F259" i="14"/>
  <c r="G677" i="5"/>
  <c r="I677" i="5" s="1"/>
  <c r="G386" i="5"/>
  <c r="G697" i="5"/>
  <c r="I697" i="5" s="1"/>
  <c r="F218" i="3"/>
  <c r="H218" i="3" s="1"/>
  <c r="F123" i="3"/>
  <c r="H123" i="3" s="1"/>
  <c r="F112" i="3"/>
  <c r="H112" i="3" s="1"/>
  <c r="H495" i="15"/>
  <c r="G85" i="5" l="1"/>
  <c r="I85" i="5" s="1"/>
  <c r="G385" i="5"/>
  <c r="I386" i="5"/>
  <c r="G292" i="14"/>
  <c r="G291" i="14" s="1"/>
  <c r="F292" i="14"/>
  <c r="F291" i="14" s="1"/>
  <c r="H494" i="15"/>
  <c r="H841" i="15"/>
  <c r="F144" i="14"/>
  <c r="F143" i="14" s="1"/>
  <c r="G840" i="15"/>
  <c r="H1065" i="15"/>
  <c r="H1064" i="15" s="1"/>
  <c r="G78" i="5"/>
  <c r="G350" i="5"/>
  <c r="G696" i="5"/>
  <c r="I696" i="5" s="1"/>
  <c r="G676" i="5"/>
  <c r="I676" i="5" s="1"/>
  <c r="F281" i="3"/>
  <c r="H281" i="3" s="1"/>
  <c r="F217" i="3"/>
  <c r="H217" i="3" s="1"/>
  <c r="G84" i="5" l="1"/>
  <c r="I84" i="5" s="1"/>
  <c r="G77" i="5"/>
  <c r="I77" i="5" s="1"/>
  <c r="I78" i="5"/>
  <c r="G384" i="5"/>
  <c r="I385" i="5"/>
  <c r="G349" i="5"/>
  <c r="I349" i="5" s="1"/>
  <c r="I350" i="5"/>
  <c r="G50" i="14"/>
  <c r="G56" i="15"/>
  <c r="F49" i="14"/>
  <c r="H840" i="15"/>
  <c r="G144" i="14"/>
  <c r="G143" i="14" s="1"/>
  <c r="G1060" i="15"/>
  <c r="G1059" i="15" s="1"/>
  <c r="F952" i="3"/>
  <c r="H952" i="3" s="1"/>
  <c r="F745" i="3"/>
  <c r="F118" i="3"/>
  <c r="H118" i="3" s="1"/>
  <c r="G695" i="5"/>
  <c r="I695" i="5" s="1"/>
  <c r="G348" i="5"/>
  <c r="I348" i="5" s="1"/>
  <c r="F216" i="3"/>
  <c r="H216" i="3" s="1"/>
  <c r="G985" i="4"/>
  <c r="I985" i="4" s="1"/>
  <c r="G906" i="4"/>
  <c r="I906" i="4" s="1"/>
  <c r="H895" i="15"/>
  <c r="G383" i="5" l="1"/>
  <c r="I383" i="5" s="1"/>
  <c r="I384" i="5"/>
  <c r="F744" i="3"/>
  <c r="H744" i="3" s="1"/>
  <c r="H745" i="3"/>
  <c r="H17" i="15"/>
  <c r="G16" i="15"/>
  <c r="F120" i="14"/>
  <c r="F119" i="14" s="1"/>
  <c r="F747" i="14"/>
  <c r="F746" i="14" s="1"/>
  <c r="F745" i="14" s="1"/>
  <c r="G362" i="15"/>
  <c r="G361" i="15" s="1"/>
  <c r="G360" i="15" s="1"/>
  <c r="H56" i="15"/>
  <c r="G49" i="14"/>
  <c r="H1060" i="15"/>
  <c r="H1059" i="15" s="1"/>
  <c r="G22" i="14"/>
  <c r="G21" i="14" s="1"/>
  <c r="F21" i="14"/>
  <c r="H363" i="15"/>
  <c r="G482" i="16"/>
  <c r="F117" i="3"/>
  <c r="H117" i="3" s="1"/>
  <c r="G905" i="4"/>
  <c r="G917" i="15"/>
  <c r="H917" i="15" s="1"/>
  <c r="G984" i="4"/>
  <c r="I984" i="4" s="1"/>
  <c r="F310" i="3"/>
  <c r="G880" i="15"/>
  <c r="H880" i="15" s="1"/>
  <c r="F22" i="3"/>
  <c r="H22" i="3" s="1"/>
  <c r="G867" i="4"/>
  <c r="G879" i="15" l="1"/>
  <c r="H879" i="15" s="1"/>
  <c r="I867" i="4"/>
  <c r="G916" i="15"/>
  <c r="H916" i="15" s="1"/>
  <c r="I905" i="4"/>
  <c r="F320" i="14"/>
  <c r="G320" i="14" s="1"/>
  <c r="H310" i="3"/>
  <c r="H482" i="16"/>
  <c r="H481" i="16" s="1"/>
  <c r="H480" i="16" s="1"/>
  <c r="H479" i="16" s="1"/>
  <c r="H478" i="16" s="1"/>
  <c r="H465" i="16" s="1"/>
  <c r="G747" i="14"/>
  <c r="G746" i="14" s="1"/>
  <c r="G745" i="14" s="1"/>
  <c r="H362" i="15"/>
  <c r="H361" i="15" s="1"/>
  <c r="H360" i="15" s="1"/>
  <c r="H16" i="15"/>
  <c r="G120" i="14"/>
  <c r="G119" i="14" s="1"/>
  <c r="G118" i="14" s="1"/>
  <c r="G483" i="16"/>
  <c r="G481" i="16"/>
  <c r="G480" i="16" s="1"/>
  <c r="G479" i="16" s="1"/>
  <c r="G478" i="16" s="1"/>
  <c r="G465" i="16" s="1"/>
  <c r="G205" i="4"/>
  <c r="I205" i="4" s="1"/>
  <c r="H483" i="16" l="1"/>
  <c r="G204" i="4"/>
  <c r="I204" i="4" s="1"/>
  <c r="H216" i="15"/>
  <c r="H215" i="15" s="1"/>
  <c r="H214" i="15" s="1"/>
  <c r="H213" i="15" s="1"/>
  <c r="G108" i="4"/>
  <c r="I108" i="4" s="1"/>
  <c r="G105" i="4"/>
  <c r="I105" i="4" s="1"/>
  <c r="G96" i="4"/>
  <c r="I96" i="4" s="1"/>
  <c r="G203" i="4" l="1"/>
  <c r="I203" i="4" s="1"/>
  <c r="F95" i="14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377" i="16" s="1"/>
  <c r="G104" i="4"/>
  <c r="G107" i="4"/>
  <c r="G111" i="15"/>
  <c r="H111" i="15" s="1"/>
  <c r="G98" i="4"/>
  <c r="I98" i="4" s="1"/>
  <c r="F96" i="3"/>
  <c r="H96" i="3" s="1"/>
  <c r="G92" i="4"/>
  <c r="I92" i="4" s="1"/>
  <c r="F90" i="3"/>
  <c r="H90" i="3" s="1"/>
  <c r="I104" i="4" l="1"/>
  <c r="G110" i="15"/>
  <c r="I107" i="4"/>
  <c r="H378" i="16"/>
  <c r="H376" i="16"/>
  <c r="H372" i="16" s="1"/>
  <c r="H371" i="16" s="1"/>
  <c r="H362" i="16"/>
  <c r="H363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G95" i="4"/>
  <c r="G91" i="4"/>
  <c r="I91" i="4" s="1"/>
  <c r="G103" i="4"/>
  <c r="I103" i="4" s="1"/>
  <c r="F89" i="3"/>
  <c r="H89" i="3" s="1"/>
  <c r="G362" i="5"/>
  <c r="I362" i="5" s="1"/>
  <c r="F95" i="3"/>
  <c r="H95" i="3" s="1"/>
  <c r="G377" i="5"/>
  <c r="I377" i="5" s="1"/>
  <c r="G344" i="4"/>
  <c r="I344" i="4" s="1"/>
  <c r="G334" i="4"/>
  <c r="I334" i="4" s="1"/>
  <c r="G106" i="15" l="1"/>
  <c r="H110" i="15"/>
  <c r="H106" i="15" s="1"/>
  <c r="G94" i="4"/>
  <c r="I94" i="4" s="1"/>
  <c r="I95" i="4"/>
  <c r="H361" i="16"/>
  <c r="H360" i="16" s="1"/>
  <c r="H359" i="16" s="1"/>
  <c r="H358" i="16" s="1"/>
  <c r="G90" i="4"/>
  <c r="G333" i="4"/>
  <c r="G345" i="15"/>
  <c r="H345" i="15" s="1"/>
  <c r="G343" i="4"/>
  <c r="I343" i="4" s="1"/>
  <c r="G363" i="5"/>
  <c r="I363" i="5" s="1"/>
  <c r="G378" i="5"/>
  <c r="I378" i="5" s="1"/>
  <c r="F92" i="3"/>
  <c r="G91" i="14"/>
  <c r="G90" i="14" s="1"/>
  <c r="F88" i="3"/>
  <c r="H88" i="3" s="1"/>
  <c r="G394" i="4"/>
  <c r="I394" i="4" s="1"/>
  <c r="G344" i="15" l="1"/>
  <c r="H344" i="15" s="1"/>
  <c r="I333" i="4"/>
  <c r="G89" i="4"/>
  <c r="I90" i="4"/>
  <c r="F91" i="3"/>
  <c r="H91" i="3" s="1"/>
  <c r="H92" i="3"/>
  <c r="H357" i="16"/>
  <c r="H90" i="15"/>
  <c r="G90" i="15"/>
  <c r="G342" i="4"/>
  <c r="I342" i="4" s="1"/>
  <c r="F87" i="3"/>
  <c r="H87" i="3" s="1"/>
  <c r="G44" i="6"/>
  <c r="G20" i="6"/>
  <c r="I20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61" i="1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866" i="5"/>
  <c r="I866" i="5" s="1"/>
  <c r="G859" i="5"/>
  <c r="I859" i="5" s="1"/>
  <c r="G810" i="5"/>
  <c r="I810" i="5" s="1"/>
  <c r="G801" i="5"/>
  <c r="I801" i="5" s="1"/>
  <c r="G796" i="5"/>
  <c r="I796" i="5" s="1"/>
  <c r="G816" i="5"/>
  <c r="I816" i="5" s="1"/>
  <c r="G806" i="5"/>
  <c r="I806" i="5" s="1"/>
  <c r="G835" i="5"/>
  <c r="I835" i="5" s="1"/>
  <c r="G785" i="5"/>
  <c r="I785" i="5" s="1"/>
  <c r="G777" i="5"/>
  <c r="I777" i="5" s="1"/>
  <c r="G773" i="5"/>
  <c r="I773" i="5" s="1"/>
  <c r="G769" i="5"/>
  <c r="I769" i="5" s="1"/>
  <c r="G765" i="5"/>
  <c r="I765" i="5" s="1"/>
  <c r="G749" i="5"/>
  <c r="I749" i="5" s="1"/>
  <c r="G742" i="5"/>
  <c r="I742" i="5" s="1"/>
  <c r="G693" i="5"/>
  <c r="I693" i="5" s="1"/>
  <c r="G666" i="5"/>
  <c r="I666" i="5" s="1"/>
  <c r="G659" i="5"/>
  <c r="I659" i="5" s="1"/>
  <c r="G674" i="5"/>
  <c r="I674" i="5" s="1"/>
  <c r="G625" i="5"/>
  <c r="I625" i="5" s="1"/>
  <c r="G613" i="5"/>
  <c r="I613" i="5" s="1"/>
  <c r="G609" i="5"/>
  <c r="I609" i="5" s="1"/>
  <c r="G426" i="5"/>
  <c r="I426" i="5" s="1"/>
  <c r="G419" i="5"/>
  <c r="I419" i="5" s="1"/>
  <c r="G415" i="5"/>
  <c r="I415" i="5" s="1"/>
  <c r="G396" i="5"/>
  <c r="I396" i="5" s="1"/>
  <c r="G373" i="5"/>
  <c r="I373" i="5" s="1"/>
  <c r="G310" i="5"/>
  <c r="I310" i="5" s="1"/>
  <c r="G243" i="5"/>
  <c r="I243" i="5" s="1"/>
  <c r="G290" i="5"/>
  <c r="I290" i="5" s="1"/>
  <c r="G261" i="5"/>
  <c r="I261" i="5" s="1"/>
  <c r="G229" i="5"/>
  <c r="I229" i="5" s="1"/>
  <c r="G73" i="5"/>
  <c r="G57" i="5"/>
  <c r="I57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/>
  <c r="G887" i="10"/>
  <c r="G886" i="10"/>
  <c r="G884" i="10"/>
  <c r="G883" i="10"/>
  <c r="G882" i="10"/>
  <c r="G881" i="10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8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/>
  <c r="G787" i="10" s="1"/>
  <c r="G783" i="10"/>
  <c r="G782" i="10"/>
  <c r="G781" i="10"/>
  <c r="G780" i="10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50" i="10" s="1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/>
  <c r="G495" i="10" s="1"/>
  <c r="G494" i="10" s="1"/>
  <c r="G493" i="10" s="1"/>
  <c r="G492" i="10" s="1"/>
  <c r="G490" i="10"/>
  <c r="G489" i="10" s="1"/>
  <c r="G487" i="10"/>
  <c r="G486" i="10" s="1"/>
  <c r="G485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/>
  <c r="G383" i="10"/>
  <c r="G382" i="10" s="1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4" i="10" s="1"/>
  <c r="G343" i="10"/>
  <c r="G342" i="10" s="1"/>
  <c r="G341" i="10"/>
  <c r="G340" i="10" s="1"/>
  <c r="G335" i="10"/>
  <c r="G334" i="10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10" i="10" s="1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9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7" i="10" s="1"/>
  <c r="G982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/>
  <c r="G87" i="10" s="1"/>
  <c r="G86" i="10" s="1"/>
  <c r="G1004" i="10" s="1"/>
  <c r="G84" i="10"/>
  <c r="G83" i="10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064" i="4"/>
  <c r="I1064" i="4" s="1"/>
  <c r="G1061" i="4"/>
  <c r="I1061" i="4" s="1"/>
  <c r="G1053" i="4"/>
  <c r="I1053" i="4" s="1"/>
  <c r="G1050" i="4"/>
  <c r="I1050" i="4" s="1"/>
  <c r="G1035" i="4"/>
  <c r="I1035" i="4" s="1"/>
  <c r="G1022" i="4"/>
  <c r="I1022" i="4" s="1"/>
  <c r="G1017" i="4"/>
  <c r="I1017" i="4" s="1"/>
  <c r="G1013" i="4"/>
  <c r="I1013" i="4" s="1"/>
  <c r="G1003" i="4"/>
  <c r="I1003" i="4" s="1"/>
  <c r="G998" i="4"/>
  <c r="I998" i="4" s="1"/>
  <c r="G996" i="4"/>
  <c r="I996" i="4" s="1"/>
  <c r="G982" i="4"/>
  <c r="I982" i="4" s="1"/>
  <c r="G975" i="4"/>
  <c r="I975" i="4" s="1"/>
  <c r="G972" i="4"/>
  <c r="I972" i="4" s="1"/>
  <c r="G967" i="4"/>
  <c r="I967" i="4" s="1"/>
  <c r="G978" i="4"/>
  <c r="I978" i="4" s="1"/>
  <c r="G654" i="5"/>
  <c r="I654" i="5" s="1"/>
  <c r="G962" i="4"/>
  <c r="G641" i="5"/>
  <c r="I641" i="5" s="1"/>
  <c r="G935" i="4"/>
  <c r="I935" i="4" s="1"/>
  <c r="G931" i="4"/>
  <c r="I931" i="4" s="1"/>
  <c r="G927" i="4"/>
  <c r="I927" i="4" s="1"/>
  <c r="G935" i="15"/>
  <c r="G927" i="15"/>
  <c r="G903" i="4"/>
  <c r="G901" i="4"/>
  <c r="G898" i="4"/>
  <c r="I898" i="4" s="1"/>
  <c r="G895" i="4"/>
  <c r="G893" i="4"/>
  <c r="G889" i="4"/>
  <c r="G887" i="4"/>
  <c r="I887" i="4" s="1"/>
  <c r="G882" i="15"/>
  <c r="H882" i="15" s="1"/>
  <c r="G852" i="4"/>
  <c r="I852" i="4" s="1"/>
  <c r="G839" i="4"/>
  <c r="I839" i="4" s="1"/>
  <c r="G825" i="4"/>
  <c r="I825" i="4" s="1"/>
  <c r="F148" i="3"/>
  <c r="H148" i="3" s="1"/>
  <c r="G810" i="4"/>
  <c r="I810" i="4" s="1"/>
  <c r="G798" i="4"/>
  <c r="I798" i="4" s="1"/>
  <c r="G773" i="4"/>
  <c r="G769" i="4"/>
  <c r="I769" i="4" s="1"/>
  <c r="G766" i="4"/>
  <c r="I766" i="4" s="1"/>
  <c r="G411" i="5"/>
  <c r="I411" i="5" s="1"/>
  <c r="G404" i="5"/>
  <c r="I404" i="5" s="1"/>
  <c r="G744" i="4"/>
  <c r="I744" i="4" s="1"/>
  <c r="G728" i="4"/>
  <c r="I728" i="4" s="1"/>
  <c r="G711" i="4"/>
  <c r="I711" i="4" s="1"/>
  <c r="G702" i="4"/>
  <c r="I702" i="4" s="1"/>
  <c r="G695" i="4"/>
  <c r="I695" i="4" s="1"/>
  <c r="G679" i="4"/>
  <c r="I679" i="4" s="1"/>
  <c r="G674" i="4"/>
  <c r="I674" i="4" s="1"/>
  <c r="G653" i="4"/>
  <c r="I653" i="4" s="1"/>
  <c r="G274" i="5"/>
  <c r="I274" i="5" s="1"/>
  <c r="G631" i="4"/>
  <c r="I631" i="4" s="1"/>
  <c r="G640" i="15"/>
  <c r="G637" i="15"/>
  <c r="G621" i="4"/>
  <c r="I621" i="4" s="1"/>
  <c r="G615" i="4"/>
  <c r="I615" i="4" s="1"/>
  <c r="G612" i="4"/>
  <c r="I612" i="4" s="1"/>
  <c r="G596" i="4"/>
  <c r="I596" i="4" s="1"/>
  <c r="G591" i="4"/>
  <c r="I591" i="4" s="1"/>
  <c r="G579" i="4"/>
  <c r="I579" i="4" s="1"/>
  <c r="G569" i="4"/>
  <c r="I569" i="4" s="1"/>
  <c r="G565" i="4"/>
  <c r="I565" i="4" s="1"/>
  <c r="G571" i="15"/>
  <c r="G555" i="4"/>
  <c r="I555" i="4" s="1"/>
  <c r="G549" i="4"/>
  <c r="I549" i="4" s="1"/>
  <c r="G535" i="4"/>
  <c r="I535" i="4" s="1"/>
  <c r="G506" i="4"/>
  <c r="I506" i="4" s="1"/>
  <c r="G493" i="4"/>
  <c r="I493" i="4" s="1"/>
  <c r="G486" i="4"/>
  <c r="I486" i="4" s="1"/>
  <c r="G458" i="4"/>
  <c r="I458" i="4" s="1"/>
  <c r="G129" i="5"/>
  <c r="I129" i="5" s="1"/>
  <c r="G424" i="4"/>
  <c r="I424" i="4" s="1"/>
  <c r="G419" i="4"/>
  <c r="I419" i="4" s="1"/>
  <c r="G412" i="4"/>
  <c r="I412" i="4" s="1"/>
  <c r="G409" i="4"/>
  <c r="G407" i="4"/>
  <c r="I407" i="4" s="1"/>
  <c r="G401" i="4"/>
  <c r="I401" i="4" s="1"/>
  <c r="G396" i="4"/>
  <c r="I396" i="4" s="1"/>
  <c r="G383" i="4"/>
  <c r="I383" i="4" s="1"/>
  <c r="G379" i="4"/>
  <c r="I379" i="4" s="1"/>
  <c r="G372" i="4"/>
  <c r="I372" i="4" s="1"/>
  <c r="G368" i="4"/>
  <c r="I368" i="4" s="1"/>
  <c r="F757" i="3"/>
  <c r="H757" i="3" s="1"/>
  <c r="G339" i="4"/>
  <c r="G324" i="4"/>
  <c r="I324" i="4" s="1"/>
  <c r="G301" i="4"/>
  <c r="I301" i="4" s="1"/>
  <c r="G298" i="4"/>
  <c r="I298" i="4" s="1"/>
  <c r="G295" i="4"/>
  <c r="I295" i="4" s="1"/>
  <c r="G273" i="4"/>
  <c r="I273" i="4" s="1"/>
  <c r="G269" i="4"/>
  <c r="I269" i="4" s="1"/>
  <c r="G265" i="4"/>
  <c r="I265" i="4" s="1"/>
  <c r="G257" i="4"/>
  <c r="I257" i="4" s="1"/>
  <c r="G252" i="4"/>
  <c r="I252" i="4" s="1"/>
  <c r="G249" i="4"/>
  <c r="I249" i="4" s="1"/>
  <c r="G246" i="4"/>
  <c r="I246" i="4" s="1"/>
  <c r="G243" i="4"/>
  <c r="I243" i="4" s="1"/>
  <c r="G240" i="4"/>
  <c r="I240" i="4" s="1"/>
  <c r="F879" i="14"/>
  <c r="F878" i="14" s="1"/>
  <c r="F875" i="14" s="1"/>
  <c r="G218" i="4"/>
  <c r="I218" i="4" s="1"/>
  <c r="G212" i="4"/>
  <c r="I212" i="4" s="1"/>
  <c r="G192" i="4"/>
  <c r="G188" i="4"/>
  <c r="I188" i="4" s="1"/>
  <c r="G181" i="4"/>
  <c r="I181" i="4" s="1"/>
  <c r="G173" i="4"/>
  <c r="I173" i="4" s="1"/>
  <c r="G162" i="4"/>
  <c r="I162" i="4" s="1"/>
  <c r="G155" i="4"/>
  <c r="I155" i="4" s="1"/>
  <c r="G150" i="4"/>
  <c r="I150" i="4" s="1"/>
  <c r="G145" i="4"/>
  <c r="I145" i="4" s="1"/>
  <c r="G141" i="4"/>
  <c r="I141" i="4" s="1"/>
  <c r="G361" i="5"/>
  <c r="I361" i="5" s="1"/>
  <c r="G136" i="4"/>
  <c r="I136" i="4" s="1"/>
  <c r="G117" i="4"/>
  <c r="I117" i="4" s="1"/>
  <c r="G114" i="4"/>
  <c r="I114" i="4" s="1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69" i="4"/>
  <c r="G65" i="4"/>
  <c r="I65" i="4" s="1"/>
  <c r="G57" i="4"/>
  <c r="I57" i="4" s="1"/>
  <c r="G53" i="4"/>
  <c r="I53" i="4" s="1"/>
  <c r="G23" i="4"/>
  <c r="I23" i="4" s="1"/>
  <c r="G20" i="4"/>
  <c r="I20" i="4" s="1"/>
  <c r="G18" i="4"/>
  <c r="I18" i="4" s="1"/>
  <c r="G16" i="4"/>
  <c r="I16" i="4" s="1"/>
  <c r="F926" i="3"/>
  <c r="H926" i="3" s="1"/>
  <c r="F900" i="3"/>
  <c r="F897" i="3"/>
  <c r="H897" i="3" s="1"/>
  <c r="F894" i="3"/>
  <c r="H894" i="3" s="1"/>
  <c r="F878" i="3"/>
  <c r="H878" i="3" s="1"/>
  <c r="F861" i="3"/>
  <c r="F810" i="3"/>
  <c r="H810" i="3" s="1"/>
  <c r="F805" i="3"/>
  <c r="H805" i="3" s="1"/>
  <c r="F791" i="3"/>
  <c r="H791" i="3" s="1"/>
  <c r="F771" i="3"/>
  <c r="H771" i="3" s="1"/>
  <c r="F765" i="3"/>
  <c r="H765" i="3" s="1"/>
  <c r="F748" i="3"/>
  <c r="H748" i="3" s="1"/>
  <c r="F610" i="3"/>
  <c r="H610" i="3" s="1"/>
  <c r="F605" i="3"/>
  <c r="H605" i="3" s="1"/>
  <c r="F569" i="3"/>
  <c r="H569" i="3" s="1"/>
  <c r="F546" i="3"/>
  <c r="H546" i="3" s="1"/>
  <c r="F543" i="3"/>
  <c r="H543" i="3" s="1"/>
  <c r="F526" i="3"/>
  <c r="H526" i="3" s="1"/>
  <c r="F522" i="3"/>
  <c r="H522" i="3" s="1"/>
  <c r="F513" i="3"/>
  <c r="H513" i="3" s="1"/>
  <c r="F503" i="3"/>
  <c r="H503" i="3" s="1"/>
  <c r="F499" i="3"/>
  <c r="H499" i="3" s="1"/>
  <c r="F483" i="3"/>
  <c r="H483" i="3" s="1"/>
  <c r="F459" i="3"/>
  <c r="H459" i="3" s="1"/>
  <c r="F440" i="3"/>
  <c r="H440" i="3" s="1"/>
  <c r="F418" i="3"/>
  <c r="H418" i="3" s="1"/>
  <c r="F415" i="3"/>
  <c r="H415" i="3" s="1"/>
  <c r="F410" i="3"/>
  <c r="H410" i="3" s="1"/>
  <c r="F348" i="3"/>
  <c r="H348" i="3" s="1"/>
  <c r="F331" i="3"/>
  <c r="F309" i="3"/>
  <c r="F213" i="3"/>
  <c r="H213" i="3" s="1"/>
  <c r="F209" i="3"/>
  <c r="H209" i="3" s="1"/>
  <c r="F199" i="3"/>
  <c r="H199" i="3" s="1"/>
  <c r="F195" i="3"/>
  <c r="H195" i="3" s="1"/>
  <c r="F183" i="3"/>
  <c r="H183" i="3" s="1"/>
  <c r="F180" i="3"/>
  <c r="H180" i="3" s="1"/>
  <c r="F177" i="3"/>
  <c r="H177" i="3" s="1"/>
  <c r="F122" i="3"/>
  <c r="H122" i="3" s="1"/>
  <c r="F119" i="3"/>
  <c r="H119" i="3" s="1"/>
  <c r="F52" i="3"/>
  <c r="H52" i="3" s="1"/>
  <c r="F39" i="3"/>
  <c r="H39" i="3" s="1"/>
  <c r="C162" i="1"/>
  <c r="E162" i="1" s="1"/>
  <c r="C156" i="1"/>
  <c r="C77" i="1"/>
  <c r="C64" i="1"/>
  <c r="E64" i="1" s="1"/>
  <c r="C62" i="1"/>
  <c r="E62" i="1" s="1"/>
  <c r="C49" i="1"/>
  <c r="E49" i="1" s="1"/>
  <c r="C47" i="1"/>
  <c r="E47" i="1" s="1"/>
  <c r="C43" i="1"/>
  <c r="E43" i="1" s="1"/>
  <c r="C35" i="1"/>
  <c r="E35" i="1" s="1"/>
  <c r="C29" i="1"/>
  <c r="G51" i="10" l="1"/>
  <c r="G50" i="10" s="1"/>
  <c r="G49" i="10" s="1"/>
  <c r="G48" i="10" s="1"/>
  <c r="G633" i="10"/>
  <c r="G116" i="10"/>
  <c r="F860" i="3"/>
  <c r="H860" i="3" s="1"/>
  <c r="H861" i="3"/>
  <c r="G792" i="10"/>
  <c r="G791" i="10" s="1"/>
  <c r="G786" i="10" s="1"/>
  <c r="G785" i="10" s="1"/>
  <c r="G299" i="10"/>
  <c r="G15" i="10"/>
  <c r="G14" i="10" s="1"/>
  <c r="G13" i="10" s="1"/>
  <c r="G12" i="10" s="1"/>
  <c r="G11" i="10" s="1"/>
  <c r="G10" i="10" s="1"/>
  <c r="G238" i="10"/>
  <c r="G237" i="10" s="1"/>
  <c r="G657" i="10"/>
  <c r="G656" i="10" s="1"/>
  <c r="C23" i="1"/>
  <c r="E23" i="1" s="1"/>
  <c r="E29" i="1"/>
  <c r="C155" i="1"/>
  <c r="G43" i="6"/>
  <c r="I44" i="6"/>
  <c r="G784" i="15"/>
  <c r="H784" i="15" s="1"/>
  <c r="I773" i="4"/>
  <c r="G900" i="15"/>
  <c r="H900" i="15" s="1"/>
  <c r="I889" i="4"/>
  <c r="G912" i="15"/>
  <c r="H912" i="15" s="1"/>
  <c r="I901" i="4"/>
  <c r="G973" i="15"/>
  <c r="H973" i="15" s="1"/>
  <c r="H660" i="16" s="1"/>
  <c r="H661" i="16" s="1"/>
  <c r="I962" i="4"/>
  <c r="G1107" i="4"/>
  <c r="I89" i="4"/>
  <c r="G49" i="5"/>
  <c r="I49" i="5" s="1"/>
  <c r="I339" i="4"/>
  <c r="G904" i="15"/>
  <c r="H904" i="15" s="1"/>
  <c r="I893" i="4"/>
  <c r="G914" i="15"/>
  <c r="H914" i="15" s="1"/>
  <c r="I903" i="4"/>
  <c r="G68" i="4"/>
  <c r="I68" i="4" s="1"/>
  <c r="I69" i="4"/>
  <c r="G417" i="15"/>
  <c r="H417" i="15" s="1"/>
  <c r="I409" i="4"/>
  <c r="G906" i="15"/>
  <c r="H906" i="15" s="1"/>
  <c r="I895" i="4"/>
  <c r="G72" i="5"/>
  <c r="I72" i="5" s="1"/>
  <c r="I73" i="5"/>
  <c r="F319" i="14"/>
  <c r="G319" i="14" s="1"/>
  <c r="H309" i="3"/>
  <c r="F340" i="14"/>
  <c r="G340" i="14" s="1"/>
  <c r="H331" i="3"/>
  <c r="F903" i="14"/>
  <c r="H900" i="3"/>
  <c r="G65" i="10"/>
  <c r="G61" i="10" s="1"/>
  <c r="G997" i="10" s="1"/>
  <c r="G306" i="10"/>
  <c r="G391" i="10"/>
  <c r="G139" i="10"/>
  <c r="G215" i="10"/>
  <c r="G214" i="10" s="1"/>
  <c r="G213" i="10" s="1"/>
  <c r="G212" i="10" s="1"/>
  <c r="G623" i="10"/>
  <c r="G622" i="10" s="1"/>
  <c r="G801" i="10"/>
  <c r="G913" i="10"/>
  <c r="G909" i="10" s="1"/>
  <c r="G396" i="11"/>
  <c r="G376" i="11" s="1"/>
  <c r="G375" i="11" s="1"/>
  <c r="G374" i="11" s="1"/>
  <c r="G404" i="11" s="1"/>
  <c r="G381" i="10"/>
  <c r="G380" i="10" s="1"/>
  <c r="G373" i="10" s="1"/>
  <c r="G728" i="10"/>
  <c r="G727" i="10" s="1"/>
  <c r="G726" i="10" s="1"/>
  <c r="G1000" i="10" s="1"/>
  <c r="G879" i="10"/>
  <c r="G878" i="10" s="1"/>
  <c r="G968" i="10"/>
  <c r="G967" i="10" s="1"/>
  <c r="G966" i="10" s="1"/>
  <c r="G965" i="10" s="1"/>
  <c r="G964" i="10" s="1"/>
  <c r="G963" i="10" s="1"/>
  <c r="G32" i="10"/>
  <c r="G31" i="10" s="1"/>
  <c r="G43" i="10"/>
  <c r="G42" i="10" s="1"/>
  <c r="G190" i="10"/>
  <c r="G339" i="10"/>
  <c r="G338" i="10" s="1"/>
  <c r="G337" i="10" s="1"/>
  <c r="G613" i="10"/>
  <c r="G612" i="10" s="1"/>
  <c r="G948" i="10"/>
  <c r="G947" i="10" s="1"/>
  <c r="G946" i="10" s="1"/>
  <c r="G945" i="10" s="1"/>
  <c r="F72" i="14"/>
  <c r="G220" i="16"/>
  <c r="G221" i="16" s="1"/>
  <c r="F501" i="14"/>
  <c r="G130" i="5"/>
  <c r="I130" i="5" s="1"/>
  <c r="G128" i="5"/>
  <c r="F573" i="14"/>
  <c r="F572" i="14" s="1"/>
  <c r="F571" i="14" s="1"/>
  <c r="G238" i="16"/>
  <c r="F570" i="14"/>
  <c r="F569" i="14" s="1"/>
  <c r="F568" i="14" s="1"/>
  <c r="G234" i="16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479" i="10"/>
  <c r="G478" i="10" s="1"/>
  <c r="G477" i="10" s="1"/>
  <c r="G513" i="10"/>
  <c r="G508" i="10" s="1"/>
  <c r="G99" i="10"/>
  <c r="G860" i="10"/>
  <c r="G859" i="10" s="1"/>
  <c r="G186" i="10"/>
  <c r="G185" i="10" s="1"/>
  <c r="G184" i="10" s="1"/>
  <c r="G177" i="10" s="1"/>
  <c r="G280" i="10"/>
  <c r="G279" i="10" s="1"/>
  <c r="G646" i="10"/>
  <c r="G666" i="10"/>
  <c r="G662" i="10" s="1"/>
  <c r="G655" i="10" s="1"/>
  <c r="G741" i="10"/>
  <c r="G740" i="10" s="1"/>
  <c r="G756" i="10"/>
  <c r="G755" i="10" s="1"/>
  <c r="G750" i="10" s="1"/>
  <c r="G749" i="10" s="1"/>
  <c r="G779" i="10"/>
  <c r="G778" i="10" s="1"/>
  <c r="G993" i="10" s="1"/>
  <c r="G837" i="10"/>
  <c r="G849" i="10"/>
  <c r="G902" i="10"/>
  <c r="G901" i="10" s="1"/>
  <c r="G900" i="10" s="1"/>
  <c r="G899" i="10" s="1"/>
  <c r="G953" i="10"/>
  <c r="G162" i="10"/>
  <c r="G161" i="10" s="1"/>
  <c r="G160" i="10" s="1"/>
  <c r="G159" i="10" s="1"/>
  <c r="G983" i="10" s="1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98" i="10"/>
  <c r="G134" i="10"/>
  <c r="G998" i="10"/>
  <c r="G202" i="10"/>
  <c r="G195" i="10" s="1"/>
  <c r="G581" i="10"/>
  <c r="G580" i="10" s="1"/>
  <c r="G1005" i="10"/>
  <c r="G444" i="10"/>
  <c r="G443" i="10" s="1"/>
  <c r="G552" i="10"/>
  <c r="G547" i="10" s="1"/>
  <c r="H187" i="15"/>
  <c r="F245" i="14"/>
  <c r="F244" i="14" s="1"/>
  <c r="G186" i="15"/>
  <c r="G645" i="15"/>
  <c r="G644" i="15" s="1"/>
  <c r="F712" i="14"/>
  <c r="F711" i="14" s="1"/>
  <c r="F710" i="14" s="1"/>
  <c r="G724" i="15"/>
  <c r="G723" i="15" s="1"/>
  <c r="H808" i="15"/>
  <c r="F928" i="14"/>
  <c r="F927" i="14" s="1"/>
  <c r="F926" i="14" s="1"/>
  <c r="G807" i="15"/>
  <c r="G806" i="15" s="1"/>
  <c r="G583" i="15"/>
  <c r="G582" i="15" s="1"/>
  <c r="H734" i="15"/>
  <c r="F719" i="14"/>
  <c r="F718" i="14" s="1"/>
  <c r="G733" i="15"/>
  <c r="F950" i="14"/>
  <c r="F949" i="14" s="1"/>
  <c r="G829" i="15"/>
  <c r="H888" i="15"/>
  <c r="H887" i="15" s="1"/>
  <c r="H886" i="15" s="1"/>
  <c r="G887" i="15"/>
  <c r="G886" i="15" s="1"/>
  <c r="H1012" i="15"/>
  <c r="G1011" i="15"/>
  <c r="G1006" i="15" s="1"/>
  <c r="F452" i="14"/>
  <c r="F451" i="14" s="1"/>
  <c r="F446" i="14" s="1"/>
  <c r="F77" i="14"/>
  <c r="H185" i="15"/>
  <c r="G243" i="14" s="1"/>
  <c r="G242" i="14" s="1"/>
  <c r="F243" i="14"/>
  <c r="F242" i="14" s="1"/>
  <c r="G184" i="15"/>
  <c r="F258" i="14"/>
  <c r="F257" i="14" s="1"/>
  <c r="F256" i="14" s="1"/>
  <c r="G199" i="15"/>
  <c r="G198" i="15" s="1"/>
  <c r="F702" i="14"/>
  <c r="F701" i="14" s="1"/>
  <c r="F700" i="14" s="1"/>
  <c r="G349" i="15"/>
  <c r="G348" i="15" s="1"/>
  <c r="G652" i="15"/>
  <c r="G651" i="15" s="1"/>
  <c r="F922" i="14"/>
  <c r="F921" i="14" s="1"/>
  <c r="F920" i="14" s="1"/>
  <c r="G801" i="15"/>
  <c r="G800" i="15" s="1"/>
  <c r="H820" i="15"/>
  <c r="G819" i="15"/>
  <c r="F940" i="14"/>
  <c r="F939" i="14" s="1"/>
  <c r="G969" i="15"/>
  <c r="G968" i="15" s="1"/>
  <c r="F410" i="14"/>
  <c r="F409" i="14" s="1"/>
  <c r="F408" i="14" s="1"/>
  <c r="H1020" i="15"/>
  <c r="F460" i="14"/>
  <c r="F459" i="14" s="1"/>
  <c r="F458" i="14" s="1"/>
  <c r="G1019" i="15"/>
  <c r="G1018" i="15" s="1"/>
  <c r="H1077" i="15"/>
  <c r="F39" i="14"/>
  <c r="F38" i="14" s="1"/>
  <c r="F37" i="14" s="1"/>
  <c r="G1076" i="15"/>
  <c r="G1075" i="15" s="1"/>
  <c r="H238" i="15"/>
  <c r="G877" i="14"/>
  <c r="G876" i="14" s="1"/>
  <c r="F629" i="14"/>
  <c r="F628" i="14" s="1"/>
  <c r="F627" i="14" s="1"/>
  <c r="G699" i="15"/>
  <c r="G698" i="15" s="1"/>
  <c r="H744" i="15"/>
  <c r="F729" i="14"/>
  <c r="F728" i="14" s="1"/>
  <c r="F727" i="14" s="1"/>
  <c r="G743" i="15"/>
  <c r="G742" i="15" s="1"/>
  <c r="H885" i="15"/>
  <c r="F325" i="14"/>
  <c r="F324" i="14" s="1"/>
  <c r="F323" i="14" s="1"/>
  <c r="G884" i="15"/>
  <c r="G883" i="15" s="1"/>
  <c r="H527" i="15"/>
  <c r="H526" i="15" s="1"/>
  <c r="H525" i="15" s="1"/>
  <c r="G526" i="15"/>
  <c r="G525" i="15" s="1"/>
  <c r="H748" i="15"/>
  <c r="G733" i="14" s="1"/>
  <c r="G732" i="14" s="1"/>
  <c r="F733" i="14"/>
  <c r="F732" i="14" s="1"/>
  <c r="G747" i="15"/>
  <c r="H859" i="15"/>
  <c r="F268" i="14"/>
  <c r="F267" i="14" s="1"/>
  <c r="F266" i="14" s="1"/>
  <c r="G858" i="15"/>
  <c r="G857" i="15" s="1"/>
  <c r="H181" i="15"/>
  <c r="G180" i="15"/>
  <c r="G179" i="15" s="1"/>
  <c r="G175" i="15" s="1"/>
  <c r="F239" i="14"/>
  <c r="F238" i="14" s="1"/>
  <c r="F237" i="14" s="1"/>
  <c r="F173" i="14"/>
  <c r="F172" i="14" s="1"/>
  <c r="F171" i="14" s="1"/>
  <c r="F170" i="14" s="1"/>
  <c r="G249" i="15"/>
  <c r="G248" i="15" s="1"/>
  <c r="G247" i="15" s="1"/>
  <c r="F328" i="14"/>
  <c r="F327" i="14" s="1"/>
  <c r="F326" i="14" s="1"/>
  <c r="G529" i="15"/>
  <c r="G528" i="15" s="1"/>
  <c r="F643" i="14"/>
  <c r="F642" i="14" s="1"/>
  <c r="F641" i="14" s="1"/>
  <c r="G713" i="15"/>
  <c r="G712" i="15" s="1"/>
  <c r="H736" i="15"/>
  <c r="F721" i="14"/>
  <c r="F720" i="14" s="1"/>
  <c r="G735" i="15"/>
  <c r="H750" i="15"/>
  <c r="G735" i="14" s="1"/>
  <c r="G734" i="14" s="1"/>
  <c r="F735" i="14"/>
  <c r="F734" i="14" s="1"/>
  <c r="G749" i="15"/>
  <c r="F908" i="14"/>
  <c r="F907" i="14" s="1"/>
  <c r="F906" i="14" s="1"/>
  <c r="H816" i="15"/>
  <c r="F936" i="14"/>
  <c r="F935" i="14" s="1"/>
  <c r="G815" i="15"/>
  <c r="H1029" i="15"/>
  <c r="F469" i="14"/>
  <c r="G1028" i="15"/>
  <c r="G1025" i="15" s="1"/>
  <c r="H1088" i="15"/>
  <c r="G1087" i="15"/>
  <c r="G1086" i="15" s="1"/>
  <c r="F111" i="14"/>
  <c r="F110" i="14" s="1"/>
  <c r="F109" i="14" s="1"/>
  <c r="H512" i="15"/>
  <c r="F152" i="14"/>
  <c r="F151" i="14" s="1"/>
  <c r="F150" i="14" s="1"/>
  <c r="G511" i="15"/>
  <c r="G510" i="15" s="1"/>
  <c r="G620" i="15"/>
  <c r="G619" i="15" s="1"/>
  <c r="G629" i="15"/>
  <c r="G628" i="15" s="1"/>
  <c r="G557" i="15"/>
  <c r="G556" i="15" s="1"/>
  <c r="G563" i="15"/>
  <c r="G562" i="15" s="1"/>
  <c r="G75" i="15"/>
  <c r="H86" i="15"/>
  <c r="G85" i="15"/>
  <c r="H88" i="15"/>
  <c r="G87" i="15"/>
  <c r="H81" i="15"/>
  <c r="G80" i="15"/>
  <c r="H241" i="15"/>
  <c r="G240" i="15"/>
  <c r="G237" i="15" s="1"/>
  <c r="E124" i="12" s="1"/>
  <c r="H83" i="15"/>
  <c r="G82" i="15"/>
  <c r="H15" i="15"/>
  <c r="G15" i="15"/>
  <c r="G211" i="15"/>
  <c r="G208" i="15" s="1"/>
  <c r="G843" i="16"/>
  <c r="G842" i="16" s="1"/>
  <c r="G841" i="16" s="1"/>
  <c r="G840" i="16" s="1"/>
  <c r="G845" i="16" s="1"/>
  <c r="G89" i="15"/>
  <c r="G1135" i="15" s="1"/>
  <c r="H89" i="15"/>
  <c r="H1135" i="15" s="1"/>
  <c r="H621" i="15"/>
  <c r="G554" i="14" s="1"/>
  <c r="G553" i="14" s="1"/>
  <c r="G552" i="14" s="1"/>
  <c r="G184" i="16"/>
  <c r="H646" i="15"/>
  <c r="G838" i="16"/>
  <c r="H353" i="15"/>
  <c r="G353" i="15"/>
  <c r="H103" i="16"/>
  <c r="H350" i="15"/>
  <c r="G48" i="16"/>
  <c r="H66" i="16"/>
  <c r="G66" i="16"/>
  <c r="H558" i="15"/>
  <c r="G488" i="14" s="1"/>
  <c r="G487" i="14" s="1"/>
  <c r="G486" i="14" s="1"/>
  <c r="G163" i="16"/>
  <c r="H584" i="15"/>
  <c r="H653" i="15"/>
  <c r="H282" i="16"/>
  <c r="G654" i="16"/>
  <c r="H630" i="15"/>
  <c r="G563" i="14" s="1"/>
  <c r="G562" i="14" s="1"/>
  <c r="G561" i="14" s="1"/>
  <c r="G196" i="16"/>
  <c r="H788" i="15"/>
  <c r="G438" i="16"/>
  <c r="H564" i="15"/>
  <c r="G494" i="14" s="1"/>
  <c r="G493" i="14" s="1"/>
  <c r="G492" i="14" s="1"/>
  <c r="G171" i="16"/>
  <c r="H700" i="15"/>
  <c r="G205" i="16"/>
  <c r="H253" i="16"/>
  <c r="H830" i="15"/>
  <c r="G455" i="16"/>
  <c r="H571" i="15"/>
  <c r="H640" i="15"/>
  <c r="H238" i="16" s="1"/>
  <c r="H637" i="15"/>
  <c r="H234" i="16" s="1"/>
  <c r="H935" i="15"/>
  <c r="H738" i="16" s="1"/>
  <c r="H737" i="16" s="1"/>
  <c r="H736" i="16" s="1"/>
  <c r="H735" i="16" s="1"/>
  <c r="H734" i="16" s="1"/>
  <c r="H733" i="16" s="1"/>
  <c r="G738" i="16"/>
  <c r="H927" i="15"/>
  <c r="H724" i="16" s="1"/>
  <c r="H723" i="16" s="1"/>
  <c r="H722" i="16" s="1"/>
  <c r="H721" i="16" s="1"/>
  <c r="H720" i="16" s="1"/>
  <c r="H719" i="16" s="1"/>
  <c r="G724" i="16"/>
  <c r="G86" i="14"/>
  <c r="F86" i="14"/>
  <c r="F85" i="14" s="1"/>
  <c r="C146" i="12"/>
  <c r="F109" i="12"/>
  <c r="G113" i="4"/>
  <c r="I113" i="4" s="1"/>
  <c r="G624" i="5"/>
  <c r="G135" i="4"/>
  <c r="I135" i="4" s="1"/>
  <c r="G149" i="4"/>
  <c r="G256" i="4"/>
  <c r="I256" i="4" s="1"/>
  <c r="G514" i="5"/>
  <c r="G312" i="15"/>
  <c r="G371" i="4"/>
  <c r="G395" i="4"/>
  <c r="I395" i="4" s="1"/>
  <c r="G411" i="4"/>
  <c r="I411" i="4" s="1"/>
  <c r="G673" i="4"/>
  <c r="I673" i="4" s="1"/>
  <c r="G710" i="4"/>
  <c r="I710" i="4" s="1"/>
  <c r="F362" i="3"/>
  <c r="G931" i="15"/>
  <c r="G1021" i="4"/>
  <c r="I1021" i="4" s="1"/>
  <c r="G154" i="4"/>
  <c r="G245" i="4"/>
  <c r="I245" i="4" s="1"/>
  <c r="G272" i="4"/>
  <c r="G287" i="15"/>
  <c r="H287" i="15" s="1"/>
  <c r="G595" i="4"/>
  <c r="I595" i="4" s="1"/>
  <c r="G297" i="5"/>
  <c r="I297" i="5" s="1"/>
  <c r="G678" i="4"/>
  <c r="I678" i="4" s="1"/>
  <c r="F735" i="3"/>
  <c r="H735" i="3" s="1"/>
  <c r="G809" i="4"/>
  <c r="I809" i="4" s="1"/>
  <c r="F150" i="3"/>
  <c r="G22" i="4"/>
  <c r="I22" i="4" s="1"/>
  <c r="G62" i="4"/>
  <c r="I62" i="4" s="1"/>
  <c r="F163" i="3"/>
  <c r="H163" i="3" s="1"/>
  <c r="G140" i="4"/>
  <c r="I140" i="4" s="1"/>
  <c r="G180" i="4"/>
  <c r="I180" i="4" s="1"/>
  <c r="G217" i="4"/>
  <c r="G248" i="4"/>
  <c r="G260" i="15"/>
  <c r="H260" i="15" s="1"/>
  <c r="G294" i="4"/>
  <c r="I294" i="4" s="1"/>
  <c r="G557" i="5"/>
  <c r="G457" i="4"/>
  <c r="G488" i="4"/>
  <c r="I488" i="4" s="1"/>
  <c r="G496" i="15"/>
  <c r="G505" i="4"/>
  <c r="G514" i="15"/>
  <c r="H514" i="15" s="1"/>
  <c r="G564" i="4"/>
  <c r="I564" i="4" s="1"/>
  <c r="G578" i="4"/>
  <c r="F617" i="3"/>
  <c r="H617" i="3" s="1"/>
  <c r="G701" i="4"/>
  <c r="I701" i="4" s="1"/>
  <c r="G709" i="15"/>
  <c r="H709" i="15" s="1"/>
  <c r="G743" i="4"/>
  <c r="I743" i="4" s="1"/>
  <c r="G765" i="4"/>
  <c r="I765" i="4" s="1"/>
  <c r="F909" i="3"/>
  <c r="H909" i="3" s="1"/>
  <c r="F944" i="3"/>
  <c r="F152" i="3"/>
  <c r="H152" i="3" s="1"/>
  <c r="G851" i="4"/>
  <c r="I851" i="4" s="1"/>
  <c r="G926" i="4"/>
  <c r="I926" i="4" s="1"/>
  <c r="G938" i="15"/>
  <c r="H938" i="15" s="1"/>
  <c r="G966" i="4"/>
  <c r="I966" i="4" s="1"/>
  <c r="G981" i="4"/>
  <c r="I981" i="4" s="1"/>
  <c r="G993" i="15"/>
  <c r="H993" i="15" s="1"/>
  <c r="F15" i="3"/>
  <c r="H15" i="3" s="1"/>
  <c r="G1063" i="4"/>
  <c r="I1063" i="4" s="1"/>
  <c r="G242" i="4"/>
  <c r="I242" i="4" s="1"/>
  <c r="G323" i="4"/>
  <c r="I323" i="4" s="1"/>
  <c r="G382" i="4"/>
  <c r="G492" i="4"/>
  <c r="I492" i="4" s="1"/>
  <c r="G590" i="4"/>
  <c r="I590" i="4" s="1"/>
  <c r="G611" i="4"/>
  <c r="I611" i="4" s="1"/>
  <c r="G214" i="5"/>
  <c r="G772" i="4"/>
  <c r="G934" i="4"/>
  <c r="I934" i="4" s="1"/>
  <c r="G946" i="15"/>
  <c r="H946" i="15" s="1"/>
  <c r="G59" i="4"/>
  <c r="I59" i="4" s="1"/>
  <c r="G116" i="4"/>
  <c r="I116" i="4" s="1"/>
  <c r="G191" i="4"/>
  <c r="G211" i="4"/>
  <c r="I211" i="4" s="1"/>
  <c r="G264" i="4"/>
  <c r="I264" i="4" s="1"/>
  <c r="G279" i="15"/>
  <c r="H279" i="15" s="1"/>
  <c r="G553" i="5"/>
  <c r="G400" i="4"/>
  <c r="I400" i="4" s="1"/>
  <c r="G548" i="4"/>
  <c r="I548" i="4" s="1"/>
  <c r="F510" i="3"/>
  <c r="H510" i="3" s="1"/>
  <c r="G614" i="4"/>
  <c r="I614" i="4" s="1"/>
  <c r="G727" i="4"/>
  <c r="I727" i="4" s="1"/>
  <c r="G797" i="4"/>
  <c r="I797" i="4" s="1"/>
  <c r="G974" i="4"/>
  <c r="G986" i="15"/>
  <c r="G1012" i="4"/>
  <c r="G1022" i="15"/>
  <c r="H1022" i="15" s="1"/>
  <c r="G1034" i="4"/>
  <c r="I1034" i="4" s="1"/>
  <c r="G64" i="4"/>
  <c r="I64" i="4" s="1"/>
  <c r="F165" i="3"/>
  <c r="H165" i="3" s="1"/>
  <c r="G144" i="4"/>
  <c r="I144" i="4" s="1"/>
  <c r="G187" i="4"/>
  <c r="F278" i="3"/>
  <c r="H210" i="15"/>
  <c r="G239" i="4"/>
  <c r="I239" i="4" s="1"/>
  <c r="G254" i="15"/>
  <c r="G251" i="4"/>
  <c r="I251" i="4" s="1"/>
  <c r="G268" i="4"/>
  <c r="G549" i="5"/>
  <c r="I549" i="5" s="1"/>
  <c r="G367" i="4"/>
  <c r="I367" i="4" s="1"/>
  <c r="G378" i="4"/>
  <c r="I378" i="4" s="1"/>
  <c r="G423" i="4"/>
  <c r="I423" i="4" s="1"/>
  <c r="G34" i="6"/>
  <c r="G490" i="4"/>
  <c r="I490" i="4" s="1"/>
  <c r="F205" i="3"/>
  <c r="H205" i="3" s="1"/>
  <c r="G545" i="15"/>
  <c r="H545" i="15" s="1"/>
  <c r="G546" i="15"/>
  <c r="H546" i="15" s="1"/>
  <c r="G554" i="4"/>
  <c r="I554" i="4" s="1"/>
  <c r="G568" i="4"/>
  <c r="I568" i="4" s="1"/>
  <c r="G580" i="15"/>
  <c r="H580" i="15" s="1"/>
  <c r="G620" i="4"/>
  <c r="I620" i="4" s="1"/>
  <c r="G630" i="4"/>
  <c r="G642" i="15"/>
  <c r="H642" i="15" s="1"/>
  <c r="F581" i="3"/>
  <c r="H581" i="3" s="1"/>
  <c r="G652" i="4"/>
  <c r="G694" i="4"/>
  <c r="I694" i="4" s="1"/>
  <c r="G768" i="4"/>
  <c r="I768" i="4" s="1"/>
  <c r="F934" i="3"/>
  <c r="H934" i="3" s="1"/>
  <c r="G824" i="4"/>
  <c r="I824" i="4" s="1"/>
  <c r="F272" i="3"/>
  <c r="G873" i="15"/>
  <c r="G897" i="4"/>
  <c r="G909" i="15"/>
  <c r="H909" i="15" s="1"/>
  <c r="G930" i="4"/>
  <c r="I930" i="4" s="1"/>
  <c r="G942" i="15"/>
  <c r="H942" i="15" s="1"/>
  <c r="G663" i="5"/>
  <c r="I663" i="5" s="1"/>
  <c r="G843" i="5"/>
  <c r="G1002" i="4"/>
  <c r="I1002" i="4" s="1"/>
  <c r="G1052" i="4"/>
  <c r="G1081" i="15"/>
  <c r="H1081" i="15" s="1"/>
  <c r="G977" i="4"/>
  <c r="I977" i="4" s="1"/>
  <c r="G838" i="4"/>
  <c r="I838" i="4" s="1"/>
  <c r="G534" i="4"/>
  <c r="I534" i="4" s="1"/>
  <c r="G161" i="4"/>
  <c r="I161" i="4" s="1"/>
  <c r="G170" i="15"/>
  <c r="H170" i="15" s="1"/>
  <c r="G858" i="5"/>
  <c r="I858" i="5" s="1"/>
  <c r="G741" i="5"/>
  <c r="I741" i="5" s="1"/>
  <c r="G360" i="5"/>
  <c r="I360" i="5" s="1"/>
  <c r="G612" i="5"/>
  <c r="I612" i="5" s="1"/>
  <c r="G748" i="5"/>
  <c r="I748" i="5" s="1"/>
  <c r="G766" i="5"/>
  <c r="I766" i="5" s="1"/>
  <c r="G309" i="5"/>
  <c r="G865" i="5"/>
  <c r="I865" i="5" s="1"/>
  <c r="G56" i="5"/>
  <c r="I56" i="5" s="1"/>
  <c r="G19" i="6"/>
  <c r="F51" i="3"/>
  <c r="H51" i="3" s="1"/>
  <c r="F409" i="3"/>
  <c r="H409" i="3" s="1"/>
  <c r="F512" i="3"/>
  <c r="F568" i="3"/>
  <c r="H568" i="3" s="1"/>
  <c r="F764" i="3"/>
  <c r="F198" i="3"/>
  <c r="H198" i="3" s="1"/>
  <c r="F414" i="3"/>
  <c r="H414" i="3" s="1"/>
  <c r="F604" i="3"/>
  <c r="H604" i="3" s="1"/>
  <c r="F147" i="3"/>
  <c r="H147" i="3" s="1"/>
  <c r="F17" i="3"/>
  <c r="H17" i="3" s="1"/>
  <c r="F121" i="3"/>
  <c r="H121" i="3" s="1"/>
  <c r="F186" i="3"/>
  <c r="H186" i="3" s="1"/>
  <c r="F208" i="3"/>
  <c r="H208" i="3" s="1"/>
  <c r="F347" i="3"/>
  <c r="H347" i="3" s="1"/>
  <c r="F357" i="14"/>
  <c r="G357" i="14" s="1"/>
  <c r="F498" i="3"/>
  <c r="H498" i="3" s="1"/>
  <c r="F521" i="3"/>
  <c r="H521" i="3" s="1"/>
  <c r="F542" i="3"/>
  <c r="H542" i="3" s="1"/>
  <c r="F609" i="3"/>
  <c r="H609" i="3" s="1"/>
  <c r="F804" i="3"/>
  <c r="H804" i="3" s="1"/>
  <c r="F877" i="3"/>
  <c r="H877" i="3" s="1"/>
  <c r="F925" i="3"/>
  <c r="H925" i="3" s="1"/>
  <c r="F194" i="3"/>
  <c r="H194" i="3" s="1"/>
  <c r="G202" i="14"/>
  <c r="G201" i="14" s="1"/>
  <c r="G200" i="14" s="1"/>
  <c r="F896" i="3"/>
  <c r="H896" i="3" s="1"/>
  <c r="F482" i="3"/>
  <c r="H482" i="3" s="1"/>
  <c r="F770" i="3"/>
  <c r="H770" i="3" s="1"/>
  <c r="F859" i="14"/>
  <c r="F38" i="3"/>
  <c r="H38" i="3" s="1"/>
  <c r="F189" i="3"/>
  <c r="H189" i="3" s="1"/>
  <c r="F212" i="3"/>
  <c r="H212" i="3" s="1"/>
  <c r="G219" i="14"/>
  <c r="G218" i="14" s="1"/>
  <c r="F502" i="3"/>
  <c r="H502" i="3" s="1"/>
  <c r="F525" i="3"/>
  <c r="H525" i="3" s="1"/>
  <c r="F545" i="3"/>
  <c r="H545" i="3" s="1"/>
  <c r="F893" i="3"/>
  <c r="H893" i="3" s="1"/>
  <c r="F86" i="3"/>
  <c r="H86" i="3" s="1"/>
  <c r="C51" i="1"/>
  <c r="E51" i="1" s="1"/>
  <c r="C161" i="1"/>
  <c r="E161" i="1" s="1"/>
  <c r="C42" i="1"/>
  <c r="E42" i="1" s="1"/>
  <c r="C75" i="1"/>
  <c r="F417" i="3"/>
  <c r="H417" i="3" s="1"/>
  <c r="G670" i="5"/>
  <c r="I670" i="5" s="1"/>
  <c r="C59" i="1"/>
  <c r="E59" i="1" s="1"/>
  <c r="C58" i="1"/>
  <c r="E58" i="1" s="1"/>
  <c r="C34" i="1"/>
  <c r="E34" i="1" s="1"/>
  <c r="C61" i="1"/>
  <c r="E61" i="1" s="1"/>
  <c r="C46" i="1"/>
  <c r="E46" i="1" s="1"/>
  <c r="G834" i="5"/>
  <c r="I834" i="5" s="1"/>
  <c r="G836" i="5"/>
  <c r="I836" i="5" s="1"/>
  <c r="G815" i="5"/>
  <c r="I815" i="5" s="1"/>
  <c r="G817" i="5"/>
  <c r="I817" i="5" s="1"/>
  <c r="G805" i="5"/>
  <c r="I805" i="5" s="1"/>
  <c r="G807" i="5"/>
  <c r="I807" i="5" s="1"/>
  <c r="G809" i="5"/>
  <c r="I809" i="5" s="1"/>
  <c r="G811" i="5"/>
  <c r="I811" i="5" s="1"/>
  <c r="G800" i="5"/>
  <c r="I800" i="5" s="1"/>
  <c r="G802" i="5"/>
  <c r="I802" i="5" s="1"/>
  <c r="G795" i="5"/>
  <c r="I795" i="5" s="1"/>
  <c r="G797" i="5"/>
  <c r="I797" i="5" s="1"/>
  <c r="G784" i="5"/>
  <c r="I784" i="5" s="1"/>
  <c r="G786" i="5"/>
  <c r="I786" i="5" s="1"/>
  <c r="G772" i="5"/>
  <c r="I772" i="5" s="1"/>
  <c r="G774" i="5"/>
  <c r="I774" i="5" s="1"/>
  <c r="G757" i="5"/>
  <c r="I757" i="5" s="1"/>
  <c r="G768" i="5"/>
  <c r="I768" i="5" s="1"/>
  <c r="G770" i="5"/>
  <c r="I770" i="5" s="1"/>
  <c r="G776" i="5"/>
  <c r="I776" i="5" s="1"/>
  <c r="G778" i="5"/>
  <c r="I778" i="5" s="1"/>
  <c r="G764" i="5"/>
  <c r="I764" i="5" s="1"/>
  <c r="G735" i="5"/>
  <c r="I735" i="5" s="1"/>
  <c r="G692" i="5"/>
  <c r="I692" i="5" s="1"/>
  <c r="G694" i="5"/>
  <c r="I694" i="5" s="1"/>
  <c r="G673" i="5"/>
  <c r="I673" i="5" s="1"/>
  <c r="G675" i="5"/>
  <c r="I675" i="5" s="1"/>
  <c r="G658" i="5"/>
  <c r="I658" i="5" s="1"/>
  <c r="G660" i="5"/>
  <c r="I660" i="5" s="1"/>
  <c r="G665" i="5"/>
  <c r="I665" i="5" s="1"/>
  <c r="G667" i="5"/>
  <c r="I667" i="5" s="1"/>
  <c r="G640" i="5"/>
  <c r="I640" i="5" s="1"/>
  <c r="G642" i="5"/>
  <c r="I642" i="5" s="1"/>
  <c r="G653" i="5"/>
  <c r="I653" i="5" s="1"/>
  <c r="G608" i="5"/>
  <c r="I608" i="5" s="1"/>
  <c r="G610" i="5"/>
  <c r="I610" i="5" s="1"/>
  <c r="G425" i="5"/>
  <c r="I425" i="5" s="1"/>
  <c r="G427" i="5"/>
  <c r="I427" i="5" s="1"/>
  <c r="G418" i="5"/>
  <c r="I418" i="5" s="1"/>
  <c r="G420" i="5"/>
  <c r="I420" i="5" s="1"/>
  <c r="G410" i="5"/>
  <c r="I410" i="5" s="1"/>
  <c r="G412" i="5"/>
  <c r="I412" i="5" s="1"/>
  <c r="G414" i="5"/>
  <c r="I414" i="5" s="1"/>
  <c r="G416" i="5"/>
  <c r="I416" i="5" s="1"/>
  <c r="G403" i="5"/>
  <c r="I403" i="5" s="1"/>
  <c r="G405" i="5"/>
  <c r="I405" i="5" s="1"/>
  <c r="G395" i="5"/>
  <c r="I395" i="5" s="1"/>
  <c r="G397" i="5"/>
  <c r="I397" i="5" s="1"/>
  <c r="G273" i="5"/>
  <c r="I273" i="5" s="1"/>
  <c r="G275" i="5"/>
  <c r="I275" i="5" s="1"/>
  <c r="G242" i="5"/>
  <c r="I242" i="5" s="1"/>
  <c r="G244" i="5"/>
  <c r="I244" i="5" s="1"/>
  <c r="G289" i="5"/>
  <c r="I289" i="5" s="1"/>
  <c r="G291" i="5"/>
  <c r="I291" i="5" s="1"/>
  <c r="G260" i="5"/>
  <c r="I260" i="5" s="1"/>
  <c r="G262" i="5"/>
  <c r="I262" i="5" s="1"/>
  <c r="G228" i="5"/>
  <c r="I228" i="5" s="1"/>
  <c r="G230" i="5"/>
  <c r="I230" i="5" s="1"/>
  <c r="G54" i="5"/>
  <c r="I54" i="5" s="1"/>
  <c r="G807" i="4"/>
  <c r="I807" i="4" s="1"/>
  <c r="F936" i="3"/>
  <c r="H936" i="3" s="1"/>
  <c r="G430" i="5"/>
  <c r="I430" i="5" s="1"/>
  <c r="F905" i="3"/>
  <c r="H905" i="3" s="1"/>
  <c r="G803" i="4"/>
  <c r="I803" i="4" s="1"/>
  <c r="F932" i="3"/>
  <c r="H932" i="3" s="1"/>
  <c r="G795" i="4"/>
  <c r="I795" i="4" s="1"/>
  <c r="F924" i="3"/>
  <c r="H924" i="3" s="1"/>
  <c r="G822" i="5"/>
  <c r="I822" i="5" s="1"/>
  <c r="F918" i="3"/>
  <c r="H918" i="3" s="1"/>
  <c r="G447" i="5"/>
  <c r="I447" i="5" s="1"/>
  <c r="F946" i="3"/>
  <c r="H946" i="3" s="1"/>
  <c r="F874" i="3"/>
  <c r="H874" i="3" s="1"/>
  <c r="F814" i="3"/>
  <c r="H814" i="3" s="1"/>
  <c r="F843" i="3"/>
  <c r="H843" i="3" s="1"/>
  <c r="F824" i="3"/>
  <c r="H824" i="3" s="1"/>
  <c r="G38" i="6"/>
  <c r="F876" i="3"/>
  <c r="H876" i="3" s="1"/>
  <c r="G308" i="4"/>
  <c r="I308" i="4" s="1"/>
  <c r="F667" i="3"/>
  <c r="H667" i="3" s="1"/>
  <c r="F659" i="3"/>
  <c r="H659" i="3" s="1"/>
  <c r="G311" i="4"/>
  <c r="I311" i="4" s="1"/>
  <c r="F670" i="3"/>
  <c r="H670" i="3" s="1"/>
  <c r="G314" i="4"/>
  <c r="I314" i="4" s="1"/>
  <c r="F673" i="3"/>
  <c r="H673" i="3" s="1"/>
  <c r="F700" i="3"/>
  <c r="H700" i="3" s="1"/>
  <c r="F743" i="3"/>
  <c r="G717" i="4"/>
  <c r="I717" i="4" s="1"/>
  <c r="F711" i="3"/>
  <c r="H711" i="3" s="1"/>
  <c r="G739" i="4"/>
  <c r="I739" i="4" s="1"/>
  <c r="F733" i="3"/>
  <c r="H733" i="3" s="1"/>
  <c r="G546" i="4"/>
  <c r="I546" i="4" s="1"/>
  <c r="F481" i="3"/>
  <c r="H481" i="3" s="1"/>
  <c r="G265" i="5"/>
  <c r="I265" i="5" s="1"/>
  <c r="F507" i="3"/>
  <c r="H507" i="3" s="1"/>
  <c r="G235" i="5"/>
  <c r="I235" i="5" s="1"/>
  <c r="F557" i="3"/>
  <c r="H557" i="3" s="1"/>
  <c r="F577" i="3"/>
  <c r="G692" i="4"/>
  <c r="I692" i="4" s="1"/>
  <c r="F624" i="3"/>
  <c r="H624" i="3" s="1"/>
  <c r="G221" i="5"/>
  <c r="I221" i="5" s="1"/>
  <c r="F494" i="3"/>
  <c r="H494" i="3" s="1"/>
  <c r="G618" i="4"/>
  <c r="I618" i="4" s="1"/>
  <c r="F550" i="3"/>
  <c r="H550" i="3" s="1"/>
  <c r="F560" i="3"/>
  <c r="H560" i="3" s="1"/>
  <c r="G278" i="5"/>
  <c r="I278" i="5" s="1"/>
  <c r="F573" i="3"/>
  <c r="H573" i="3" s="1"/>
  <c r="G733" i="4"/>
  <c r="I733" i="4" s="1"/>
  <c r="F727" i="3"/>
  <c r="H727" i="3" s="1"/>
  <c r="G1000" i="4"/>
  <c r="F443" i="3"/>
  <c r="H443" i="3" s="1"/>
  <c r="G609" i="4"/>
  <c r="I609" i="4" s="1"/>
  <c r="F541" i="3"/>
  <c r="H541" i="3" s="1"/>
  <c r="G247" i="5"/>
  <c r="I247" i="5" s="1"/>
  <c r="F566" i="3"/>
  <c r="H566" i="3" s="1"/>
  <c r="G698" i="4"/>
  <c r="I698" i="4" s="1"/>
  <c r="F630" i="3"/>
  <c r="H630" i="3" s="1"/>
  <c r="G725" i="4"/>
  <c r="I725" i="4" s="1"/>
  <c r="F719" i="3"/>
  <c r="H719" i="3" s="1"/>
  <c r="G1010" i="4"/>
  <c r="F453" i="3"/>
  <c r="H453" i="3" s="1"/>
  <c r="G552" i="4"/>
  <c r="I552" i="4" s="1"/>
  <c r="F487" i="3"/>
  <c r="H487" i="3" s="1"/>
  <c r="G283" i="5"/>
  <c r="I283" i="5" s="1"/>
  <c r="F638" i="3"/>
  <c r="H638" i="3" s="1"/>
  <c r="G723" i="4"/>
  <c r="I723" i="4" s="1"/>
  <c r="F717" i="3"/>
  <c r="H717" i="3" s="1"/>
  <c r="G737" i="4"/>
  <c r="I737" i="4" s="1"/>
  <c r="F731" i="3"/>
  <c r="H731" i="3" s="1"/>
  <c r="G1019" i="4"/>
  <c r="I1019" i="4" s="1"/>
  <c r="F462" i="3"/>
  <c r="H462" i="3" s="1"/>
  <c r="G178" i="4"/>
  <c r="I178" i="4" s="1"/>
  <c r="F238" i="3"/>
  <c r="H238" i="3" s="1"/>
  <c r="G503" i="4"/>
  <c r="I503" i="4" s="1"/>
  <c r="F156" i="3"/>
  <c r="H156" i="3" s="1"/>
  <c r="F354" i="3"/>
  <c r="H354" i="3" s="1"/>
  <c r="F401" i="3"/>
  <c r="H401" i="3" s="1"/>
  <c r="F404" i="3"/>
  <c r="F239" i="3"/>
  <c r="H239" i="3" s="1"/>
  <c r="F232" i="3"/>
  <c r="H232" i="3" s="1"/>
  <c r="G869" i="4"/>
  <c r="I869" i="4" s="1"/>
  <c r="F312" i="3"/>
  <c r="H312" i="3" s="1"/>
  <c r="G518" i="4"/>
  <c r="I518" i="4" s="1"/>
  <c r="F315" i="3"/>
  <c r="H315" i="3" s="1"/>
  <c r="G875" i="4"/>
  <c r="I875" i="4" s="1"/>
  <c r="F318" i="3"/>
  <c r="H318" i="3" s="1"/>
  <c r="F358" i="3"/>
  <c r="F235" i="3"/>
  <c r="H235" i="3" s="1"/>
  <c r="F236" i="3"/>
  <c r="H236" i="3" s="1"/>
  <c r="G200" i="4"/>
  <c r="I200" i="4" s="1"/>
  <c r="F280" i="3"/>
  <c r="H280" i="3" s="1"/>
  <c r="F258" i="3"/>
  <c r="H258" i="3" s="1"/>
  <c r="F366" i="3"/>
  <c r="F174" i="3"/>
  <c r="H174" i="3" s="1"/>
  <c r="G75" i="4"/>
  <c r="I75" i="4" s="1"/>
  <c r="F70" i="3"/>
  <c r="H70" i="3" s="1"/>
  <c r="G77" i="4"/>
  <c r="I77" i="4" s="1"/>
  <c r="F72" i="3"/>
  <c r="H72" i="3" s="1"/>
  <c r="G85" i="4"/>
  <c r="I85" i="4" s="1"/>
  <c r="F80" i="3"/>
  <c r="H80" i="3" s="1"/>
  <c r="G80" i="4"/>
  <c r="I80" i="4" s="1"/>
  <c r="F75" i="3"/>
  <c r="H75" i="3" s="1"/>
  <c r="G82" i="4"/>
  <c r="I82" i="4" s="1"/>
  <c r="F77" i="3"/>
  <c r="H77" i="3" s="1"/>
  <c r="G1059" i="4"/>
  <c r="I1059" i="4" s="1"/>
  <c r="F109" i="3"/>
  <c r="H109" i="3" s="1"/>
  <c r="G87" i="4"/>
  <c r="I87" i="4" s="1"/>
  <c r="F82" i="3"/>
  <c r="H82" i="3" s="1"/>
  <c r="G226" i="4"/>
  <c r="I226" i="4" s="1"/>
  <c r="F625" i="3"/>
  <c r="H625" i="3" s="1"/>
  <c r="F57" i="3"/>
  <c r="H57" i="3" s="1"/>
  <c r="F329" i="3"/>
  <c r="H329" i="3" s="1"/>
  <c r="G828" i="4"/>
  <c r="I828" i="4" s="1"/>
  <c r="G923" i="4"/>
  <c r="I923" i="4" s="1"/>
  <c r="G964" i="4"/>
  <c r="I964" i="4" s="1"/>
  <c r="G288" i="4"/>
  <c r="I288" i="4" s="1"/>
  <c r="G430" i="4"/>
  <c r="I430" i="4" s="1"/>
  <c r="G706" i="4"/>
  <c r="I706" i="4" s="1"/>
  <c r="F237" i="3"/>
  <c r="H237" i="3" s="1"/>
  <c r="G572" i="4"/>
  <c r="I572" i="4" s="1"/>
  <c r="F887" i="3"/>
  <c r="H887" i="3" s="1"/>
  <c r="G176" i="4"/>
  <c r="I176" i="4" s="1"/>
  <c r="G198" i="4"/>
  <c r="I198" i="4" s="1"/>
  <c r="G448" i="4"/>
  <c r="I448" i="4" s="1"/>
  <c r="G625" i="4"/>
  <c r="I625" i="4" s="1"/>
  <c r="G832" i="4"/>
  <c r="I832" i="4" s="1"/>
  <c r="G846" i="4"/>
  <c r="I846" i="4" s="1"/>
  <c r="G406" i="4"/>
  <c r="I406" i="4" s="1"/>
  <c r="G284" i="4"/>
  <c r="I284" i="4" s="1"/>
  <c r="G915" i="4"/>
  <c r="I915" i="4" s="1"/>
  <c r="F433" i="3"/>
  <c r="H433" i="3" s="1"/>
  <c r="F938" i="3"/>
  <c r="H938" i="3" s="1"/>
  <c r="G224" i="4"/>
  <c r="I224" i="4" s="1"/>
  <c r="G235" i="4"/>
  <c r="I235" i="4" s="1"/>
  <c r="G300" i="4"/>
  <c r="I300" i="4" s="1"/>
  <c r="G452" i="4"/>
  <c r="I452" i="4" s="1"/>
  <c r="G741" i="4"/>
  <c r="I741" i="4" s="1"/>
  <c r="G776" i="4"/>
  <c r="I776" i="4" s="1"/>
  <c r="G830" i="4"/>
  <c r="I830" i="4" s="1"/>
  <c r="F406" i="3"/>
  <c r="H406" i="3" s="1"/>
  <c r="F903" i="3"/>
  <c r="H903" i="3" s="1"/>
  <c r="F413" i="3"/>
  <c r="H413" i="3" s="1"/>
  <c r="F438" i="3"/>
  <c r="H438" i="3" s="1"/>
  <c r="F454" i="3"/>
  <c r="F891" i="3"/>
  <c r="H891" i="3" s="1"/>
  <c r="G172" i="4"/>
  <c r="I172" i="4" s="1"/>
  <c r="G417" i="4"/>
  <c r="I417" i="4" s="1"/>
  <c r="G421" i="4"/>
  <c r="I421" i="4" s="1"/>
  <c r="G634" i="4"/>
  <c r="I634" i="4" s="1"/>
  <c r="G641" i="4"/>
  <c r="I641" i="4" s="1"/>
  <c r="G759" i="4"/>
  <c r="I759" i="4" s="1"/>
  <c r="G763" i="4"/>
  <c r="I763" i="4" s="1"/>
  <c r="G892" i="4"/>
  <c r="G955" i="4"/>
  <c r="I955" i="4" s="1"/>
  <c r="G51" i="5"/>
  <c r="I51" i="5" s="1"/>
  <c r="G340" i="4"/>
  <c r="G225" i="5"/>
  <c r="I225" i="5" s="1"/>
  <c r="G562" i="4"/>
  <c r="I562" i="4" s="1"/>
  <c r="F489" i="3"/>
  <c r="H489" i="3" s="1"/>
  <c r="G269" i="5"/>
  <c r="I269" i="5" s="1"/>
  <c r="F496" i="3"/>
  <c r="H496" i="3" s="1"/>
  <c r="G881" i="4"/>
  <c r="G851" i="5"/>
  <c r="I851" i="5" s="1"/>
  <c r="G511" i="4"/>
  <c r="I511" i="4" s="1"/>
  <c r="G685" i="4"/>
  <c r="I685" i="4" s="1"/>
  <c r="F616" i="3"/>
  <c r="H616" i="3" s="1"/>
  <c r="G805" i="4"/>
  <c r="I805" i="4" s="1"/>
  <c r="G872" i="4"/>
  <c r="I872" i="4" s="1"/>
  <c r="F48" i="3"/>
  <c r="F54" i="3"/>
  <c r="H54" i="3" s="1"/>
  <c r="F561" i="3"/>
  <c r="H561" i="3" s="1"/>
  <c r="G15" i="4"/>
  <c r="I15" i="4" s="1"/>
  <c r="G481" i="5"/>
  <c r="I481" i="5" s="1"/>
  <c r="G353" i="4"/>
  <c r="I353" i="4" s="1"/>
  <c r="G67" i="5"/>
  <c r="I67" i="5" s="1"/>
  <c r="G443" i="4"/>
  <c r="I443" i="4" s="1"/>
  <c r="G142" i="5"/>
  <c r="I142" i="5" s="1"/>
  <c r="G542" i="4"/>
  <c r="I542" i="4" s="1"/>
  <c r="G575" i="4"/>
  <c r="I575" i="4" s="1"/>
  <c r="G29" i="5"/>
  <c r="I29" i="5" s="1"/>
  <c r="G131" i="4"/>
  <c r="I131" i="4" s="1"/>
  <c r="G628" i="4"/>
  <c r="I628" i="4" s="1"/>
  <c r="G239" i="5"/>
  <c r="I239" i="5" s="1"/>
  <c r="G649" i="4"/>
  <c r="I649" i="4" s="1"/>
  <c r="F552" i="3"/>
  <c r="H552" i="3" s="1"/>
  <c r="G364" i="4"/>
  <c r="I364" i="4" s="1"/>
  <c r="G780" i="4"/>
  <c r="I780" i="4" s="1"/>
  <c r="G911" i="4"/>
  <c r="I911" i="4" s="1"/>
  <c r="G1048" i="4"/>
  <c r="I1048" i="4" s="1"/>
  <c r="F37" i="3"/>
  <c r="H37" i="3" s="1"/>
  <c r="G886" i="4"/>
  <c r="I886" i="4" s="1"/>
  <c r="G900" i="4"/>
  <c r="F398" i="3"/>
  <c r="H398" i="3" s="1"/>
  <c r="G133" i="4"/>
  <c r="I133" i="4" s="1"/>
  <c r="G338" i="4"/>
  <c r="I338" i="4" s="1"/>
  <c r="G484" i="5"/>
  <c r="I484" i="5" s="1"/>
  <c r="G355" i="4"/>
  <c r="I355" i="4" s="1"/>
  <c r="F759" i="3"/>
  <c r="H759" i="3" s="1"/>
  <c r="G331" i="4"/>
  <c r="I331" i="4" s="1"/>
  <c r="G55" i="4"/>
  <c r="I55" i="4" s="1"/>
  <c r="F50" i="3"/>
  <c r="H50" i="3" s="1"/>
  <c r="G376" i="5"/>
  <c r="G169" i="4"/>
  <c r="I169" i="4" s="1"/>
  <c r="F228" i="3"/>
  <c r="H228" i="3" s="1"/>
  <c r="G286" i="4"/>
  <c r="I286" i="4" s="1"/>
  <c r="G478" i="5"/>
  <c r="I478" i="5" s="1"/>
  <c r="G351" i="4"/>
  <c r="I351" i="4" s="1"/>
  <c r="F755" i="3"/>
  <c r="H755" i="3" s="1"/>
  <c r="G362" i="4"/>
  <c r="I362" i="4" s="1"/>
  <c r="G521" i="4"/>
  <c r="I521" i="4" s="1"/>
  <c r="F533" i="3"/>
  <c r="H533" i="3" s="1"/>
  <c r="G254" i="5"/>
  <c r="I254" i="5" s="1"/>
  <c r="G444" i="5"/>
  <c r="I444" i="5" s="1"/>
  <c r="G815" i="4"/>
  <c r="I815" i="4" s="1"/>
  <c r="G559" i="4"/>
  <c r="I559" i="4" s="1"/>
  <c r="G602" i="4"/>
  <c r="I602" i="4" s="1"/>
  <c r="G638" i="4"/>
  <c r="I638" i="4" s="1"/>
  <c r="G26" i="5"/>
  <c r="I26" i="5" s="1"/>
  <c r="G858" i="4"/>
  <c r="I858" i="4" s="1"/>
  <c r="G919" i="4"/>
  <c r="G958" i="4"/>
  <c r="I958" i="4" s="1"/>
  <c r="G645" i="5"/>
  <c r="I645" i="5" s="1"/>
  <c r="G789" i="4"/>
  <c r="I789" i="4" s="1"/>
  <c r="G817" i="4"/>
  <c r="I817" i="4" s="1"/>
  <c r="G860" i="4"/>
  <c r="G960" i="4"/>
  <c r="G970" i="4"/>
  <c r="I970" i="4" s="1"/>
  <c r="G990" i="4"/>
  <c r="I990" i="4" s="1"/>
  <c r="F817" i="3"/>
  <c r="H817" i="3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20" i="2"/>
  <c r="F799" i="3"/>
  <c r="H799" i="3" s="1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1001" i="10" l="1"/>
  <c r="H48" i="3"/>
  <c r="J48" i="3"/>
  <c r="G121" i="10"/>
  <c r="G97" i="10" s="1"/>
  <c r="G56" i="10" s="1"/>
  <c r="G28" i="10" s="1"/>
  <c r="G777" i="10"/>
  <c r="G770" i="10" s="1"/>
  <c r="G984" i="10" s="1"/>
  <c r="G236" i="10"/>
  <c r="G235" i="10" s="1"/>
  <c r="G1006" i="10"/>
  <c r="G278" i="10"/>
  <c r="G277" i="10" s="1"/>
  <c r="D18" i="13"/>
  <c r="F20" i="2"/>
  <c r="G358" i="10"/>
  <c r="G733" i="10"/>
  <c r="G725" i="10" s="1"/>
  <c r="G704" i="10" s="1"/>
  <c r="G989" i="10" s="1"/>
  <c r="G848" i="10"/>
  <c r="G847" i="10" s="1"/>
  <c r="G784" i="10" s="1"/>
  <c r="E19" i="1"/>
  <c r="C18" i="1"/>
  <c r="E152" i="1"/>
  <c r="G18" i="6"/>
  <c r="I19" i="6"/>
  <c r="G42" i="6"/>
  <c r="I43" i="6"/>
  <c r="G623" i="5"/>
  <c r="I623" i="5" s="1"/>
  <c r="I624" i="5"/>
  <c r="G660" i="16"/>
  <c r="G33" i="6"/>
  <c r="I34" i="6"/>
  <c r="G37" i="6"/>
  <c r="I38" i="6"/>
  <c r="G872" i="15"/>
  <c r="H872" i="15" s="1"/>
  <c r="H866" i="15" s="1"/>
  <c r="I860" i="4"/>
  <c r="G903" i="15"/>
  <c r="H903" i="15" s="1"/>
  <c r="I892" i="4"/>
  <c r="G908" i="15"/>
  <c r="H908" i="15" s="1"/>
  <c r="I897" i="4"/>
  <c r="G267" i="4"/>
  <c r="I267" i="4" s="1"/>
  <c r="I268" i="4"/>
  <c r="G1021" i="15"/>
  <c r="H1021" i="15" s="1"/>
  <c r="I1012" i="4"/>
  <c r="G381" i="4"/>
  <c r="I381" i="4" s="1"/>
  <c r="I382" i="4"/>
  <c r="G930" i="15"/>
  <c r="H930" i="15" s="1"/>
  <c r="I919" i="4"/>
  <c r="G911" i="15"/>
  <c r="H911" i="15" s="1"/>
  <c r="I900" i="4"/>
  <c r="G337" i="4"/>
  <c r="I337" i="4" s="1"/>
  <c r="I340" i="4"/>
  <c r="G1007" i="4"/>
  <c r="I1007" i="4" s="1"/>
  <c r="I1010" i="4"/>
  <c r="G1080" i="15"/>
  <c r="G1069" i="15" s="1"/>
  <c r="I1052" i="4"/>
  <c r="G138" i="16"/>
  <c r="G137" i="16" s="1"/>
  <c r="G136" i="16" s="1"/>
  <c r="G135" i="16" s="1"/>
  <c r="G134" i="16" s="1"/>
  <c r="I457" i="4"/>
  <c r="G259" i="15"/>
  <c r="I248" i="4"/>
  <c r="G152" i="4"/>
  <c r="I152" i="4" s="1"/>
  <c r="I154" i="4"/>
  <c r="G370" i="4"/>
  <c r="I370" i="4" s="1"/>
  <c r="I371" i="4"/>
  <c r="G148" i="4"/>
  <c r="I148" i="4" s="1"/>
  <c r="I149" i="4"/>
  <c r="G641" i="15"/>
  <c r="H641" i="15" s="1"/>
  <c r="I630" i="4"/>
  <c r="G186" i="4"/>
  <c r="I186" i="4" s="1"/>
  <c r="I187" i="4"/>
  <c r="G985" i="15"/>
  <c r="I974" i="4"/>
  <c r="G513" i="15"/>
  <c r="H513" i="15" s="1"/>
  <c r="I505" i="4"/>
  <c r="G216" i="4"/>
  <c r="I216" i="4" s="1"/>
  <c r="I217" i="4"/>
  <c r="G971" i="15"/>
  <c r="H971" i="15" s="1"/>
  <c r="I960" i="4"/>
  <c r="G880" i="4"/>
  <c r="I880" i="4" s="1"/>
  <c r="I881" i="4"/>
  <c r="G995" i="4"/>
  <c r="I995" i="4" s="1"/>
  <c r="I1000" i="4"/>
  <c r="G651" i="4"/>
  <c r="I651" i="4" s="1"/>
  <c r="I652" i="4"/>
  <c r="G783" i="15"/>
  <c r="G782" i="15" s="1"/>
  <c r="I772" i="4"/>
  <c r="G577" i="4"/>
  <c r="I577" i="4" s="1"/>
  <c r="I578" i="4"/>
  <c r="G271" i="4"/>
  <c r="I271" i="4" s="1"/>
  <c r="I272" i="4"/>
  <c r="G558" i="5"/>
  <c r="I558" i="5" s="1"/>
  <c r="I557" i="5"/>
  <c r="G372" i="5"/>
  <c r="I372" i="5" s="1"/>
  <c r="I376" i="5"/>
  <c r="G842" i="5"/>
  <c r="I842" i="5" s="1"/>
  <c r="I843" i="5"/>
  <c r="G515" i="5"/>
  <c r="I515" i="5" s="1"/>
  <c r="I514" i="5"/>
  <c r="G308" i="5"/>
  <c r="I308" i="5" s="1"/>
  <c r="I309" i="5"/>
  <c r="G215" i="5"/>
  <c r="I215" i="5" s="1"/>
  <c r="I214" i="5"/>
  <c r="G127" i="5"/>
  <c r="I128" i="5"/>
  <c r="G552" i="5"/>
  <c r="I552" i="5" s="1"/>
  <c r="I553" i="5"/>
  <c r="F375" i="14"/>
  <c r="G375" i="14" s="1"/>
  <c r="H366" i="3"/>
  <c r="F763" i="3"/>
  <c r="H764" i="3"/>
  <c r="F943" i="3"/>
  <c r="H943" i="3" s="1"/>
  <c r="H944" i="3"/>
  <c r="F149" i="3"/>
  <c r="H149" i="3" s="1"/>
  <c r="H150" i="3"/>
  <c r="F371" i="14"/>
  <c r="G371" i="14" s="1"/>
  <c r="H362" i="3"/>
  <c r="F461" i="14"/>
  <c r="G461" i="14" s="1"/>
  <c r="H454" i="3"/>
  <c r="F277" i="3"/>
  <c r="H277" i="3" s="1"/>
  <c r="H278" i="3"/>
  <c r="F367" i="14"/>
  <c r="G367" i="14" s="1"/>
  <c r="H358" i="3"/>
  <c r="F742" i="3"/>
  <c r="H742" i="3" s="1"/>
  <c r="H743" i="3"/>
  <c r="F511" i="3"/>
  <c r="H511" i="3" s="1"/>
  <c r="H512" i="3"/>
  <c r="F282" i="14"/>
  <c r="G282" i="14" s="1"/>
  <c r="H272" i="3"/>
  <c r="F413" i="14"/>
  <c r="H404" i="3"/>
  <c r="F576" i="3"/>
  <c r="H577" i="3"/>
  <c r="E123" i="12"/>
  <c r="G207" i="15"/>
  <c r="G1109" i="15" s="1"/>
  <c r="F176" i="3"/>
  <c r="G278" i="15"/>
  <c r="G263" i="4"/>
  <c r="I263" i="4" s="1"/>
  <c r="G219" i="16"/>
  <c r="G218" i="16" s="1"/>
  <c r="G217" i="16" s="1"/>
  <c r="G216" i="16" s="1"/>
  <c r="G990" i="10"/>
  <c r="G926" i="10"/>
  <c r="G925" i="10" s="1"/>
  <c r="G390" i="10"/>
  <c r="G994" i="10" s="1"/>
  <c r="G361" i="4"/>
  <c r="I361" i="4" s="1"/>
  <c r="G826" i="10"/>
  <c r="G800" i="10" s="1"/>
  <c r="G675" i="10"/>
  <c r="G674" i="10" s="1"/>
  <c r="G283" i="4"/>
  <c r="G30" i="10"/>
  <c r="G29" i="10" s="1"/>
  <c r="G645" i="10"/>
  <c r="G615" i="15"/>
  <c r="F31" i="14"/>
  <c r="H32" i="14"/>
  <c r="G548" i="14"/>
  <c r="H220" i="16"/>
  <c r="H221" i="16" s="1"/>
  <c r="G501" i="14"/>
  <c r="G500" i="14" s="1"/>
  <c r="G499" i="14" s="1"/>
  <c r="F500" i="14"/>
  <c r="F499" i="14" s="1"/>
  <c r="H1080" i="15"/>
  <c r="G350" i="4"/>
  <c r="F567" i="14"/>
  <c r="F543" i="14" s="1"/>
  <c r="H252" i="16"/>
  <c r="H251" i="16" s="1"/>
  <c r="H250" i="16" s="1"/>
  <c r="H254" i="16"/>
  <c r="G722" i="4"/>
  <c r="H281" i="16"/>
  <c r="H280" i="16" s="1"/>
  <c r="H279" i="16" s="1"/>
  <c r="H283" i="16"/>
  <c r="G586" i="14"/>
  <c r="G585" i="14" s="1"/>
  <c r="G584" i="14" s="1"/>
  <c r="G580" i="14" s="1"/>
  <c r="H277" i="16"/>
  <c r="H102" i="16"/>
  <c r="H101" i="16" s="1"/>
  <c r="H104" i="16"/>
  <c r="G514" i="14"/>
  <c r="G513" i="14" s="1"/>
  <c r="G512" i="14" s="1"/>
  <c r="H264" i="16"/>
  <c r="G579" i="14"/>
  <c r="G578" i="14" s="1"/>
  <c r="G577" i="14" s="1"/>
  <c r="H246" i="16"/>
  <c r="G139" i="16"/>
  <c r="G237" i="16"/>
  <c r="G236" i="16" s="1"/>
  <c r="G239" i="16"/>
  <c r="H235" i="16"/>
  <c r="H233" i="16"/>
  <c r="H232" i="16" s="1"/>
  <c r="H239" i="16"/>
  <c r="H237" i="16"/>
  <c r="H236" i="16" s="1"/>
  <c r="G235" i="16"/>
  <c r="G233" i="16"/>
  <c r="G232" i="16" s="1"/>
  <c r="G485" i="14"/>
  <c r="G573" i="14"/>
  <c r="G572" i="14" s="1"/>
  <c r="G571" i="14" s="1"/>
  <c r="G80" i="16"/>
  <c r="G79" i="16" s="1"/>
  <c r="G78" i="16" s="1"/>
  <c r="G82" i="16"/>
  <c r="G226" i="15"/>
  <c r="G225" i="15" s="1"/>
  <c r="G215" i="4"/>
  <c r="G570" i="14"/>
  <c r="G569" i="14" s="1"/>
  <c r="G568" i="14" s="1"/>
  <c r="G87" i="16"/>
  <c r="G86" i="16" s="1"/>
  <c r="G85" i="16" s="1"/>
  <c r="G89" i="16"/>
  <c r="G855" i="4"/>
  <c r="I855" i="4" s="1"/>
  <c r="G546" i="10"/>
  <c r="G459" i="10"/>
  <c r="G995" i="10"/>
  <c r="G507" i="10"/>
  <c r="G506" i="10" s="1"/>
  <c r="G389" i="10"/>
  <c r="G388" i="10" s="1"/>
  <c r="G988" i="10" s="1"/>
  <c r="G978" i="10"/>
  <c r="G153" i="4"/>
  <c r="I153" i="4" s="1"/>
  <c r="G736" i="4"/>
  <c r="G405" i="4"/>
  <c r="G52" i="4"/>
  <c r="I52" i="4" s="1"/>
  <c r="H209" i="15"/>
  <c r="G288" i="14"/>
  <c r="G287" i="14" s="1"/>
  <c r="G485" i="4"/>
  <c r="I485" i="4" s="1"/>
  <c r="F241" i="14"/>
  <c r="G579" i="15"/>
  <c r="H579" i="15" s="1"/>
  <c r="G416" i="4"/>
  <c r="I416" i="4" s="1"/>
  <c r="G175" i="4"/>
  <c r="I175" i="4" s="1"/>
  <c r="G112" i="4"/>
  <c r="I112" i="4" s="1"/>
  <c r="G827" i="4"/>
  <c r="G223" i="4"/>
  <c r="I223" i="4" s="1"/>
  <c r="G802" i="4"/>
  <c r="F212" i="14"/>
  <c r="F211" i="14" s="1"/>
  <c r="F210" i="14" s="1"/>
  <c r="G519" i="15"/>
  <c r="G518" i="15" s="1"/>
  <c r="H135" i="15"/>
  <c r="F162" i="14"/>
  <c r="F161" i="14" s="1"/>
  <c r="G134" i="15"/>
  <c r="H1087" i="15"/>
  <c r="H1086" i="15" s="1"/>
  <c r="G111" i="14"/>
  <c r="G110" i="14" s="1"/>
  <c r="G109" i="14" s="1"/>
  <c r="G108" i="14" s="1"/>
  <c r="G239" i="14"/>
  <c r="G238" i="14" s="1"/>
  <c r="G237" i="14" s="1"/>
  <c r="H180" i="15"/>
  <c r="H179" i="15" s="1"/>
  <c r="H175" i="15" s="1"/>
  <c r="G928" i="14"/>
  <c r="G927" i="14" s="1"/>
  <c r="G926" i="14" s="1"/>
  <c r="H807" i="15"/>
  <c r="H806" i="15" s="1"/>
  <c r="F14" i="14"/>
  <c r="F13" i="14" s="1"/>
  <c r="G1052" i="15"/>
  <c r="G1051" i="15" s="1"/>
  <c r="H205" i="16"/>
  <c r="H206" i="16" s="1"/>
  <c r="G629" i="14"/>
  <c r="G628" i="14" s="1"/>
  <c r="G627" i="14" s="1"/>
  <c r="H699" i="15"/>
  <c r="H698" i="15" s="1"/>
  <c r="H654" i="16"/>
  <c r="H655" i="16" s="1"/>
  <c r="G410" i="14"/>
  <c r="G409" i="14" s="1"/>
  <c r="G408" i="14" s="1"/>
  <c r="H969" i="15"/>
  <c r="H968" i="15" s="1"/>
  <c r="H82" i="15"/>
  <c r="G76" i="14"/>
  <c r="G75" i="14" s="1"/>
  <c r="H80" i="15"/>
  <c r="G74" i="14"/>
  <c r="G73" i="14" s="1"/>
  <c r="H85" i="15"/>
  <c r="G79" i="14"/>
  <c r="G78" i="14" s="1"/>
  <c r="H1076" i="15"/>
  <c r="H1075" i="15" s="1"/>
  <c r="G39" i="14"/>
  <c r="G38" i="14" s="1"/>
  <c r="G37" i="14" s="1"/>
  <c r="G940" i="14"/>
  <c r="G939" i="14" s="1"/>
  <c r="H819" i="15"/>
  <c r="G732" i="15"/>
  <c r="G981" i="15"/>
  <c r="G980" i="15" s="1"/>
  <c r="G964" i="15" s="1"/>
  <c r="F422" i="14"/>
  <c r="F421" i="14" s="1"/>
  <c r="F420" i="14" s="1"/>
  <c r="F404" i="14" s="1"/>
  <c r="F399" i="14" s="1"/>
  <c r="H499" i="15"/>
  <c r="H498" i="15" s="1"/>
  <c r="G498" i="15"/>
  <c r="G493" i="15" s="1"/>
  <c r="H63" i="15"/>
  <c r="F56" i="14"/>
  <c r="F55" i="14" s="1"/>
  <c r="G62" i="15"/>
  <c r="G55" i="15" s="1"/>
  <c r="H845" i="15"/>
  <c r="F148" i="14"/>
  <c r="F147" i="14" s="1"/>
  <c r="G844" i="15"/>
  <c r="F912" i="14"/>
  <c r="F911" i="14" s="1"/>
  <c r="F910" i="14" s="1"/>
  <c r="G791" i="15"/>
  <c r="G790" i="15" s="1"/>
  <c r="F625" i="14"/>
  <c r="F624" i="14" s="1"/>
  <c r="F623" i="14" s="1"/>
  <c r="G695" i="15"/>
  <c r="G694" i="15" s="1"/>
  <c r="H66" i="15"/>
  <c r="F59" i="14"/>
  <c r="F58" i="14" s="1"/>
  <c r="F57" i="14" s="1"/>
  <c r="H843" i="15"/>
  <c r="F146" i="14"/>
  <c r="F145" i="14" s="1"/>
  <c r="G842" i="15"/>
  <c r="F468" i="14"/>
  <c r="F465" i="14"/>
  <c r="G936" i="14"/>
  <c r="G935" i="14" s="1"/>
  <c r="H815" i="15"/>
  <c r="G721" i="14"/>
  <c r="G720" i="14" s="1"/>
  <c r="H735" i="15"/>
  <c r="G729" i="14"/>
  <c r="G728" i="14" s="1"/>
  <c r="G727" i="14" s="1"/>
  <c r="H743" i="15"/>
  <c r="H742" i="15" s="1"/>
  <c r="G183" i="15"/>
  <c r="G182" i="15" s="1"/>
  <c r="H184" i="15"/>
  <c r="F717" i="14"/>
  <c r="F442" i="14"/>
  <c r="F441" i="14" s="1"/>
  <c r="F440" i="14" s="1"/>
  <c r="G1001" i="15"/>
  <c r="G1000" i="15" s="1"/>
  <c r="G660" i="15"/>
  <c r="G659" i="15" s="1"/>
  <c r="G658" i="15" s="1"/>
  <c r="H137" i="15"/>
  <c r="F164" i="14"/>
  <c r="F163" i="14" s="1"/>
  <c r="G136" i="15"/>
  <c r="F948" i="14"/>
  <c r="F947" i="14" s="1"/>
  <c r="F946" i="14" s="1"/>
  <c r="G827" i="15"/>
  <c r="G826" i="15" s="1"/>
  <c r="H698" i="16"/>
  <c r="H697" i="16" s="1"/>
  <c r="H696" i="16" s="1"/>
  <c r="G258" i="14"/>
  <c r="G257" i="14" s="1"/>
  <c r="G256" i="14" s="1"/>
  <c r="H199" i="15"/>
  <c r="H198" i="15" s="1"/>
  <c r="G823" i="14"/>
  <c r="G822" i="14" s="1"/>
  <c r="G821" i="14" s="1"/>
  <c r="G820" i="14" s="1"/>
  <c r="G819" i="14" s="1"/>
  <c r="G818" i="14" s="1"/>
  <c r="G438" i="15"/>
  <c r="G437" i="15" s="1"/>
  <c r="H1019" i="15"/>
  <c r="H1018" i="15" s="1"/>
  <c r="G460" i="14"/>
  <c r="G459" i="14" s="1"/>
  <c r="G458" i="14" s="1"/>
  <c r="H1011" i="15"/>
  <c r="H1006" i="15" s="1"/>
  <c r="G452" i="14"/>
  <c r="G451" i="14" s="1"/>
  <c r="G446" i="14" s="1"/>
  <c r="H747" i="15"/>
  <c r="H752" i="15"/>
  <c r="G737" i="14" s="1"/>
  <c r="G736" i="14" s="1"/>
  <c r="G731" i="14" s="1"/>
  <c r="F737" i="14"/>
  <c r="F736" i="14" s="1"/>
  <c r="F731" i="14" s="1"/>
  <c r="G751" i="15"/>
  <c r="G746" i="15" s="1"/>
  <c r="H455" i="16"/>
  <c r="H454" i="16" s="1"/>
  <c r="G950" i="14"/>
  <c r="G949" i="14" s="1"/>
  <c r="H829" i="15"/>
  <c r="H438" i="16"/>
  <c r="H439" i="16" s="1"/>
  <c r="G908" i="14"/>
  <c r="G907" i="14" s="1"/>
  <c r="G906" i="14" s="1"/>
  <c r="G902" i="14" s="1"/>
  <c r="H787" i="15"/>
  <c r="H786" i="15" s="1"/>
  <c r="H652" i="15"/>
  <c r="H651" i="15" s="1"/>
  <c r="H48" i="16"/>
  <c r="H49" i="16" s="1"/>
  <c r="G702" i="14"/>
  <c r="G701" i="14" s="1"/>
  <c r="G700" i="14" s="1"/>
  <c r="H349" i="15"/>
  <c r="H348" i="15" s="1"/>
  <c r="H645" i="15"/>
  <c r="H644" i="15" s="1"/>
  <c r="H749" i="15"/>
  <c r="H818" i="15"/>
  <c r="F938" i="14"/>
  <c r="F937" i="14" s="1"/>
  <c r="F934" i="14" s="1"/>
  <c r="G817" i="15"/>
  <c r="G814" i="15" s="1"/>
  <c r="G586" i="15"/>
  <c r="G585" i="15" s="1"/>
  <c r="F672" i="14"/>
  <c r="F671" i="14" s="1"/>
  <c r="F670" i="14" s="1"/>
  <c r="G322" i="15"/>
  <c r="G321" i="15" s="1"/>
  <c r="G712" i="14"/>
  <c r="G711" i="14" s="1"/>
  <c r="G710" i="14" s="1"/>
  <c r="H724" i="15"/>
  <c r="H723" i="15" s="1"/>
  <c r="G643" i="14"/>
  <c r="G642" i="14" s="1"/>
  <c r="G641" i="14" s="1"/>
  <c r="H713" i="15"/>
  <c r="H712" i="15" s="1"/>
  <c r="H583" i="15"/>
  <c r="H582" i="15" s="1"/>
  <c r="G173" i="14"/>
  <c r="G172" i="14" s="1"/>
  <c r="G171" i="14" s="1"/>
  <c r="G170" i="14" s="1"/>
  <c r="H249" i="15"/>
  <c r="H248" i="15" s="1"/>
  <c r="H247" i="15" s="1"/>
  <c r="H838" i="16"/>
  <c r="H837" i="16" s="1"/>
  <c r="H836" i="16" s="1"/>
  <c r="H835" i="16" s="1"/>
  <c r="H834" i="16" s="1"/>
  <c r="H807" i="16" s="1"/>
  <c r="H795" i="16" s="1"/>
  <c r="G922" i="14"/>
  <c r="G921" i="14" s="1"/>
  <c r="G920" i="14" s="1"/>
  <c r="H801" i="15"/>
  <c r="H800" i="15" s="1"/>
  <c r="H240" i="15"/>
  <c r="H237" i="15" s="1"/>
  <c r="F124" i="12" s="1"/>
  <c r="G879" i="14"/>
  <c r="G878" i="14" s="1"/>
  <c r="G875" i="14" s="1"/>
  <c r="H87" i="15"/>
  <c r="G81" i="14"/>
  <c r="G80" i="14" s="1"/>
  <c r="H1028" i="15"/>
  <c r="H1025" i="15" s="1"/>
  <c r="G469" i="14"/>
  <c r="G328" i="14"/>
  <c r="G327" i="14" s="1"/>
  <c r="G326" i="14" s="1"/>
  <c r="H529" i="15"/>
  <c r="H528" i="15" s="1"/>
  <c r="H858" i="15"/>
  <c r="H857" i="15" s="1"/>
  <c r="G268" i="14"/>
  <c r="G267" i="14" s="1"/>
  <c r="G266" i="14" s="1"/>
  <c r="G325" i="14"/>
  <c r="G324" i="14" s="1"/>
  <c r="G323" i="14" s="1"/>
  <c r="H884" i="15"/>
  <c r="H883" i="15" s="1"/>
  <c r="H733" i="15"/>
  <c r="G719" i="14"/>
  <c r="G718" i="14" s="1"/>
  <c r="G245" i="14"/>
  <c r="G244" i="14" s="1"/>
  <c r="G241" i="14" s="1"/>
  <c r="H186" i="15"/>
  <c r="H511" i="15"/>
  <c r="H510" i="15" s="1"/>
  <c r="G152" i="14"/>
  <c r="G151" i="14" s="1"/>
  <c r="G150" i="14" s="1"/>
  <c r="H184" i="16"/>
  <c r="H185" i="16" s="1"/>
  <c r="H620" i="15"/>
  <c r="H619" i="15" s="1"/>
  <c r="H196" i="16"/>
  <c r="H195" i="16" s="1"/>
  <c r="H194" i="16" s="1"/>
  <c r="H629" i="15"/>
  <c r="H628" i="15" s="1"/>
  <c r="G705" i="15"/>
  <c r="G704" i="15" s="1"/>
  <c r="F635" i="14"/>
  <c r="F634" i="14" s="1"/>
  <c r="F633" i="14" s="1"/>
  <c r="H163" i="16"/>
  <c r="H162" i="16" s="1"/>
  <c r="H161" i="16" s="1"/>
  <c r="H557" i="15"/>
  <c r="H556" i="15" s="1"/>
  <c r="H171" i="16"/>
  <c r="H170" i="16" s="1"/>
  <c r="H169" i="16" s="1"/>
  <c r="H563" i="15"/>
  <c r="H562" i="15" s="1"/>
  <c r="F669" i="14"/>
  <c r="F668" i="14" s="1"/>
  <c r="F667" i="14" s="1"/>
  <c r="G319" i="15"/>
  <c r="G318" i="15" s="1"/>
  <c r="F675" i="14"/>
  <c r="F674" i="14" s="1"/>
  <c r="F673" i="14" s="1"/>
  <c r="G325" i="15"/>
  <c r="G324" i="15" s="1"/>
  <c r="H75" i="15"/>
  <c r="H74" i="15" s="1"/>
  <c r="F140" i="12" s="1"/>
  <c r="G69" i="14"/>
  <c r="G68" i="14" s="1"/>
  <c r="G67" i="14" s="1"/>
  <c r="G253" i="15"/>
  <c r="G238" i="4"/>
  <c r="H725" i="16"/>
  <c r="G147" i="4"/>
  <c r="G84" i="15"/>
  <c r="E129" i="12" s="1"/>
  <c r="G74" i="15"/>
  <c r="E140" i="12" s="1"/>
  <c r="H497" i="15"/>
  <c r="F52" i="14"/>
  <c r="F51" i="14" s="1"/>
  <c r="G79" i="15"/>
  <c r="E122" i="12" s="1"/>
  <c r="F118" i="14"/>
  <c r="G593" i="4"/>
  <c r="I593" i="4" s="1"/>
  <c r="G456" i="4"/>
  <c r="I456" i="4" s="1"/>
  <c r="G322" i="4"/>
  <c r="I322" i="4" s="1"/>
  <c r="G594" i="4"/>
  <c r="I594" i="4" s="1"/>
  <c r="G513" i="5"/>
  <c r="F164" i="3"/>
  <c r="H164" i="3" s="1"/>
  <c r="F361" i="3"/>
  <c r="G304" i="5"/>
  <c r="F509" i="3"/>
  <c r="G85" i="14"/>
  <c r="G213" i="5"/>
  <c r="F151" i="3"/>
  <c r="H151" i="3" s="1"/>
  <c r="G709" i="4"/>
  <c r="I709" i="4" s="1"/>
  <c r="G533" i="4"/>
  <c r="F580" i="3"/>
  <c r="G722" i="5"/>
  <c r="H227" i="15"/>
  <c r="H226" i="15" s="1"/>
  <c r="H225" i="15" s="1"/>
  <c r="G653" i="16"/>
  <c r="G655" i="16"/>
  <c r="G164" i="16"/>
  <c r="G162" i="16"/>
  <c r="G161" i="16" s="1"/>
  <c r="G49" i="16"/>
  <c r="G47" i="16"/>
  <c r="G46" i="16" s="1"/>
  <c r="G45" i="16" s="1"/>
  <c r="G44" i="16" s="1"/>
  <c r="G43" i="16" s="1"/>
  <c r="G31" i="16" s="1"/>
  <c r="G333" i="15"/>
  <c r="G332" i="15"/>
  <c r="G605" i="15"/>
  <c r="G604" i="15"/>
  <c r="G269" i="15"/>
  <c r="G268" i="15"/>
  <c r="G437" i="16"/>
  <c r="G436" i="16" s="1"/>
  <c r="G431" i="16" s="1"/>
  <c r="G430" i="16" s="1"/>
  <c r="G429" i="16" s="1"/>
  <c r="G439" i="16"/>
  <c r="H1002" i="15"/>
  <c r="G859" i="16"/>
  <c r="H873" i="15"/>
  <c r="H28" i="16" s="1"/>
  <c r="H27" i="16" s="1"/>
  <c r="G28" i="16"/>
  <c r="G303" i="16"/>
  <c r="G867" i="16"/>
  <c r="G31" i="17"/>
  <c r="G30" i="17" s="1"/>
  <c r="G29" i="17" s="1"/>
  <c r="G28" i="17" s="1"/>
  <c r="G27" i="17" s="1"/>
  <c r="G45" i="17" s="1"/>
  <c r="H587" i="15"/>
  <c r="H706" i="15"/>
  <c r="G213" i="16"/>
  <c r="H792" i="15"/>
  <c r="F136" i="12" s="1"/>
  <c r="G445" i="16"/>
  <c r="H326" i="15"/>
  <c r="G557" i="16"/>
  <c r="G296" i="16"/>
  <c r="G716" i="15"/>
  <c r="G715" i="15"/>
  <c r="H541" i="15"/>
  <c r="H540" i="15" s="1"/>
  <c r="H539" i="15" s="1"/>
  <c r="H538" i="15" s="1"/>
  <c r="G541" i="15"/>
  <c r="G540" i="15" s="1"/>
  <c r="G539" i="15" s="1"/>
  <c r="G538" i="15" s="1"/>
  <c r="G454" i="15"/>
  <c r="H659" i="16"/>
  <c r="G454" i="16"/>
  <c r="G456" i="16"/>
  <c r="G204" i="16"/>
  <c r="G203" i="16" s="1"/>
  <c r="G206" i="16"/>
  <c r="G170" i="16"/>
  <c r="G169" i="16" s="1"/>
  <c r="G172" i="16"/>
  <c r="G195" i="16"/>
  <c r="G194" i="16" s="1"/>
  <c r="G197" i="16"/>
  <c r="G65" i="16"/>
  <c r="G64" i="16" s="1"/>
  <c r="G63" i="16" s="1"/>
  <c r="G62" i="16" s="1"/>
  <c r="G61" i="16" s="1"/>
  <c r="G60" i="16" s="1"/>
  <c r="G67" i="16"/>
  <c r="G839" i="16"/>
  <c r="G837" i="16"/>
  <c r="G836" i="16" s="1"/>
  <c r="G835" i="16" s="1"/>
  <c r="G834" i="16" s="1"/>
  <c r="G807" i="16" s="1"/>
  <c r="G795" i="16" s="1"/>
  <c r="G183" i="16"/>
  <c r="G182" i="16" s="1"/>
  <c r="G185" i="16"/>
  <c r="G866" i="15"/>
  <c r="G437" i="5"/>
  <c r="F734" i="3"/>
  <c r="H734" i="3" s="1"/>
  <c r="G672" i="16"/>
  <c r="H320" i="15"/>
  <c r="F134" i="12" s="1"/>
  <c r="G549" i="16"/>
  <c r="H323" i="15"/>
  <c r="F121" i="12" s="1"/>
  <c r="G553" i="16"/>
  <c r="G452" i="16"/>
  <c r="H67" i="16"/>
  <c r="H65" i="16"/>
  <c r="H64" i="16" s="1"/>
  <c r="H63" i="16" s="1"/>
  <c r="H62" i="16" s="1"/>
  <c r="H61" i="16" s="1"/>
  <c r="H60" i="16" s="1"/>
  <c r="H312" i="15"/>
  <c r="H514" i="16" s="1"/>
  <c r="H513" i="16" s="1"/>
  <c r="H509" i="16" s="1"/>
  <c r="H504" i="16" s="1"/>
  <c r="H503" i="16" s="1"/>
  <c r="H502" i="16" s="1"/>
  <c r="G514" i="16"/>
  <c r="H259" i="15"/>
  <c r="H931" i="15"/>
  <c r="H731" i="16" s="1"/>
  <c r="H730" i="16" s="1"/>
  <c r="H729" i="16" s="1"/>
  <c r="H728" i="16" s="1"/>
  <c r="H727" i="16" s="1"/>
  <c r="H726" i="16" s="1"/>
  <c r="H711" i="16" s="1"/>
  <c r="G731" i="16"/>
  <c r="H739" i="16"/>
  <c r="G725" i="16"/>
  <c r="G723" i="16"/>
  <c r="G722" i="16" s="1"/>
  <c r="G721" i="16" s="1"/>
  <c r="G720" i="16" s="1"/>
  <c r="G719" i="16" s="1"/>
  <c r="G737" i="16"/>
  <c r="G736" i="16" s="1"/>
  <c r="G735" i="16" s="1"/>
  <c r="G734" i="16" s="1"/>
  <c r="G733" i="16" s="1"/>
  <c r="G739" i="16"/>
  <c r="G661" i="16"/>
  <c r="G659" i="16"/>
  <c r="F858" i="14"/>
  <c r="G182" i="14"/>
  <c r="F182" i="14"/>
  <c r="H696" i="15"/>
  <c r="G156" i="16"/>
  <c r="D146" i="12"/>
  <c r="D145" i="12" s="1"/>
  <c r="C145" i="12"/>
  <c r="G698" i="16"/>
  <c r="G697" i="16" s="1"/>
  <c r="G696" i="16" s="1"/>
  <c r="F204" i="3"/>
  <c r="G554" i="5"/>
  <c r="I554" i="5" s="1"/>
  <c r="G756" i="5"/>
  <c r="I756" i="5" s="1"/>
  <c r="F271" i="3"/>
  <c r="H271" i="3" s="1"/>
  <c r="G662" i="5"/>
  <c r="F162" i="3"/>
  <c r="H162" i="3" s="1"/>
  <c r="G708" i="4"/>
  <c r="I708" i="4" s="1"/>
  <c r="G298" i="5"/>
  <c r="I298" i="5" s="1"/>
  <c r="G254" i="4"/>
  <c r="I254" i="4" s="1"/>
  <c r="G255" i="4"/>
  <c r="I255" i="4" s="1"/>
  <c r="G321" i="4"/>
  <c r="I321" i="4" s="1"/>
  <c r="G664" i="5"/>
  <c r="I664" i="5" s="1"/>
  <c r="G296" i="5"/>
  <c r="F116" i="3"/>
  <c r="H116" i="3" s="1"/>
  <c r="G550" i="5"/>
  <c r="I550" i="5" s="1"/>
  <c r="G548" i="5"/>
  <c r="G556" i="5"/>
  <c r="G71" i="5"/>
  <c r="I71" i="5" s="1"/>
  <c r="G55" i="5"/>
  <c r="I55" i="5" s="1"/>
  <c r="G969" i="4"/>
  <c r="I969" i="4" s="1"/>
  <c r="G558" i="4"/>
  <c r="G570" i="15"/>
  <c r="H570" i="15" s="1"/>
  <c r="G637" i="4"/>
  <c r="G649" i="15"/>
  <c r="H649" i="15" s="1"/>
  <c r="G168" i="4"/>
  <c r="I168" i="4" s="1"/>
  <c r="G541" i="4"/>
  <c r="H892" i="15"/>
  <c r="H893" i="15"/>
  <c r="G633" i="4"/>
  <c r="I633" i="4" s="1"/>
  <c r="G234" i="4"/>
  <c r="G914" i="4"/>
  <c r="I914" i="4" s="1"/>
  <c r="G926" i="15"/>
  <c r="H926" i="15" s="1"/>
  <c r="G429" i="4"/>
  <c r="I429" i="4" s="1"/>
  <c r="G874" i="4"/>
  <c r="I874" i="4" s="1"/>
  <c r="G866" i="4"/>
  <c r="G881" i="15"/>
  <c r="H881" i="15" s="1"/>
  <c r="G502" i="4"/>
  <c r="I502" i="4" s="1"/>
  <c r="G989" i="4"/>
  <c r="G601" i="4"/>
  <c r="G330" i="4"/>
  <c r="I330" i="4" s="1"/>
  <c r="G1047" i="4"/>
  <c r="G648" i="4"/>
  <c r="G684" i="4"/>
  <c r="G561" i="4"/>
  <c r="I561" i="4" s="1"/>
  <c r="G573" i="15"/>
  <c r="H573" i="15" s="1"/>
  <c r="G762" i="4"/>
  <c r="I762" i="4" s="1"/>
  <c r="G773" i="15"/>
  <c r="H773" i="15" s="1"/>
  <c r="G624" i="4"/>
  <c r="G636" i="15"/>
  <c r="H636" i="15" s="1"/>
  <c r="G697" i="4"/>
  <c r="I697" i="4" s="1"/>
  <c r="G545" i="4"/>
  <c r="G313" i="4"/>
  <c r="I313" i="4" s="1"/>
  <c r="G794" i="4"/>
  <c r="G929" i="4"/>
  <c r="I929" i="4" s="1"/>
  <c r="G941" i="15"/>
  <c r="G366" i="4"/>
  <c r="I366" i="4" s="1"/>
  <c r="G1033" i="4"/>
  <c r="I1033" i="4" s="1"/>
  <c r="G399" i="4"/>
  <c r="I399" i="4" s="1"/>
  <c r="G190" i="4"/>
  <c r="G933" i="4"/>
  <c r="I933" i="4" s="1"/>
  <c r="G945" i="15"/>
  <c r="G589" i="4"/>
  <c r="I589" i="4" s="1"/>
  <c r="G980" i="4"/>
  <c r="I980" i="4" s="1"/>
  <c r="G992" i="15"/>
  <c r="G925" i="4"/>
  <c r="I925" i="4" s="1"/>
  <c r="G937" i="15"/>
  <c r="G700" i="4"/>
  <c r="I700" i="4" s="1"/>
  <c r="G708" i="15"/>
  <c r="G139" i="4"/>
  <c r="I139" i="4" s="1"/>
  <c r="G61" i="4"/>
  <c r="G677" i="4"/>
  <c r="I677" i="4" s="1"/>
  <c r="G286" i="15"/>
  <c r="G285" i="15" s="1"/>
  <c r="G672" i="4"/>
  <c r="I672" i="4" s="1"/>
  <c r="G393" i="4"/>
  <c r="I393" i="4" s="1"/>
  <c r="G788" i="4"/>
  <c r="I788" i="4" s="1"/>
  <c r="G910" i="4"/>
  <c r="I910" i="4" s="1"/>
  <c r="G442" i="4"/>
  <c r="I442" i="4" s="1"/>
  <c r="G14" i="4"/>
  <c r="I14" i="4" s="1"/>
  <c r="G871" i="4"/>
  <c r="I871" i="4" s="1"/>
  <c r="G510" i="4"/>
  <c r="I510" i="4" s="1"/>
  <c r="G758" i="4"/>
  <c r="G447" i="4"/>
  <c r="I447" i="4" s="1"/>
  <c r="G571" i="4"/>
  <c r="I571" i="4" s="1"/>
  <c r="G705" i="4"/>
  <c r="I705" i="4" s="1"/>
  <c r="G963" i="4"/>
  <c r="I963" i="4" s="1"/>
  <c r="G1058" i="4"/>
  <c r="I1058" i="4" s="1"/>
  <c r="G517" i="4"/>
  <c r="I517" i="4" s="1"/>
  <c r="G617" i="4"/>
  <c r="I617" i="4" s="1"/>
  <c r="G307" i="4"/>
  <c r="I307" i="4" s="1"/>
  <c r="G520" i="4"/>
  <c r="I520" i="4" s="1"/>
  <c r="G779" i="4"/>
  <c r="I779" i="4" s="1"/>
  <c r="G627" i="4"/>
  <c r="G639" i="15"/>
  <c r="H639" i="15" s="1"/>
  <c r="G574" i="4"/>
  <c r="I574" i="4" s="1"/>
  <c r="G954" i="4"/>
  <c r="I954" i="4" s="1"/>
  <c r="G640" i="4"/>
  <c r="I640" i="4" s="1"/>
  <c r="G171" i="4"/>
  <c r="I171" i="4" s="1"/>
  <c r="G775" i="4"/>
  <c r="I775" i="4" s="1"/>
  <c r="G297" i="4"/>
  <c r="G311" i="15"/>
  <c r="H311" i="15" s="1"/>
  <c r="G845" i="4"/>
  <c r="I845" i="4" s="1"/>
  <c r="G922" i="4"/>
  <c r="I922" i="4" s="1"/>
  <c r="G934" i="15"/>
  <c r="H934" i="15" s="1"/>
  <c r="G1016" i="4"/>
  <c r="G551" i="4"/>
  <c r="I551" i="4" s="1"/>
  <c r="G608" i="4"/>
  <c r="I608" i="4" s="1"/>
  <c r="G732" i="4"/>
  <c r="I732" i="4" s="1"/>
  <c r="G310" i="4"/>
  <c r="I310" i="4" s="1"/>
  <c r="G152" i="5"/>
  <c r="I152" i="5" s="1"/>
  <c r="G377" i="4"/>
  <c r="I377" i="4" s="1"/>
  <c r="G143" i="4"/>
  <c r="G210" i="4"/>
  <c r="I210" i="4" s="1"/>
  <c r="G850" i="4"/>
  <c r="I850" i="4" s="1"/>
  <c r="F14" i="3"/>
  <c r="H14" i="3" s="1"/>
  <c r="G154" i="5"/>
  <c r="I154" i="5" s="1"/>
  <c r="G716" i="4"/>
  <c r="G611" i="5"/>
  <c r="I611" i="5" s="1"/>
  <c r="G837" i="4"/>
  <c r="I837" i="4" s="1"/>
  <c r="G66" i="5"/>
  <c r="I66" i="5" s="1"/>
  <c r="G850" i="5"/>
  <c r="I850" i="5" s="1"/>
  <c r="G259" i="5"/>
  <c r="I259" i="5" s="1"/>
  <c r="G607" i="5"/>
  <c r="I607" i="5" s="1"/>
  <c r="G639" i="5"/>
  <c r="I639" i="5" s="1"/>
  <c r="G734" i="5"/>
  <c r="I734" i="5" s="1"/>
  <c r="G804" i="5"/>
  <c r="I804" i="5" s="1"/>
  <c r="G794" i="5"/>
  <c r="I794" i="5" s="1"/>
  <c r="G808" i="5"/>
  <c r="I808" i="5" s="1"/>
  <c r="G814" i="5"/>
  <c r="I814" i="5" s="1"/>
  <c r="G827" i="5"/>
  <c r="I827" i="5" s="1"/>
  <c r="G272" i="5"/>
  <c r="I272" i="5" s="1"/>
  <c r="G402" i="5"/>
  <c r="G409" i="5"/>
  <c r="I409" i="5" s="1"/>
  <c r="G424" i="5"/>
  <c r="I424" i="5" s="1"/>
  <c r="G783" i="5"/>
  <c r="I783" i="5" s="1"/>
  <c r="G799" i="5"/>
  <c r="I799" i="5" s="1"/>
  <c r="G833" i="5"/>
  <c r="I833" i="5" s="1"/>
  <c r="G691" i="5"/>
  <c r="G763" i="5"/>
  <c r="I763" i="5" s="1"/>
  <c r="G775" i="5"/>
  <c r="I775" i="5" s="1"/>
  <c r="G864" i="5"/>
  <c r="I864" i="5" s="1"/>
  <c r="G747" i="5"/>
  <c r="I747" i="5" s="1"/>
  <c r="G359" i="5"/>
  <c r="I359" i="5" s="1"/>
  <c r="G857" i="5"/>
  <c r="I857" i="5" s="1"/>
  <c r="G141" i="5"/>
  <c r="G288" i="5"/>
  <c r="G241" i="5"/>
  <c r="I241" i="5" s="1"/>
  <c r="G394" i="5"/>
  <c r="G413" i="5"/>
  <c r="I413" i="5" s="1"/>
  <c r="G417" i="5"/>
  <c r="I417" i="5" s="1"/>
  <c r="G227" i="5"/>
  <c r="I227" i="5" s="1"/>
  <c r="G657" i="5"/>
  <c r="I657" i="5" s="1"/>
  <c r="G672" i="5"/>
  <c r="I672" i="5" s="1"/>
  <c r="G767" i="5"/>
  <c r="I767" i="5" s="1"/>
  <c r="G771" i="5"/>
  <c r="I771" i="5" s="1"/>
  <c r="G740" i="5"/>
  <c r="I740" i="5" s="1"/>
  <c r="G160" i="4"/>
  <c r="I160" i="4" s="1"/>
  <c r="G169" i="15"/>
  <c r="F227" i="3"/>
  <c r="H227" i="3" s="1"/>
  <c r="F495" i="3"/>
  <c r="H495" i="3" s="1"/>
  <c r="F901" i="3"/>
  <c r="F74" i="3"/>
  <c r="H74" i="3" s="1"/>
  <c r="F493" i="3"/>
  <c r="H493" i="3" s="1"/>
  <c r="F875" i="3"/>
  <c r="H875" i="3" s="1"/>
  <c r="F412" i="3"/>
  <c r="H412" i="3" s="1"/>
  <c r="F637" i="3"/>
  <c r="H637" i="3" s="1"/>
  <c r="F629" i="3"/>
  <c r="H629" i="3" s="1"/>
  <c r="F572" i="3"/>
  <c r="H572" i="3" s="1"/>
  <c r="F672" i="3"/>
  <c r="H672" i="3" s="1"/>
  <c r="F945" i="3"/>
  <c r="H945" i="3" s="1"/>
  <c r="F193" i="3"/>
  <c r="H193" i="3" s="1"/>
  <c r="F603" i="3"/>
  <c r="H603" i="3" s="1"/>
  <c r="F408" i="3"/>
  <c r="H408" i="3" s="1"/>
  <c r="F798" i="3"/>
  <c r="H798" i="3" s="1"/>
  <c r="F816" i="3"/>
  <c r="H816" i="3" s="1"/>
  <c r="F532" i="3"/>
  <c r="F754" i="3"/>
  <c r="H754" i="3" s="1"/>
  <c r="F754" i="14"/>
  <c r="F397" i="3"/>
  <c r="H397" i="3" s="1"/>
  <c r="F53" i="3"/>
  <c r="H53" i="3" s="1"/>
  <c r="F615" i="3"/>
  <c r="F488" i="3"/>
  <c r="H488" i="3" s="1"/>
  <c r="F890" i="3"/>
  <c r="H890" i="3" s="1"/>
  <c r="F894" i="14"/>
  <c r="F405" i="3"/>
  <c r="H405" i="3" s="1"/>
  <c r="F81" i="3"/>
  <c r="H81" i="3" s="1"/>
  <c r="F76" i="3"/>
  <c r="H76" i="3" s="1"/>
  <c r="F79" i="3"/>
  <c r="H79" i="3" s="1"/>
  <c r="F69" i="3"/>
  <c r="H69" i="3" s="1"/>
  <c r="F314" i="3"/>
  <c r="H314" i="3" s="1"/>
  <c r="F231" i="3"/>
  <c r="H231" i="3" s="1"/>
  <c r="F623" i="3"/>
  <c r="H623" i="3" s="1"/>
  <c r="F666" i="3"/>
  <c r="H666" i="3" s="1"/>
  <c r="F812" i="3"/>
  <c r="H812" i="3" s="1"/>
  <c r="F416" i="3"/>
  <c r="H416" i="3" s="1"/>
  <c r="F108" i="3"/>
  <c r="H108" i="3" s="1"/>
  <c r="F71" i="3"/>
  <c r="H71" i="3" s="1"/>
  <c r="F317" i="3"/>
  <c r="H317" i="3" s="1"/>
  <c r="F311" i="3"/>
  <c r="H311" i="3" s="1"/>
  <c r="F322" i="14"/>
  <c r="G322" i="14" s="1"/>
  <c r="F155" i="3"/>
  <c r="H155" i="3" s="1"/>
  <c r="F49" i="3"/>
  <c r="H49" i="3" s="1"/>
  <c r="F36" i="3"/>
  <c r="H36" i="3" s="1"/>
  <c r="F551" i="3"/>
  <c r="H551" i="3" s="1"/>
  <c r="F432" i="3"/>
  <c r="H432" i="3" s="1"/>
  <c r="F56" i="3"/>
  <c r="H56" i="3" s="1"/>
  <c r="F257" i="3"/>
  <c r="H257" i="3" s="1"/>
  <c r="F400" i="3"/>
  <c r="H400" i="3" s="1"/>
  <c r="F730" i="3"/>
  <c r="H730" i="3" s="1"/>
  <c r="F452" i="3"/>
  <c r="F565" i="3"/>
  <c r="H565" i="3" s="1"/>
  <c r="F442" i="3"/>
  <c r="H442" i="3" s="1"/>
  <c r="F559" i="3"/>
  <c r="H559" i="3" s="1"/>
  <c r="F556" i="3"/>
  <c r="H556" i="3" s="1"/>
  <c r="F710" i="3"/>
  <c r="H710" i="3" s="1"/>
  <c r="F658" i="3"/>
  <c r="H658" i="3" s="1"/>
  <c r="F661" i="14"/>
  <c r="G661" i="14" s="1"/>
  <c r="F842" i="3"/>
  <c r="H842" i="3" s="1"/>
  <c r="F964" i="3"/>
  <c r="H964" i="3" s="1"/>
  <c r="F923" i="3"/>
  <c r="H923" i="3" s="1"/>
  <c r="F935" i="3"/>
  <c r="H935" i="3" s="1"/>
  <c r="F211" i="3"/>
  <c r="H211" i="3" s="1"/>
  <c r="F859" i="3"/>
  <c r="H859" i="3" s="1"/>
  <c r="F207" i="3"/>
  <c r="H207" i="3" s="1"/>
  <c r="F47" i="3"/>
  <c r="H47" i="3" s="1"/>
  <c r="F886" i="3"/>
  <c r="F328" i="3"/>
  <c r="H328" i="3" s="1"/>
  <c r="F279" i="3"/>
  <c r="H279" i="3" s="1"/>
  <c r="F322" i="3"/>
  <c r="H322" i="3" s="1"/>
  <c r="G335" i="14"/>
  <c r="F461" i="3"/>
  <c r="H461" i="3" s="1"/>
  <c r="F716" i="3"/>
  <c r="H716" i="3" s="1"/>
  <c r="F718" i="3"/>
  <c r="H718" i="3" s="1"/>
  <c r="F726" i="3"/>
  <c r="H726" i="3" s="1"/>
  <c r="F506" i="3"/>
  <c r="H506" i="3" s="1"/>
  <c r="F732" i="3"/>
  <c r="H732" i="3" s="1"/>
  <c r="F669" i="3"/>
  <c r="H669" i="3" s="1"/>
  <c r="F823" i="3"/>
  <c r="H823" i="3" s="1"/>
  <c r="F873" i="3"/>
  <c r="H873" i="3" s="1"/>
  <c r="F917" i="3"/>
  <c r="H917" i="3" s="1"/>
  <c r="F931" i="3"/>
  <c r="H931" i="3" s="1"/>
  <c r="F956" i="3"/>
  <c r="H956" i="3" s="1"/>
  <c r="F524" i="3"/>
  <c r="H524" i="3" s="1"/>
  <c r="F608" i="3"/>
  <c r="H608" i="3" s="1"/>
  <c r="F520" i="3"/>
  <c r="H520" i="3" s="1"/>
  <c r="F333" i="3"/>
  <c r="H333" i="3" s="1"/>
  <c r="F356" i="14"/>
  <c r="F197" i="3"/>
  <c r="H197" i="3" s="1"/>
  <c r="E18" i="1"/>
  <c r="C160" i="1"/>
  <c r="E160" i="1" s="1"/>
  <c r="C45" i="1"/>
  <c r="E45" i="1" s="1"/>
  <c r="F365" i="3"/>
  <c r="H365" i="3" s="1"/>
  <c r="G729" i="5"/>
  <c r="I729" i="5" s="1"/>
  <c r="F357" i="3"/>
  <c r="H357" i="3" s="1"/>
  <c r="G715" i="5"/>
  <c r="I715" i="5" s="1"/>
  <c r="F353" i="3"/>
  <c r="H353" i="3" s="1"/>
  <c r="G708" i="5"/>
  <c r="I708" i="5" s="1"/>
  <c r="G671" i="5"/>
  <c r="I671" i="5" s="1"/>
  <c r="G669" i="5"/>
  <c r="I669" i="5" s="1"/>
  <c r="F402" i="3"/>
  <c r="G651" i="5"/>
  <c r="I651" i="5" s="1"/>
  <c r="G821" i="5"/>
  <c r="I821" i="5" s="1"/>
  <c r="G823" i="5"/>
  <c r="I823" i="5" s="1"/>
  <c r="G644" i="5"/>
  <c r="I644" i="5" s="1"/>
  <c r="G646" i="5"/>
  <c r="I646" i="5" s="1"/>
  <c r="G477" i="5"/>
  <c r="I477" i="5" s="1"/>
  <c r="G479" i="5"/>
  <c r="I479" i="5" s="1"/>
  <c r="G480" i="5"/>
  <c r="I480" i="5" s="1"/>
  <c r="G482" i="5"/>
  <c r="I482" i="5" s="1"/>
  <c r="G483" i="5"/>
  <c r="I483" i="5" s="1"/>
  <c r="G485" i="5"/>
  <c r="I485" i="5" s="1"/>
  <c r="G446" i="5"/>
  <c r="I446" i="5" s="1"/>
  <c r="G448" i="5"/>
  <c r="I448" i="5" s="1"/>
  <c r="G443" i="5"/>
  <c r="I443" i="5" s="1"/>
  <c r="G445" i="5"/>
  <c r="I445" i="5" s="1"/>
  <c r="G429" i="5"/>
  <c r="I429" i="5" s="1"/>
  <c r="G431" i="5"/>
  <c r="I431" i="5" s="1"/>
  <c r="G253" i="5"/>
  <c r="I253" i="5" s="1"/>
  <c r="G255" i="5"/>
  <c r="I255" i="5" s="1"/>
  <c r="G282" i="5"/>
  <c r="I282" i="5" s="1"/>
  <c r="G284" i="5"/>
  <c r="I284" i="5" s="1"/>
  <c r="G277" i="5"/>
  <c r="I277" i="5" s="1"/>
  <c r="G279" i="5"/>
  <c r="I279" i="5" s="1"/>
  <c r="G246" i="5"/>
  <c r="I246" i="5" s="1"/>
  <c r="G248" i="5"/>
  <c r="I248" i="5" s="1"/>
  <c r="G234" i="5"/>
  <c r="I234" i="5" s="1"/>
  <c r="G236" i="5"/>
  <c r="I236" i="5" s="1"/>
  <c r="G238" i="5"/>
  <c r="I238" i="5" s="1"/>
  <c r="G240" i="5"/>
  <c r="I240" i="5" s="1"/>
  <c r="G264" i="5"/>
  <c r="I264" i="5" s="1"/>
  <c r="G266" i="5"/>
  <c r="I266" i="5" s="1"/>
  <c r="G268" i="5"/>
  <c r="I268" i="5" s="1"/>
  <c r="G270" i="5"/>
  <c r="I270" i="5" s="1"/>
  <c r="G220" i="5"/>
  <c r="I220" i="5" s="1"/>
  <c r="G222" i="5"/>
  <c r="I222" i="5" s="1"/>
  <c r="G224" i="5"/>
  <c r="I224" i="5" s="1"/>
  <c r="G226" i="5"/>
  <c r="I226" i="5" s="1"/>
  <c r="G25" i="5"/>
  <c r="I25" i="5" s="1"/>
  <c r="G27" i="5"/>
  <c r="I27" i="5" s="1"/>
  <c r="G28" i="5"/>
  <c r="I28" i="5" s="1"/>
  <c r="G30" i="5"/>
  <c r="I30" i="5" s="1"/>
  <c r="G691" i="4"/>
  <c r="I691" i="4" s="1"/>
  <c r="G206" i="5"/>
  <c r="I206" i="5" s="1"/>
  <c r="F540" i="3"/>
  <c r="H540" i="3" s="1"/>
  <c r="G185" i="5"/>
  <c r="I185" i="5" s="1"/>
  <c r="F480" i="3"/>
  <c r="H480" i="3" s="1"/>
  <c r="G164" i="5"/>
  <c r="I164" i="5" s="1"/>
  <c r="F486" i="3"/>
  <c r="H486" i="3" s="1"/>
  <c r="G172" i="5"/>
  <c r="I172" i="5" s="1"/>
  <c r="F549" i="3"/>
  <c r="H549" i="3" s="1"/>
  <c r="G197" i="5"/>
  <c r="I197" i="5" s="1"/>
  <c r="F699" i="3"/>
  <c r="H699" i="3" s="1"/>
  <c r="F899" i="3"/>
  <c r="H899" i="3" s="1"/>
  <c r="F933" i="3"/>
  <c r="H933" i="3" s="1"/>
  <c r="F937" i="3"/>
  <c r="H937" i="3" s="1"/>
  <c r="F234" i="3"/>
  <c r="H234" i="3" s="1"/>
  <c r="G197" i="4"/>
  <c r="G84" i="4"/>
  <c r="I84" i="4" s="1"/>
  <c r="G74" i="4"/>
  <c r="I74" i="4" s="1"/>
  <c r="G891" i="4"/>
  <c r="I891" i="4" s="1"/>
  <c r="G79" i="4"/>
  <c r="I79" i="4" s="1"/>
  <c r="I985" i="10"/>
  <c r="F173" i="3"/>
  <c r="H173" i="3" s="1"/>
  <c r="F954" i="3"/>
  <c r="H954" i="3" s="1"/>
  <c r="G918" i="4"/>
  <c r="I918" i="4" s="1"/>
  <c r="G130" i="4"/>
  <c r="I130" i="4" s="1"/>
  <c r="G957" i="4"/>
  <c r="I957" i="4" s="1"/>
  <c r="G814" i="4"/>
  <c r="I814" i="4" s="1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622" i="5" l="1"/>
  <c r="I622" i="5" s="1"/>
  <c r="G1003" i="10"/>
  <c r="G1091" i="4"/>
  <c r="I989" i="4"/>
  <c r="K1073" i="4"/>
  <c r="T1075" i="4"/>
  <c r="I234" i="4"/>
  <c r="Z1084" i="4"/>
  <c r="AB1082" i="4"/>
  <c r="AB1083" i="4" s="1"/>
  <c r="C10" i="1"/>
  <c r="G41" i="6"/>
  <c r="I41" i="6" s="1"/>
  <c r="I42" i="6"/>
  <c r="G17" i="6"/>
  <c r="I17" i="6" s="1"/>
  <c r="I18" i="6"/>
  <c r="G841" i="5"/>
  <c r="I841" i="5" s="1"/>
  <c r="G1121" i="4"/>
  <c r="G36" i="6"/>
  <c r="I37" i="6"/>
  <c r="G32" i="6"/>
  <c r="I33" i="6"/>
  <c r="H902" i="15"/>
  <c r="G371" i="5"/>
  <c r="G365" i="5" s="1"/>
  <c r="I365" i="5" s="1"/>
  <c r="H783" i="15"/>
  <c r="G1015" i="4"/>
  <c r="I1015" i="4" s="1"/>
  <c r="I1016" i="4"/>
  <c r="G638" i="15"/>
  <c r="H638" i="15" s="1"/>
  <c r="I627" i="4"/>
  <c r="G635" i="15"/>
  <c r="H635" i="15" s="1"/>
  <c r="I624" i="4"/>
  <c r="G569" i="15"/>
  <c r="H569" i="15" s="1"/>
  <c r="I558" i="4"/>
  <c r="G801" i="4"/>
  <c r="I802" i="4"/>
  <c r="G1108" i="4"/>
  <c r="I215" i="4"/>
  <c r="G196" i="4"/>
  <c r="I196" i="4" s="1"/>
  <c r="I197" i="4"/>
  <c r="G146" i="15"/>
  <c r="I143" i="4"/>
  <c r="G293" i="4"/>
  <c r="I293" i="4" s="1"/>
  <c r="I297" i="4"/>
  <c r="F503" i="14"/>
  <c r="F502" i="14" s="1"/>
  <c r="I545" i="4"/>
  <c r="G683" i="4"/>
  <c r="I683" i="4" s="1"/>
  <c r="I684" i="4"/>
  <c r="G600" i="4"/>
  <c r="I600" i="4" s="1"/>
  <c r="I601" i="4"/>
  <c r="G878" i="15"/>
  <c r="G877" i="15" s="1"/>
  <c r="G876" i="15" s="1"/>
  <c r="G875" i="15" s="1"/>
  <c r="I866" i="4"/>
  <c r="G902" i="15"/>
  <c r="G532" i="4"/>
  <c r="I532" i="4" s="1"/>
  <c r="I533" i="4"/>
  <c r="G1120" i="4"/>
  <c r="I147" i="4"/>
  <c r="G994" i="4"/>
  <c r="I994" i="4" s="1"/>
  <c r="G757" i="4"/>
  <c r="I757" i="4" s="1"/>
  <c r="I758" i="4"/>
  <c r="G793" i="4"/>
  <c r="I793" i="4" s="1"/>
  <c r="I794" i="4"/>
  <c r="G1041" i="4"/>
  <c r="I1041" i="4" s="1"/>
  <c r="I1047" i="4"/>
  <c r="G237" i="4"/>
  <c r="I237" i="4" s="1"/>
  <c r="I238" i="4"/>
  <c r="G715" i="4"/>
  <c r="I715" i="4" s="1"/>
  <c r="I716" i="4"/>
  <c r="G404" i="4"/>
  <c r="I404" i="4" s="1"/>
  <c r="I405" i="4"/>
  <c r="G551" i="5"/>
  <c r="I551" i="5" s="1"/>
  <c r="H64" i="15"/>
  <c r="I61" i="4"/>
  <c r="G647" i="4"/>
  <c r="I647" i="4" s="1"/>
  <c r="I648" i="4"/>
  <c r="G540" i="4"/>
  <c r="I540" i="4" s="1"/>
  <c r="I541" i="4"/>
  <c r="G648" i="15"/>
  <c r="H648" i="15" s="1"/>
  <c r="H647" i="15" s="1"/>
  <c r="I637" i="4"/>
  <c r="G823" i="4"/>
  <c r="I823" i="4" s="1"/>
  <c r="I827" i="4"/>
  <c r="G735" i="4"/>
  <c r="I735" i="4" s="1"/>
  <c r="I736" i="4"/>
  <c r="G721" i="4"/>
  <c r="I721" i="4" s="1"/>
  <c r="I722" i="4"/>
  <c r="G349" i="4"/>
  <c r="I349" i="4" s="1"/>
  <c r="I350" i="4"/>
  <c r="G282" i="4"/>
  <c r="I282" i="4" s="1"/>
  <c r="I283" i="4"/>
  <c r="G140" i="5"/>
  <c r="I141" i="5"/>
  <c r="G723" i="5"/>
  <c r="I723" i="5" s="1"/>
  <c r="I722" i="5"/>
  <c r="G303" i="5"/>
  <c r="I303" i="5" s="1"/>
  <c r="I304" i="5"/>
  <c r="G393" i="5"/>
  <c r="I393" i="5" s="1"/>
  <c r="I394" i="5"/>
  <c r="G555" i="5"/>
  <c r="I555" i="5" s="1"/>
  <c r="I556" i="5"/>
  <c r="G295" i="5"/>
  <c r="I296" i="5"/>
  <c r="G661" i="5"/>
  <c r="I661" i="5" s="1"/>
  <c r="I662" i="5"/>
  <c r="G212" i="5"/>
  <c r="I212" i="5" s="1"/>
  <c r="I213" i="5"/>
  <c r="G401" i="5"/>
  <c r="I401" i="5" s="1"/>
  <c r="I402" i="5"/>
  <c r="G547" i="5"/>
  <c r="I548" i="5"/>
  <c r="G287" i="5"/>
  <c r="I287" i="5" s="1"/>
  <c r="I288" i="5"/>
  <c r="G690" i="5"/>
  <c r="I690" i="5" s="1"/>
  <c r="I691" i="5"/>
  <c r="G436" i="5"/>
  <c r="I436" i="5" s="1"/>
  <c r="I437" i="5"/>
  <c r="G509" i="5"/>
  <c r="I513" i="5"/>
  <c r="G126" i="5"/>
  <c r="I127" i="5"/>
  <c r="F203" i="3"/>
  <c r="H203" i="3" s="1"/>
  <c r="H204" i="3"/>
  <c r="F579" i="3"/>
  <c r="H580" i="3"/>
  <c r="F370" i="14"/>
  <c r="G370" i="14" s="1"/>
  <c r="H361" i="3"/>
  <c r="F885" i="3"/>
  <c r="H885" i="3" s="1"/>
  <c r="H886" i="3"/>
  <c r="F449" i="3"/>
  <c r="H449" i="3" s="1"/>
  <c r="H452" i="3"/>
  <c r="L739" i="3"/>
  <c r="H763" i="3"/>
  <c r="F614" i="3"/>
  <c r="H614" i="3" s="1"/>
  <c r="H615" i="3"/>
  <c r="F904" i="14"/>
  <c r="H901" i="3"/>
  <c r="F508" i="3"/>
  <c r="H508" i="3" s="1"/>
  <c r="H509" i="3"/>
  <c r="F175" i="3"/>
  <c r="H175" i="3" s="1"/>
  <c r="H176" i="3"/>
  <c r="F411" i="14"/>
  <c r="H402" i="3"/>
  <c r="F531" i="3"/>
  <c r="H531" i="3" s="1"/>
  <c r="H532" i="3"/>
  <c r="F575" i="3"/>
  <c r="H576" i="3"/>
  <c r="G755" i="5"/>
  <c r="I755" i="5" s="1"/>
  <c r="H100" i="16"/>
  <c r="H99" i="16" s="1"/>
  <c r="H98" i="16" s="1"/>
  <c r="H97" i="16" s="1"/>
  <c r="H278" i="15"/>
  <c r="H277" i="15" s="1"/>
  <c r="G277" i="15"/>
  <c r="G276" i="15" s="1"/>
  <c r="G275" i="15" s="1"/>
  <c r="G233" i="4"/>
  <c r="I233" i="4" s="1"/>
  <c r="G1085" i="4"/>
  <c r="G1009" i="10"/>
  <c r="G594" i="14"/>
  <c r="G593" i="14" s="1"/>
  <c r="G592" i="14" s="1"/>
  <c r="G591" i="14" s="1"/>
  <c r="G953" i="4"/>
  <c r="H48" i="14"/>
  <c r="G72" i="14"/>
  <c r="F120" i="12"/>
  <c r="G604" i="4"/>
  <c r="I604" i="4" s="1"/>
  <c r="G31" i="14"/>
  <c r="I32" i="14"/>
  <c r="G544" i="4"/>
  <c r="I544" i="4" s="1"/>
  <c r="G177" i="16"/>
  <c r="H219" i="16"/>
  <c r="H218" i="16" s="1"/>
  <c r="H217" i="16" s="1"/>
  <c r="H216" i="16" s="1"/>
  <c r="F666" i="14"/>
  <c r="G306" i="4"/>
  <c r="I306" i="4" s="1"/>
  <c r="H615" i="15"/>
  <c r="H1069" i="15"/>
  <c r="H1068" i="15" s="1"/>
  <c r="H1067" i="15" s="1"/>
  <c r="H249" i="16"/>
  <c r="H248" i="16" s="1"/>
  <c r="H20" i="16"/>
  <c r="H19" i="16" s="1"/>
  <c r="H18" i="16" s="1"/>
  <c r="H17" i="16" s="1"/>
  <c r="H9" i="16" s="1"/>
  <c r="H276" i="16"/>
  <c r="H275" i="16" s="1"/>
  <c r="H270" i="16" s="1"/>
  <c r="H278" i="16"/>
  <c r="H265" i="16"/>
  <c r="H263" i="16"/>
  <c r="H262" i="16" s="1"/>
  <c r="G517" i="14"/>
  <c r="G516" i="14" s="1"/>
  <c r="G515" i="14" s="1"/>
  <c r="G508" i="14" s="1"/>
  <c r="G480" i="14" s="1"/>
  <c r="G479" i="14" s="1"/>
  <c r="H268" i="16"/>
  <c r="H267" i="16" s="1"/>
  <c r="H266" i="16" s="1"/>
  <c r="H269" i="16"/>
  <c r="H247" i="16"/>
  <c r="H245" i="16"/>
  <c r="H244" i="16" s="1"/>
  <c r="H231" i="16" s="1"/>
  <c r="H230" i="16" s="1"/>
  <c r="G131" i="16"/>
  <c r="G130" i="16" s="1"/>
  <c r="G129" i="16" s="1"/>
  <c r="G128" i="16" s="1"/>
  <c r="G127" i="16" s="1"/>
  <c r="G109" i="16" s="1"/>
  <c r="G133" i="16"/>
  <c r="G231" i="16"/>
  <c r="G230" i="16" s="1"/>
  <c r="G215" i="16" s="1"/>
  <c r="G567" i="14"/>
  <c r="H656" i="15"/>
  <c r="H655" i="15" s="1"/>
  <c r="H654" i="15" s="1"/>
  <c r="G589" i="14"/>
  <c r="G588" i="14" s="1"/>
  <c r="G587" i="14" s="1"/>
  <c r="G572" i="15"/>
  <c r="H572" i="15" s="1"/>
  <c r="F510" i="14"/>
  <c r="F509" i="14" s="1"/>
  <c r="G84" i="16"/>
  <c r="G83" i="16" s="1"/>
  <c r="G70" i="16"/>
  <c r="G69" i="16" s="1"/>
  <c r="G21" i="5"/>
  <c r="I21" i="5" s="1"/>
  <c r="H84" i="15"/>
  <c r="F129" i="12" s="1"/>
  <c r="G673" i="10"/>
  <c r="F281" i="14"/>
  <c r="G281" i="14" s="1"/>
  <c r="F266" i="3"/>
  <c r="G985" i="10"/>
  <c r="G748" i="10"/>
  <c r="G839" i="15"/>
  <c r="G27" i="10"/>
  <c r="G981" i="10"/>
  <c r="G987" i="10"/>
  <c r="G220" i="10"/>
  <c r="G498" i="10"/>
  <c r="G986" i="10"/>
  <c r="H164" i="16"/>
  <c r="H456" i="16"/>
  <c r="H204" i="16"/>
  <c r="H203" i="16" s="1"/>
  <c r="H197" i="16"/>
  <c r="H727" i="15"/>
  <c r="H726" i="15" s="1"/>
  <c r="G290" i="14"/>
  <c r="G289" i="14" s="1"/>
  <c r="G286" i="14" s="1"/>
  <c r="H211" i="15"/>
  <c r="H208" i="15" s="1"/>
  <c r="H437" i="16"/>
  <c r="H436" i="16" s="1"/>
  <c r="H431" i="16" s="1"/>
  <c r="H430" i="16" s="1"/>
  <c r="H429" i="16" s="1"/>
  <c r="G67" i="4"/>
  <c r="I67" i="4" s="1"/>
  <c r="G567" i="4"/>
  <c r="I567" i="4" s="1"/>
  <c r="G252" i="15"/>
  <c r="G251" i="15" s="1"/>
  <c r="G1144" i="15" s="1"/>
  <c r="H653" i="16"/>
  <c r="H652" i="16" s="1"/>
  <c r="H732" i="15"/>
  <c r="H252" i="15"/>
  <c r="H251" i="15" s="1"/>
  <c r="H1144" i="15" s="1"/>
  <c r="H751" i="15"/>
  <c r="H746" i="15" s="1"/>
  <c r="F160" i="14"/>
  <c r="H160" i="14" s="1"/>
  <c r="G138" i="4"/>
  <c r="I138" i="4" s="1"/>
  <c r="G717" i="14"/>
  <c r="G690" i="4"/>
  <c r="I690" i="4" s="1"/>
  <c r="H183" i="15"/>
  <c r="H182" i="15" s="1"/>
  <c r="G77" i="14"/>
  <c r="H183" i="16"/>
  <c r="H182" i="16" s="1"/>
  <c r="H177" i="16" s="1"/>
  <c r="H79" i="15"/>
  <c r="F122" i="12" s="1"/>
  <c r="G51" i="4"/>
  <c r="I51" i="4" s="1"/>
  <c r="H553" i="16"/>
  <c r="H554" i="16" s="1"/>
  <c r="G672" i="14"/>
  <c r="G671" i="14" s="1"/>
  <c r="G670" i="14" s="1"/>
  <c r="H322" i="15"/>
  <c r="H321" i="15" s="1"/>
  <c r="H672" i="16"/>
  <c r="H673" i="16" s="1"/>
  <c r="G422" i="14"/>
  <c r="G421" i="14" s="1"/>
  <c r="G420" i="14" s="1"/>
  <c r="G404" i="14" s="1"/>
  <c r="G399" i="14" s="1"/>
  <c r="H981" i="15"/>
  <c r="H980" i="15" s="1"/>
  <c r="H964" i="15" s="1"/>
  <c r="G56" i="14"/>
  <c r="G55" i="14" s="1"/>
  <c r="H62" i="15"/>
  <c r="H55" i="15" s="1"/>
  <c r="H296" i="16"/>
  <c r="H295" i="16" s="1"/>
  <c r="H294" i="16" s="1"/>
  <c r="H293" i="16" s="1"/>
  <c r="G468" i="14"/>
  <c r="G465" i="14"/>
  <c r="G164" i="14"/>
  <c r="G163" i="14" s="1"/>
  <c r="H136" i="15"/>
  <c r="F142" i="14"/>
  <c r="H139" i="14" s="1"/>
  <c r="G59" i="14"/>
  <c r="G58" i="14" s="1"/>
  <c r="G57" i="14" s="1"/>
  <c r="H65" i="15"/>
  <c r="G148" i="14"/>
  <c r="G147" i="14" s="1"/>
  <c r="H844" i="15"/>
  <c r="G162" i="14"/>
  <c r="G161" i="14" s="1"/>
  <c r="H134" i="15"/>
  <c r="H156" i="16"/>
  <c r="H157" i="16" s="1"/>
  <c r="G625" i="14"/>
  <c r="G624" i="14" s="1"/>
  <c r="G623" i="14" s="1"/>
  <c r="H695" i="15"/>
  <c r="H694" i="15" s="1"/>
  <c r="H839" i="16"/>
  <c r="H172" i="16"/>
  <c r="H452" i="16"/>
  <c r="H453" i="16" s="1"/>
  <c r="G948" i="14"/>
  <c r="G947" i="14" s="1"/>
  <c r="G946" i="14" s="1"/>
  <c r="H827" i="15"/>
  <c r="H826" i="15" s="1"/>
  <c r="H47" i="16"/>
  <c r="H46" i="16" s="1"/>
  <c r="H45" i="16" s="1"/>
  <c r="H44" i="16" s="1"/>
  <c r="H43" i="16" s="1"/>
  <c r="H31" i="16" s="1"/>
  <c r="H303" i="16"/>
  <c r="H302" i="16" s="1"/>
  <c r="H301" i="16" s="1"/>
  <c r="H300" i="16" s="1"/>
  <c r="H660" i="15"/>
  <c r="H659" i="15" s="1"/>
  <c r="H658" i="15" s="1"/>
  <c r="H859" i="16"/>
  <c r="H858" i="16" s="1"/>
  <c r="H857" i="16" s="1"/>
  <c r="H856" i="16" s="1"/>
  <c r="H855" i="16" s="1"/>
  <c r="H854" i="16" s="1"/>
  <c r="H853" i="16" s="1"/>
  <c r="H1001" i="15"/>
  <c r="H1000" i="15" s="1"/>
  <c r="H999" i="15" s="1"/>
  <c r="H998" i="15" s="1"/>
  <c r="G442" i="14"/>
  <c r="G441" i="14" s="1"/>
  <c r="G440" i="14" s="1"/>
  <c r="G52" i="14"/>
  <c r="G51" i="14" s="1"/>
  <c r="H496" i="15"/>
  <c r="H493" i="15" s="1"/>
  <c r="H492" i="15" s="1"/>
  <c r="G938" i="14"/>
  <c r="G937" i="14" s="1"/>
  <c r="G934" i="14" s="1"/>
  <c r="H817" i="15"/>
  <c r="H814" i="15" s="1"/>
  <c r="G146" i="14"/>
  <c r="G145" i="14" s="1"/>
  <c r="H842" i="15"/>
  <c r="H867" i="16"/>
  <c r="H868" i="16" s="1"/>
  <c r="G212" i="14"/>
  <c r="G211" i="14" s="1"/>
  <c r="G210" i="14" s="1"/>
  <c r="H519" i="15"/>
  <c r="H518" i="15" s="1"/>
  <c r="H445" i="16"/>
  <c r="H446" i="16" s="1"/>
  <c r="G912" i="14"/>
  <c r="G911" i="14" s="1"/>
  <c r="G910" i="14" s="1"/>
  <c r="H791" i="15"/>
  <c r="H790" i="15" s="1"/>
  <c r="H586" i="15"/>
  <c r="H585" i="15" s="1"/>
  <c r="H578" i="15" s="1"/>
  <c r="H438" i="15"/>
  <c r="H437" i="15" s="1"/>
  <c r="H1052" i="15"/>
  <c r="H1051" i="15" s="1"/>
  <c r="G14" i="14"/>
  <c r="G13" i="14" s="1"/>
  <c r="G133" i="15"/>
  <c r="H213" i="16"/>
  <c r="H212" i="16" s="1"/>
  <c r="H211" i="16" s="1"/>
  <c r="H705" i="15"/>
  <c r="H704" i="15" s="1"/>
  <c r="H697" i="15" s="1"/>
  <c r="G635" i="14"/>
  <c r="G634" i="14" s="1"/>
  <c r="G633" i="14" s="1"/>
  <c r="H549" i="16"/>
  <c r="H550" i="16" s="1"/>
  <c r="G669" i="14"/>
  <c r="G668" i="14" s="1"/>
  <c r="G667" i="14" s="1"/>
  <c r="H319" i="15"/>
  <c r="H318" i="15" s="1"/>
  <c r="H324" i="15"/>
  <c r="H557" i="16"/>
  <c r="H558" i="16" s="1"/>
  <c r="G675" i="14"/>
  <c r="G674" i="14" s="1"/>
  <c r="G673" i="14" s="1"/>
  <c r="H325" i="15"/>
  <c r="G859" i="14"/>
  <c r="G858" i="14" s="1"/>
  <c r="F48" i="14"/>
  <c r="H13" i="14" s="1"/>
  <c r="G70" i="15"/>
  <c r="G214" i="4"/>
  <c r="I214" i="4" s="1"/>
  <c r="G167" i="4"/>
  <c r="I167" i="4" s="1"/>
  <c r="H29" i="16"/>
  <c r="G955" i="14"/>
  <c r="F955" i="14"/>
  <c r="F360" i="3"/>
  <c r="F161" i="3"/>
  <c r="H161" i="3" s="1"/>
  <c r="F146" i="3"/>
  <c r="H146" i="3" s="1"/>
  <c r="G721" i="5"/>
  <c r="G160" i="16"/>
  <c r="G305" i="5"/>
  <c r="I305" i="5" s="1"/>
  <c r="G438" i="5"/>
  <c r="I438" i="5" s="1"/>
  <c r="F115" i="3"/>
  <c r="H115" i="3" s="1"/>
  <c r="G879" i="4"/>
  <c r="G988" i="4"/>
  <c r="H160" i="16"/>
  <c r="G484" i="4"/>
  <c r="G652" i="16"/>
  <c r="F13" i="3"/>
  <c r="G262" i="4"/>
  <c r="G578" i="15"/>
  <c r="H891" i="15"/>
  <c r="H890" i="15" s="1"/>
  <c r="H201" i="15"/>
  <c r="G201" i="15"/>
  <c r="G29" i="16"/>
  <c r="G27" i="16"/>
  <c r="H332" i="15"/>
  <c r="H333" i="15"/>
  <c r="G219" i="15"/>
  <c r="G297" i="16"/>
  <c r="G295" i="16"/>
  <c r="G294" i="16" s="1"/>
  <c r="G293" i="16" s="1"/>
  <c r="G214" i="16"/>
  <c r="G212" i="16"/>
  <c r="G211" i="16" s="1"/>
  <c r="G202" i="16" s="1"/>
  <c r="H849" i="15"/>
  <c r="H848" i="15" s="1"/>
  <c r="H847" i="15" s="1"/>
  <c r="H846" i="15" s="1"/>
  <c r="G849" i="15"/>
  <c r="G848" i="15" s="1"/>
  <c r="G847" i="15" s="1"/>
  <c r="G846" i="15" s="1"/>
  <c r="G722" i="15"/>
  <c r="H992" i="15"/>
  <c r="H991" i="15" s="1"/>
  <c r="G991" i="15"/>
  <c r="H407" i="15"/>
  <c r="H406" i="15" s="1"/>
  <c r="G407" i="15"/>
  <c r="G406" i="15" s="1"/>
  <c r="H374" i="15"/>
  <c r="G374" i="15"/>
  <c r="H515" i="16"/>
  <c r="G304" i="16"/>
  <c r="G302" i="16"/>
  <c r="G301" i="16" s="1"/>
  <c r="G300" i="16" s="1"/>
  <c r="G860" i="16"/>
  <c r="G858" i="16"/>
  <c r="G857" i="16" s="1"/>
  <c r="G856" i="16" s="1"/>
  <c r="G855" i="16" s="1"/>
  <c r="G854" i="16" s="1"/>
  <c r="G853" i="16" s="1"/>
  <c r="H268" i="15"/>
  <c r="H269" i="15"/>
  <c r="H1042" i="15"/>
  <c r="H1041" i="15" s="1"/>
  <c r="H1040" i="15" s="1"/>
  <c r="H1039" i="15" s="1"/>
  <c r="H1038" i="15" s="1"/>
  <c r="G1042" i="15"/>
  <c r="G1041" i="15" s="1"/>
  <c r="G1040" i="15" s="1"/>
  <c r="G1039" i="15" s="1"/>
  <c r="G1038" i="15" s="1"/>
  <c r="H716" i="15"/>
  <c r="H715" i="15"/>
  <c r="G868" i="16"/>
  <c r="G866" i="16"/>
  <c r="G865" i="16" s="1"/>
  <c r="G864" i="16" s="1"/>
  <c r="G863" i="16" s="1"/>
  <c r="H464" i="15"/>
  <c r="H732" i="16"/>
  <c r="G453" i="16"/>
  <c r="G451" i="16"/>
  <c r="G450" i="16" s="1"/>
  <c r="G449" i="16" s="1"/>
  <c r="G448" i="16" s="1"/>
  <c r="G447" i="16" s="1"/>
  <c r="G550" i="16"/>
  <c r="G548" i="16"/>
  <c r="G547" i="16" s="1"/>
  <c r="H454" i="15"/>
  <c r="H605" i="15"/>
  <c r="H604" i="15"/>
  <c r="H524" i="15"/>
  <c r="H523" i="15" s="1"/>
  <c r="H522" i="15" s="1"/>
  <c r="H521" i="15" s="1"/>
  <c r="G524" i="15"/>
  <c r="G523" i="15" s="1"/>
  <c r="G522" i="15" s="1"/>
  <c r="G521" i="15" s="1"/>
  <c r="H687" i="15"/>
  <c r="H686" i="15" s="1"/>
  <c r="G687" i="15"/>
  <c r="G686" i="15" s="1"/>
  <c r="G999" i="15"/>
  <c r="G998" i="15" s="1"/>
  <c r="G554" i="16"/>
  <c r="G552" i="16"/>
  <c r="G551" i="16" s="1"/>
  <c r="G673" i="16"/>
  <c r="G671" i="16"/>
  <c r="G670" i="16" s="1"/>
  <c r="G558" i="16"/>
  <c r="G556" i="16"/>
  <c r="G555" i="16" s="1"/>
  <c r="G446" i="16"/>
  <c r="G444" i="16"/>
  <c r="G443" i="16" s="1"/>
  <c r="G442" i="16" s="1"/>
  <c r="G441" i="16" s="1"/>
  <c r="G440" i="16" s="1"/>
  <c r="H31" i="17"/>
  <c r="H30" i="17" s="1"/>
  <c r="H29" i="17" s="1"/>
  <c r="H28" i="17" s="1"/>
  <c r="H27" i="17" s="1"/>
  <c r="H45" i="17" s="1"/>
  <c r="G515" i="16"/>
  <c r="G513" i="16"/>
  <c r="G509" i="16" s="1"/>
  <c r="G504" i="16" s="1"/>
  <c r="G503" i="16" s="1"/>
  <c r="G502" i="16" s="1"/>
  <c r="H169" i="15"/>
  <c r="H168" i="15" s="1"/>
  <c r="H167" i="15" s="1"/>
  <c r="H166" i="15" s="1"/>
  <c r="H165" i="15" s="1"/>
  <c r="G168" i="15"/>
  <c r="G167" i="15" s="1"/>
  <c r="G166" i="15" s="1"/>
  <c r="G165" i="15" s="1"/>
  <c r="G1105" i="15" s="1"/>
  <c r="H286" i="15"/>
  <c r="H285" i="15" s="1"/>
  <c r="G557" i="4"/>
  <c r="I557" i="4" s="1"/>
  <c r="H600" i="15"/>
  <c r="H599" i="15" s="1"/>
  <c r="G600" i="15"/>
  <c r="G599" i="15" s="1"/>
  <c r="H682" i="15"/>
  <c r="H681" i="15" s="1"/>
  <c r="G682" i="15"/>
  <c r="G681" i="15" s="1"/>
  <c r="H708" i="15"/>
  <c r="H707" i="15" s="1"/>
  <c r="G707" i="15"/>
  <c r="H862" i="15"/>
  <c r="H861" i="15" s="1"/>
  <c r="H860" i="15" s="1"/>
  <c r="G862" i="15"/>
  <c r="G861" i="15" s="1"/>
  <c r="G860" i="15" s="1"/>
  <c r="G891" i="15"/>
  <c r="H945" i="15"/>
  <c r="H944" i="15" s="1"/>
  <c r="G944" i="15"/>
  <c r="H937" i="15"/>
  <c r="H936" i="15" s="1"/>
  <c r="G936" i="15"/>
  <c r="H941" i="15"/>
  <c r="H940" i="15" s="1"/>
  <c r="G940" i="15"/>
  <c r="G732" i="16"/>
  <c r="G730" i="16"/>
  <c r="G729" i="16" s="1"/>
  <c r="G728" i="16" s="1"/>
  <c r="G727" i="16" s="1"/>
  <c r="G726" i="16" s="1"/>
  <c r="G711" i="16" s="1"/>
  <c r="C144" i="12"/>
  <c r="D144" i="12"/>
  <c r="G204" i="14"/>
  <c r="G199" i="14" s="1"/>
  <c r="F204" i="14"/>
  <c r="F199" i="14" s="1"/>
  <c r="F902" i="14"/>
  <c r="G356" i="14"/>
  <c r="G342" i="14" s="1"/>
  <c r="F342" i="14"/>
  <c r="G616" i="14"/>
  <c r="G615" i="14" s="1"/>
  <c r="F616" i="14"/>
  <c r="F615" i="14" s="1"/>
  <c r="G332" i="14"/>
  <c r="G331" i="14" s="1"/>
  <c r="F331" i="14"/>
  <c r="G157" i="16"/>
  <c r="G155" i="16"/>
  <c r="G154" i="16" s="1"/>
  <c r="G153" i="16" s="1"/>
  <c r="G142" i="16" s="1"/>
  <c r="G141" i="16" s="1"/>
  <c r="G1068" i="15"/>
  <c r="G1067" i="15" s="1"/>
  <c r="F12" i="14"/>
  <c r="F11" i="14" s="1"/>
  <c r="G492" i="15"/>
  <c r="G797" i="14"/>
  <c r="G796" i="14" s="1"/>
  <c r="F797" i="14"/>
  <c r="F796" i="14" s="1"/>
  <c r="H413" i="15"/>
  <c r="H412" i="15" s="1"/>
  <c r="G413" i="15"/>
  <c r="G412" i="15" s="1"/>
  <c r="G744" i="14"/>
  <c r="F744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17" i="14"/>
  <c r="F117" i="14"/>
  <c r="H146" i="15"/>
  <c r="F930" i="3"/>
  <c r="G516" i="4"/>
  <c r="G865" i="4"/>
  <c r="I865" i="4" s="1"/>
  <c r="F715" i="3"/>
  <c r="G623" i="4"/>
  <c r="I623" i="4" s="1"/>
  <c r="F78" i="3"/>
  <c r="H78" i="3" s="1"/>
  <c r="G70" i="5"/>
  <c r="G151" i="5"/>
  <c r="G358" i="5"/>
  <c r="I358" i="5" s="1"/>
  <c r="G105" i="5"/>
  <c r="I105" i="5" s="1"/>
  <c r="G103" i="5"/>
  <c r="G731" i="4"/>
  <c r="G921" i="4"/>
  <c r="I921" i="4" s="1"/>
  <c r="G933" i="15"/>
  <c r="H1148" i="15"/>
  <c r="G1148" i="15"/>
  <c r="H1149" i="15"/>
  <c r="G1149" i="15"/>
  <c r="G360" i="4"/>
  <c r="G778" i="4"/>
  <c r="G441" i="4"/>
  <c r="I441" i="4" s="1"/>
  <c r="G787" i="4"/>
  <c r="I787" i="4" s="1"/>
  <c r="G202" i="4"/>
  <c r="I202" i="4" s="1"/>
  <c r="G588" i="4"/>
  <c r="I588" i="4" s="1"/>
  <c r="G1032" i="4"/>
  <c r="I1032" i="4" s="1"/>
  <c r="G329" i="4"/>
  <c r="I329" i="4" s="1"/>
  <c r="G501" i="4"/>
  <c r="I501" i="4" s="1"/>
  <c r="G813" i="4"/>
  <c r="G222" i="4"/>
  <c r="G129" i="4"/>
  <c r="I129" i="4" s="1"/>
  <c r="G917" i="4"/>
  <c r="I917" i="4" s="1"/>
  <c r="G929" i="15"/>
  <c r="G336" i="4"/>
  <c r="I336" i="4" s="1"/>
  <c r="G1082" i="4"/>
  <c r="G844" i="4"/>
  <c r="I844" i="4" s="1"/>
  <c r="G771" i="4"/>
  <c r="I771" i="4" s="1"/>
  <c r="G1136" i="15"/>
  <c r="G761" i="4"/>
  <c r="I761" i="4" s="1"/>
  <c r="G772" i="15"/>
  <c r="G636" i="4"/>
  <c r="I636" i="4" s="1"/>
  <c r="G415" i="4"/>
  <c r="I415" i="4" s="1"/>
  <c r="F321" i="3"/>
  <c r="G174" i="4"/>
  <c r="I174" i="4" s="1"/>
  <c r="G209" i="4"/>
  <c r="I209" i="4" s="1"/>
  <c r="G1057" i="4"/>
  <c r="I1057" i="4" s="1"/>
  <c r="G704" i="4"/>
  <c r="I704" i="4" s="1"/>
  <c r="G446" i="4"/>
  <c r="G509" i="4"/>
  <c r="I509" i="4" s="1"/>
  <c r="G13" i="4"/>
  <c r="I13" i="4" s="1"/>
  <c r="G909" i="4"/>
  <c r="I909" i="4" s="1"/>
  <c r="H920" i="15"/>
  <c r="G671" i="4"/>
  <c r="I671" i="4" s="1"/>
  <c r="G676" i="4"/>
  <c r="I676" i="4" s="1"/>
  <c r="G398" i="4"/>
  <c r="I398" i="4" s="1"/>
  <c r="G1006" i="4"/>
  <c r="I1006" i="4" s="1"/>
  <c r="G428" i="4"/>
  <c r="G913" i="4"/>
  <c r="I913" i="4" s="1"/>
  <c r="G925" i="15"/>
  <c r="G111" i="4"/>
  <c r="I111" i="4" s="1"/>
  <c r="G836" i="4"/>
  <c r="I836" i="4" s="1"/>
  <c r="G803" i="5"/>
  <c r="I803" i="5" s="1"/>
  <c r="G820" i="5"/>
  <c r="G856" i="5"/>
  <c r="I856" i="5" s="1"/>
  <c r="G307" i="5"/>
  <c r="G233" i="5"/>
  <c r="I233" i="5" s="1"/>
  <c r="G428" i="5"/>
  <c r="I428" i="5" s="1"/>
  <c r="G223" i="5"/>
  <c r="I223" i="5" s="1"/>
  <c r="G281" i="5"/>
  <c r="I281" i="5" s="1"/>
  <c r="G159" i="4"/>
  <c r="I159" i="4" s="1"/>
  <c r="G840" i="5"/>
  <c r="I840" i="5" s="1"/>
  <c r="G746" i="5"/>
  <c r="I746" i="5" s="1"/>
  <c r="G863" i="5"/>
  <c r="I863" i="5" s="1"/>
  <c r="G219" i="5"/>
  <c r="I219" i="5" s="1"/>
  <c r="G252" i="5"/>
  <c r="G263" i="5"/>
  <c r="I263" i="5" s="1"/>
  <c r="G798" i="5"/>
  <c r="I798" i="5" s="1"/>
  <c r="G849" i="5"/>
  <c r="I849" i="5" s="1"/>
  <c r="F46" i="3"/>
  <c r="H46" i="3" s="1"/>
  <c r="F68" i="3"/>
  <c r="H68" i="3" s="1"/>
  <c r="G267" i="5"/>
  <c r="I267" i="5" s="1"/>
  <c r="G237" i="5"/>
  <c r="I237" i="5" s="1"/>
  <c r="G245" i="5"/>
  <c r="I245" i="5" s="1"/>
  <c r="G276" i="5"/>
  <c r="G408" i="5"/>
  <c r="I408" i="5" s="1"/>
  <c r="G668" i="5"/>
  <c r="I668" i="5" s="1"/>
  <c r="G832" i="5"/>
  <c r="I832" i="5" s="1"/>
  <c r="G782" i="5"/>
  <c r="I782" i="5" s="1"/>
  <c r="G826" i="5"/>
  <c r="I826" i="5" s="1"/>
  <c r="G813" i="5"/>
  <c r="I813" i="5" s="1"/>
  <c r="G793" i="5"/>
  <c r="I793" i="5" s="1"/>
  <c r="G733" i="5"/>
  <c r="I733" i="5" s="1"/>
  <c r="G606" i="5"/>
  <c r="I606" i="5" s="1"/>
  <c r="G65" i="5"/>
  <c r="I65" i="5" s="1"/>
  <c r="F698" i="3"/>
  <c r="H698" i="3" s="1"/>
  <c r="F356" i="3"/>
  <c r="H356" i="3" s="1"/>
  <c r="F366" i="14"/>
  <c r="G366" i="14" s="1"/>
  <c r="F607" i="3"/>
  <c r="H607" i="3" s="1"/>
  <c r="F655" i="3"/>
  <c r="F660" i="14"/>
  <c r="G660" i="14" s="1"/>
  <c r="F555" i="3"/>
  <c r="H555" i="3" s="1"/>
  <c r="F154" i="3"/>
  <c r="H154" i="3" s="1"/>
  <c r="F230" i="3"/>
  <c r="H230" i="3" s="1"/>
  <c r="F192" i="3"/>
  <c r="H192" i="3" s="1"/>
  <c r="F671" i="3"/>
  <c r="H671" i="3" s="1"/>
  <c r="F628" i="3"/>
  <c r="H628" i="3" s="1"/>
  <c r="F411" i="3"/>
  <c r="H411" i="3" s="1"/>
  <c r="F399" i="3"/>
  <c r="H399" i="3" s="1"/>
  <c r="F729" i="3"/>
  <c r="H729" i="3" s="1"/>
  <c r="F872" i="3"/>
  <c r="F548" i="3"/>
  <c r="H548" i="3" s="1"/>
  <c r="F479" i="3"/>
  <c r="H479" i="3" s="1"/>
  <c r="F539" i="3"/>
  <c r="H539" i="3" s="1"/>
  <c r="F352" i="3"/>
  <c r="H352" i="3" s="1"/>
  <c r="F364" i="3"/>
  <c r="H364" i="3" s="1"/>
  <c r="F374" i="14"/>
  <c r="G374" i="14" s="1"/>
  <c r="F485" i="3"/>
  <c r="H485" i="3" s="1"/>
  <c r="F233" i="3"/>
  <c r="H233" i="3" s="1"/>
  <c r="F668" i="3"/>
  <c r="H668" i="3" s="1"/>
  <c r="F725" i="3"/>
  <c r="H725" i="3" s="1"/>
  <c r="F963" i="3"/>
  <c r="H963" i="3" s="1"/>
  <c r="F316" i="3"/>
  <c r="H316" i="3" s="1"/>
  <c r="F665" i="3"/>
  <c r="H665" i="3" s="1"/>
  <c r="F753" i="3"/>
  <c r="G275" i="14"/>
  <c r="G270" i="14" s="1"/>
  <c r="G269" i="14" s="1"/>
  <c r="F437" i="3"/>
  <c r="H437" i="3" s="1"/>
  <c r="F73" i="3"/>
  <c r="F519" i="3"/>
  <c r="H519" i="3" s="1"/>
  <c r="F916" i="3"/>
  <c r="H916" i="3" s="1"/>
  <c r="F822" i="3"/>
  <c r="H822" i="3" s="1"/>
  <c r="F505" i="3"/>
  <c r="H505" i="3" s="1"/>
  <c r="F458" i="3"/>
  <c r="H458" i="3" s="1"/>
  <c r="F276" i="3"/>
  <c r="H276" i="3" s="1"/>
  <c r="F206" i="3"/>
  <c r="H206" i="3" s="1"/>
  <c r="F922" i="3"/>
  <c r="H922" i="3" s="1"/>
  <c r="F841" i="3"/>
  <c r="H841" i="3" s="1"/>
  <c r="F709" i="3"/>
  <c r="F558" i="3"/>
  <c r="H558" i="3" s="1"/>
  <c r="F564" i="3"/>
  <c r="H564" i="3" s="1"/>
  <c r="F256" i="3"/>
  <c r="H256" i="3" s="1"/>
  <c r="F55" i="3"/>
  <c r="H55" i="3" s="1"/>
  <c r="F431" i="3"/>
  <c r="F35" i="3"/>
  <c r="F308" i="3"/>
  <c r="H308" i="3" s="1"/>
  <c r="F321" i="14"/>
  <c r="G321" i="14" s="1"/>
  <c r="F107" i="3"/>
  <c r="H107" i="3" s="1"/>
  <c r="F809" i="3"/>
  <c r="H809" i="3" s="1"/>
  <c r="F622" i="3"/>
  <c r="H622" i="3" s="1"/>
  <c r="F313" i="3"/>
  <c r="H313" i="3" s="1"/>
  <c r="F889" i="3"/>
  <c r="H889" i="3" s="1"/>
  <c r="F893" i="14"/>
  <c r="F396" i="3"/>
  <c r="H396" i="3" s="1"/>
  <c r="F797" i="3"/>
  <c r="H797" i="3" s="1"/>
  <c r="F602" i="3"/>
  <c r="H602" i="3" s="1"/>
  <c r="F942" i="3"/>
  <c r="H942" i="3" s="1"/>
  <c r="F571" i="3"/>
  <c r="H571" i="3" s="1"/>
  <c r="F636" i="3"/>
  <c r="H636" i="3" s="1"/>
  <c r="F492" i="3"/>
  <c r="H492" i="3" s="1"/>
  <c r="G716" i="5"/>
  <c r="I716" i="5" s="1"/>
  <c r="G714" i="5"/>
  <c r="I714" i="5" s="1"/>
  <c r="G652" i="5"/>
  <c r="I652" i="5" s="1"/>
  <c r="G650" i="5"/>
  <c r="I650" i="5" s="1"/>
  <c r="G709" i="5"/>
  <c r="I709" i="5" s="1"/>
  <c r="G707" i="5"/>
  <c r="I707" i="5" s="1"/>
  <c r="G730" i="5"/>
  <c r="I730" i="5" s="1"/>
  <c r="G728" i="5"/>
  <c r="I728" i="5" s="1"/>
  <c r="G442" i="5"/>
  <c r="I442" i="5" s="1"/>
  <c r="G476" i="5"/>
  <c r="G357" i="5"/>
  <c r="I357" i="5" s="1"/>
  <c r="G205" i="5"/>
  <c r="I205" i="5" s="1"/>
  <c r="G207" i="5"/>
  <c r="I207" i="5" s="1"/>
  <c r="G184" i="5"/>
  <c r="I184" i="5" s="1"/>
  <c r="G186" i="5"/>
  <c r="I186" i="5" s="1"/>
  <c r="G196" i="5"/>
  <c r="I196" i="5" s="1"/>
  <c r="G198" i="5"/>
  <c r="I198" i="5" s="1"/>
  <c r="G171" i="5"/>
  <c r="I171" i="5" s="1"/>
  <c r="G173" i="5"/>
  <c r="I173" i="5" s="1"/>
  <c r="G163" i="5"/>
  <c r="I163" i="5" s="1"/>
  <c r="G165" i="5"/>
  <c r="I165" i="5" s="1"/>
  <c r="G48" i="5"/>
  <c r="I48" i="5" s="1"/>
  <c r="G50" i="5"/>
  <c r="I50" i="5" s="1"/>
  <c r="G739" i="5"/>
  <c r="I739" i="5" s="1"/>
  <c r="G34" i="5"/>
  <c r="I34" i="5" s="1"/>
  <c r="F951" i="3"/>
  <c r="H951" i="3" s="1"/>
  <c r="F172" i="3"/>
  <c r="G854" i="4"/>
  <c r="I854" i="4" s="1"/>
  <c r="G849" i="4"/>
  <c r="I849" i="4" s="1"/>
  <c r="I988" i="10"/>
  <c r="I989" i="10"/>
  <c r="I987" i="10"/>
  <c r="G534" i="11"/>
  <c r="G714" i="4" l="1"/>
  <c r="I714" i="4" s="1"/>
  <c r="G1040" i="4"/>
  <c r="I1040" i="4" s="1"/>
  <c r="C170" i="1"/>
  <c r="E10" i="1"/>
  <c r="E170" i="1" s="1"/>
  <c r="H634" i="15"/>
  <c r="H610" i="15" s="1"/>
  <c r="G31" i="6"/>
  <c r="I32" i="6"/>
  <c r="G890" i="15"/>
  <c r="G35" i="6"/>
  <c r="I35" i="6" s="1"/>
  <c r="I36" i="6"/>
  <c r="I371" i="5"/>
  <c r="H878" i="15"/>
  <c r="H877" i="15" s="1"/>
  <c r="H876" i="15" s="1"/>
  <c r="H875" i="15" s="1"/>
  <c r="G546" i="5"/>
  <c r="I546" i="5" s="1"/>
  <c r="G435" i="5"/>
  <c r="I435" i="5" s="1"/>
  <c r="G515" i="4"/>
  <c r="I515" i="4" s="1"/>
  <c r="I516" i="4"/>
  <c r="G261" i="4"/>
  <c r="I261" i="4" s="1"/>
  <c r="I262" i="4"/>
  <c r="G302" i="5"/>
  <c r="I302" i="5" s="1"/>
  <c r="G1094" i="4"/>
  <c r="I222" i="4"/>
  <c r="G647" i="15"/>
  <c r="F202" i="3"/>
  <c r="H202" i="3" s="1"/>
  <c r="G427" i="4"/>
  <c r="I427" i="4" s="1"/>
  <c r="I428" i="4"/>
  <c r="G812" i="4"/>
  <c r="I812" i="4" s="1"/>
  <c r="I813" i="4"/>
  <c r="G1097" i="4"/>
  <c r="I778" i="4"/>
  <c r="G730" i="4"/>
  <c r="I730" i="4" s="1"/>
  <c r="I731" i="4"/>
  <c r="G1112" i="15"/>
  <c r="G987" i="4"/>
  <c r="I987" i="4" s="1"/>
  <c r="I988" i="4"/>
  <c r="G948" i="4"/>
  <c r="I948" i="4" s="1"/>
  <c r="I953" i="4"/>
  <c r="G483" i="4"/>
  <c r="I483" i="4" s="1"/>
  <c r="I484" i="4"/>
  <c r="F201" i="3"/>
  <c r="H201" i="3" s="1"/>
  <c r="G531" i="4"/>
  <c r="I531" i="4" s="1"/>
  <c r="G445" i="4"/>
  <c r="I445" i="4" s="1"/>
  <c r="I446" i="4"/>
  <c r="G348" i="4"/>
  <c r="I348" i="4" s="1"/>
  <c r="I360" i="4"/>
  <c r="G634" i="15"/>
  <c r="G1116" i="4"/>
  <c r="G878" i="4"/>
  <c r="I878" i="4" s="1"/>
  <c r="I879" i="4"/>
  <c r="G800" i="4"/>
  <c r="I800" i="4" s="1"/>
  <c r="I801" i="4"/>
  <c r="G150" i="5"/>
  <c r="I150" i="5" s="1"/>
  <c r="I151" i="5"/>
  <c r="G251" i="5"/>
  <c r="I251" i="5" s="1"/>
  <c r="I252" i="5"/>
  <c r="N794" i="5"/>
  <c r="I820" i="5"/>
  <c r="G102" i="5"/>
  <c r="I103" i="5"/>
  <c r="G69" i="5"/>
  <c r="I69" i="5" s="1"/>
  <c r="I70" i="5"/>
  <c r="G125" i="5"/>
  <c r="I126" i="5"/>
  <c r="G294" i="5"/>
  <c r="I294" i="5" s="1"/>
  <c r="I295" i="5"/>
  <c r="G720" i="5"/>
  <c r="I720" i="5" s="1"/>
  <c r="I721" i="5"/>
  <c r="G475" i="5"/>
  <c r="I475" i="5" s="1"/>
  <c r="I476" i="5"/>
  <c r="G271" i="5"/>
  <c r="I271" i="5" s="1"/>
  <c r="I276" i="5"/>
  <c r="G301" i="5"/>
  <c r="I301" i="5" s="1"/>
  <c r="G306" i="5"/>
  <c r="I306" i="5" s="1"/>
  <c r="I307" i="5"/>
  <c r="G505" i="5"/>
  <c r="I509" i="5"/>
  <c r="J547" i="5"/>
  <c r="I547" i="5"/>
  <c r="G139" i="5"/>
  <c r="I139" i="5" s="1"/>
  <c r="I140" i="5"/>
  <c r="F171" i="3"/>
  <c r="H171" i="3" s="1"/>
  <c r="H172" i="3"/>
  <c r="F741" i="3"/>
  <c r="H741" i="3" s="1"/>
  <c r="H753" i="3"/>
  <c r="F714" i="3"/>
  <c r="H714" i="3" s="1"/>
  <c r="H715" i="3"/>
  <c r="F929" i="3"/>
  <c r="H930" i="3"/>
  <c r="F265" i="3"/>
  <c r="H265" i="3" s="1"/>
  <c r="H266" i="3"/>
  <c r="F29" i="3"/>
  <c r="H29" i="3" s="1"/>
  <c r="H35" i="3"/>
  <c r="F63" i="14"/>
  <c r="H73" i="3"/>
  <c r="F651" i="3"/>
  <c r="H651" i="3" s="1"/>
  <c r="H655" i="3"/>
  <c r="F359" i="3"/>
  <c r="H359" i="3" s="1"/>
  <c r="H360" i="3"/>
  <c r="F578" i="3"/>
  <c r="H578" i="3" s="1"/>
  <c r="H579" i="3"/>
  <c r="L304" i="3"/>
  <c r="H431" i="3"/>
  <c r="L830" i="3"/>
  <c r="H872" i="3"/>
  <c r="F320" i="3"/>
  <c r="H320" i="3" s="1"/>
  <c r="H321" i="3"/>
  <c r="F708" i="3"/>
  <c r="H708" i="3" s="1"/>
  <c r="H709" i="3"/>
  <c r="F12" i="3"/>
  <c r="H13" i="3"/>
  <c r="F574" i="3"/>
  <c r="H574" i="3" s="1"/>
  <c r="H575" i="3"/>
  <c r="G1077" i="4"/>
  <c r="G1088" i="4"/>
  <c r="H30" i="16"/>
  <c r="F123" i="12"/>
  <c r="H207" i="15"/>
  <c r="H1109" i="15" s="1"/>
  <c r="G1140" i="15"/>
  <c r="G1070" i="4"/>
  <c r="I1070" i="4" s="1"/>
  <c r="G682" i="4"/>
  <c r="I682" i="4" s="1"/>
  <c r="H1140" i="15"/>
  <c r="F10" i="14"/>
  <c r="D12" i="13" s="1"/>
  <c r="G543" i="14"/>
  <c r="G542" i="14" s="1"/>
  <c r="F542" i="14"/>
  <c r="D34" i="13" s="1"/>
  <c r="G599" i="4"/>
  <c r="F395" i="3"/>
  <c r="G1112" i="4"/>
  <c r="G647" i="16"/>
  <c r="G646" i="16" s="1"/>
  <c r="G645" i="16" s="1"/>
  <c r="G644" i="16" s="1"/>
  <c r="H959" i="15"/>
  <c r="G959" i="15"/>
  <c r="G539" i="4"/>
  <c r="G12" i="14"/>
  <c r="G11" i="14" s="1"/>
  <c r="G10" i="14" s="1"/>
  <c r="E12" i="13" s="1"/>
  <c r="F160" i="3"/>
  <c r="H160" i="3" s="1"/>
  <c r="H64" i="14"/>
  <c r="H215" i="16"/>
  <c r="F535" i="3"/>
  <c r="H535" i="3" s="1"/>
  <c r="G568" i="15"/>
  <c r="H1112" i="15"/>
  <c r="H276" i="15"/>
  <c r="H275" i="15" s="1"/>
  <c r="H274" i="15" s="1"/>
  <c r="H273" i="15" s="1"/>
  <c r="G281" i="4"/>
  <c r="H568" i="15"/>
  <c r="G20" i="16"/>
  <c r="G19" i="16" s="1"/>
  <c r="G18" i="16" s="1"/>
  <c r="G17" i="16" s="1"/>
  <c r="G9" i="16" s="1"/>
  <c r="G406" i="16"/>
  <c r="H257" i="16"/>
  <c r="H256" i="16" s="1"/>
  <c r="H255" i="16" s="1"/>
  <c r="G77" i="16"/>
  <c r="G76" i="16" s="1"/>
  <c r="G68" i="16" s="1"/>
  <c r="G30" i="16" s="1"/>
  <c r="G274" i="15"/>
  <c r="G273" i="15" s="1"/>
  <c r="G756" i="4"/>
  <c r="I756" i="4" s="1"/>
  <c r="G721" i="15"/>
  <c r="G720" i="15" s="1"/>
  <c r="H70" i="15"/>
  <c r="G50" i="4"/>
  <c r="H839" i="15"/>
  <c r="H835" i="15" s="1"/>
  <c r="H834" i="15" s="1"/>
  <c r="H833" i="15" s="1"/>
  <c r="H832" i="15" s="1"/>
  <c r="G991" i="10"/>
  <c r="G975" i="10"/>
  <c r="G977" i="10" s="1"/>
  <c r="H444" i="16"/>
  <c r="H443" i="16" s="1"/>
  <c r="H442" i="16" s="1"/>
  <c r="H441" i="16" s="1"/>
  <c r="H440" i="16" s="1"/>
  <c r="H556" i="16"/>
  <c r="H555" i="16" s="1"/>
  <c r="H548" i="16"/>
  <c r="H547" i="16" s="1"/>
  <c r="G328" i="4"/>
  <c r="H866" i="16"/>
  <c r="H865" i="16" s="1"/>
  <c r="H864" i="16" s="1"/>
  <c r="H863" i="16" s="1"/>
  <c r="H862" i="16" s="1"/>
  <c r="H202" i="16"/>
  <c r="H159" i="16" s="1"/>
  <c r="H158" i="16" s="1"/>
  <c r="H671" i="16"/>
  <c r="H670" i="16" s="1"/>
  <c r="H647" i="16" s="1"/>
  <c r="H646" i="16" s="1"/>
  <c r="H645" i="16" s="1"/>
  <c r="H644" i="16" s="1"/>
  <c r="F138" i="14"/>
  <c r="G142" i="14"/>
  <c r="G138" i="14" s="1"/>
  <c r="H155" i="16"/>
  <c r="H154" i="16" s="1"/>
  <c r="H153" i="16" s="1"/>
  <c r="H142" i="16" s="1"/>
  <c r="H141" i="16" s="1"/>
  <c r="H860" i="16"/>
  <c r="G221" i="4"/>
  <c r="H451" i="16"/>
  <c r="H450" i="16" s="1"/>
  <c r="H449" i="16" s="1"/>
  <c r="H448" i="16" s="1"/>
  <c r="H447" i="16" s="1"/>
  <c r="G166" i="4"/>
  <c r="G185" i="4"/>
  <c r="H214" i="16"/>
  <c r="H297" i="16"/>
  <c r="H552" i="16"/>
  <c r="H551" i="16" s="1"/>
  <c r="G160" i="14"/>
  <c r="G48" i="14"/>
  <c r="G47" i="14" s="1"/>
  <c r="H304" i="16"/>
  <c r="H133" i="15"/>
  <c r="H132" i="15" s="1"/>
  <c r="H131" i="15" s="1"/>
  <c r="H130" i="15" s="1"/>
  <c r="H299" i="16"/>
  <c r="H298" i="16" s="1"/>
  <c r="H491" i="15"/>
  <c r="H490" i="15" s="1"/>
  <c r="G491" i="15"/>
  <c r="G490" i="15" s="1"/>
  <c r="F61" i="3"/>
  <c r="G195" i="4"/>
  <c r="F369" i="14"/>
  <c r="F368" i="14" s="1"/>
  <c r="F47" i="14"/>
  <c r="F142" i="3"/>
  <c r="H142" i="3" s="1"/>
  <c r="F159" i="14"/>
  <c r="E25" i="13"/>
  <c r="F330" i="14"/>
  <c r="G159" i="16"/>
  <c r="G158" i="16" s="1"/>
  <c r="F716" i="14"/>
  <c r="F715" i="14" s="1"/>
  <c r="F933" i="14"/>
  <c r="F932" i="14" s="1"/>
  <c r="H509" i="15"/>
  <c r="H508" i="15" s="1"/>
  <c r="G509" i="15"/>
  <c r="G508" i="15" s="1"/>
  <c r="H789" i="15"/>
  <c r="G789" i="15"/>
  <c r="H741" i="15"/>
  <c r="G741" i="15"/>
  <c r="H1017" i="15"/>
  <c r="G1017" i="15"/>
  <c r="H856" i="15"/>
  <c r="H855" i="15" s="1"/>
  <c r="H854" i="15" s="1"/>
  <c r="H853" i="15" s="1"/>
  <c r="G856" i="15"/>
  <c r="G855" i="15" s="1"/>
  <c r="G854" i="15" s="1"/>
  <c r="G853" i="15" s="1"/>
  <c r="H449" i="15"/>
  <c r="G449" i="15"/>
  <c r="G330" i="14"/>
  <c r="H458" i="15"/>
  <c r="H453" i="15" s="1"/>
  <c r="G458" i="15"/>
  <c r="G453" i="15" s="1"/>
  <c r="H517" i="15"/>
  <c r="H1104" i="15" s="1"/>
  <c r="G517" i="15"/>
  <c r="G1104" i="15" s="1"/>
  <c r="H711" i="15"/>
  <c r="G711" i="15"/>
  <c r="H1136" i="15"/>
  <c r="H347" i="15"/>
  <c r="G347" i="15"/>
  <c r="H236" i="15"/>
  <c r="H1121" i="15" s="1"/>
  <c r="G236" i="15"/>
  <c r="G1121" i="15" s="1"/>
  <c r="H246" i="15"/>
  <c r="H245" i="15" s="1"/>
  <c r="H244" i="15" s="1"/>
  <c r="H243" i="15" s="1"/>
  <c r="G246" i="15"/>
  <c r="G245" i="15" s="1"/>
  <c r="G244" i="15" s="1"/>
  <c r="G243" i="15" s="1"/>
  <c r="H340" i="15"/>
  <c r="G340" i="15"/>
  <c r="G546" i="16"/>
  <c r="G545" i="16" s="1"/>
  <c r="G544" i="16" s="1"/>
  <c r="G464" i="16" s="1"/>
  <c r="J464" i="16" s="1"/>
  <c r="G862" i="16"/>
  <c r="G861" i="16"/>
  <c r="H292" i="16"/>
  <c r="H291" i="16" s="1"/>
  <c r="H722" i="15"/>
  <c r="H825" i="15"/>
  <c r="H824" i="15" s="1"/>
  <c r="G825" i="15"/>
  <c r="G824" i="15" s="1"/>
  <c r="H317" i="15"/>
  <c r="G317" i="15"/>
  <c r="H436" i="15"/>
  <c r="G436" i="15"/>
  <c r="G835" i="15"/>
  <c r="G834" i="15" s="1"/>
  <c r="G833" i="15" s="1"/>
  <c r="G832" i="15" s="1"/>
  <c r="H782" i="15"/>
  <c r="H799" i="15"/>
  <c r="H798" i="15" s="1"/>
  <c r="H1145" i="15" s="1"/>
  <c r="G799" i="15"/>
  <c r="G798" i="15" s="1"/>
  <c r="G1145" i="15" s="1"/>
  <c r="H555" i="15"/>
  <c r="H1115" i="15" s="1"/>
  <c r="G555" i="15"/>
  <c r="G299" i="16"/>
  <c r="G298" i="16" s="1"/>
  <c r="G697" i="15"/>
  <c r="G292" i="16"/>
  <c r="G291" i="16" s="1"/>
  <c r="H772" i="15"/>
  <c r="H771" i="15" s="1"/>
  <c r="G771" i="15"/>
  <c r="H929" i="15"/>
  <c r="H928" i="15" s="1"/>
  <c r="G928" i="15"/>
  <c r="H925" i="15"/>
  <c r="H924" i="15" s="1"/>
  <c r="G924" i="15"/>
  <c r="H933" i="15"/>
  <c r="H932" i="15" s="1"/>
  <c r="G932" i="15"/>
  <c r="F892" i="14"/>
  <c r="G954" i="14"/>
  <c r="G953" i="14" s="1"/>
  <c r="F954" i="14"/>
  <c r="F953" i="14" s="1"/>
  <c r="F209" i="14"/>
  <c r="F208" i="14"/>
  <c r="G622" i="14"/>
  <c r="F622" i="14"/>
  <c r="G693" i="15"/>
  <c r="H194" i="15"/>
  <c r="H193" i="15" s="1"/>
  <c r="H192" i="15" s="1"/>
  <c r="G194" i="15"/>
  <c r="G193" i="15" s="1"/>
  <c r="G192" i="15" s="1"/>
  <c r="H1085" i="15"/>
  <c r="H1084" i="15" s="1"/>
  <c r="H1083" i="15" s="1"/>
  <c r="H106" i="14" s="1"/>
  <c r="G1085" i="15"/>
  <c r="G1084" i="15" s="1"/>
  <c r="G1083" i="15" s="1"/>
  <c r="H1050" i="15"/>
  <c r="H1049" i="15" s="1"/>
  <c r="H1048" i="15" s="1"/>
  <c r="G1050" i="15"/>
  <c r="G1049" i="15" s="1"/>
  <c r="G1048" i="15" s="1"/>
  <c r="H1024" i="15"/>
  <c r="G1024" i="15"/>
  <c r="H1005" i="15"/>
  <c r="H1004" i="15" s="1"/>
  <c r="G1005" i="15"/>
  <c r="G1004" i="15" s="1"/>
  <c r="H813" i="15"/>
  <c r="H812" i="15" s="1"/>
  <c r="G813" i="15"/>
  <c r="G812" i="15" s="1"/>
  <c r="H805" i="15"/>
  <c r="H804" i="15" s="1"/>
  <c r="G805" i="15"/>
  <c r="G804" i="15" s="1"/>
  <c r="H745" i="15"/>
  <c r="G745" i="15"/>
  <c r="H731" i="15"/>
  <c r="H730" i="15" s="1"/>
  <c r="G731" i="15"/>
  <c r="G730" i="15" s="1"/>
  <c r="H423" i="15"/>
  <c r="H422" i="15" s="1"/>
  <c r="G423" i="15"/>
  <c r="G422" i="15" s="1"/>
  <c r="G752" i="14"/>
  <c r="G743" i="14" s="1"/>
  <c r="F752" i="14"/>
  <c r="F743" i="14" s="1"/>
  <c r="F742" i="14" s="1"/>
  <c r="H368" i="15"/>
  <c r="H359" i="15" s="1"/>
  <c r="H358" i="15" s="1"/>
  <c r="G368" i="15"/>
  <c r="H296" i="15"/>
  <c r="G296" i="15"/>
  <c r="G295" i="15" s="1"/>
  <c r="H174" i="15"/>
  <c r="H173" i="15" s="1"/>
  <c r="H172" i="15" s="1"/>
  <c r="G174" i="15"/>
  <c r="G173" i="15" s="1"/>
  <c r="G172" i="15" s="1"/>
  <c r="G1106" i="15" s="1"/>
  <c r="G240" i="14"/>
  <c r="F240" i="14"/>
  <c r="G132" i="15"/>
  <c r="G131" i="15" s="1"/>
  <c r="G130" i="15" s="1"/>
  <c r="H54" i="15"/>
  <c r="G54" i="15"/>
  <c r="G864" i="4"/>
  <c r="G792" i="4"/>
  <c r="I792" i="4" s="1"/>
  <c r="G754" i="5"/>
  <c r="G218" i="5"/>
  <c r="I218" i="5" s="1"/>
  <c r="G110" i="4"/>
  <c r="I110" i="4" s="1"/>
  <c r="G208" i="4"/>
  <c r="I208" i="4" s="1"/>
  <c r="G908" i="4"/>
  <c r="G232" i="4"/>
  <c r="I232" i="4" s="1"/>
  <c r="G414" i="4"/>
  <c r="I414" i="4" s="1"/>
  <c r="H1131" i="15"/>
  <c r="G1131" i="15"/>
  <c r="G1005" i="4"/>
  <c r="I1005" i="4" s="1"/>
  <c r="G12" i="4"/>
  <c r="G1056" i="4"/>
  <c r="I1056" i="4" s="1"/>
  <c r="G128" i="4"/>
  <c r="G500" i="4"/>
  <c r="I500" i="4" s="1"/>
  <c r="G1031" i="4"/>
  <c r="I1031" i="4" s="1"/>
  <c r="G1106" i="4"/>
  <c r="G786" i="4"/>
  <c r="G1039" i="4"/>
  <c r="I1039" i="4" s="1"/>
  <c r="G993" i="4"/>
  <c r="I993" i="4" s="1"/>
  <c r="G508" i="4"/>
  <c r="I508" i="4" s="1"/>
  <c r="G843" i="4"/>
  <c r="I843" i="4" s="1"/>
  <c r="G440" i="4"/>
  <c r="G720" i="4"/>
  <c r="I720" i="4" s="1"/>
  <c r="G732" i="5"/>
  <c r="G822" i="4"/>
  <c r="I822" i="4" s="1"/>
  <c r="G835" i="4"/>
  <c r="I835" i="4" s="1"/>
  <c r="F478" i="3"/>
  <c r="H478" i="3" s="1"/>
  <c r="G232" i="5"/>
  <c r="I232" i="5" s="1"/>
  <c r="G738" i="5"/>
  <c r="I738" i="5" s="1"/>
  <c r="G162" i="5"/>
  <c r="I162" i="5" s="1"/>
  <c r="G195" i="5"/>
  <c r="I195" i="5" s="1"/>
  <c r="G204" i="5"/>
  <c r="G441" i="5"/>
  <c r="I441" i="5" s="1"/>
  <c r="G831" i="5"/>
  <c r="I831" i="5" s="1"/>
  <c r="G819" i="5"/>
  <c r="I819" i="5" s="1"/>
  <c r="G706" i="5"/>
  <c r="I706" i="5" s="1"/>
  <c r="G713" i="5"/>
  <c r="I713" i="5" s="1"/>
  <c r="G792" i="5"/>
  <c r="I792" i="5" s="1"/>
  <c r="G745" i="5"/>
  <c r="I745" i="5" s="1"/>
  <c r="G727" i="5"/>
  <c r="I727" i="5" s="1"/>
  <c r="G643" i="5"/>
  <c r="G848" i="5"/>
  <c r="I848" i="5" s="1"/>
  <c r="G861" i="5"/>
  <c r="I861" i="5" s="1"/>
  <c r="G862" i="5"/>
  <c r="I862" i="5" s="1"/>
  <c r="G286" i="5"/>
  <c r="I286" i="5" s="1"/>
  <c r="G158" i="4"/>
  <c r="I158" i="4" s="1"/>
  <c r="G605" i="5"/>
  <c r="G829" i="5"/>
  <c r="I829" i="5" s="1"/>
  <c r="G825" i="5"/>
  <c r="I825" i="5" s="1"/>
  <c r="G392" i="5"/>
  <c r="I392" i="5" s="1"/>
  <c r="G280" i="5"/>
  <c r="I280" i="5" s="1"/>
  <c r="G855" i="5"/>
  <c r="I855" i="5" s="1"/>
  <c r="G20" i="5"/>
  <c r="I20" i="5" s="1"/>
  <c r="G839" i="5"/>
  <c r="I839" i="5" s="1"/>
  <c r="G170" i="5"/>
  <c r="I170" i="5" s="1"/>
  <c r="G183" i="5"/>
  <c r="I183" i="5" s="1"/>
  <c r="G258" i="5"/>
  <c r="I258" i="5" s="1"/>
  <c r="G64" i="5"/>
  <c r="I64" i="5" s="1"/>
  <c r="G812" i="5"/>
  <c r="I812" i="5" s="1"/>
  <c r="G781" i="5"/>
  <c r="I781" i="5" s="1"/>
  <c r="G407" i="5"/>
  <c r="I407" i="5" s="1"/>
  <c r="G458" i="5"/>
  <c r="G423" i="5"/>
  <c r="I423" i="5" s="1"/>
  <c r="F871" i="3"/>
  <c r="H871" i="3" s="1"/>
  <c r="F448" i="3"/>
  <c r="H448" i="3" s="1"/>
  <c r="F635" i="3"/>
  <c r="H635" i="3" s="1"/>
  <c r="F941" i="3"/>
  <c r="F318" i="14"/>
  <c r="H7" i="14" s="1"/>
  <c r="F307" i="3"/>
  <c r="H307" i="3" s="1"/>
  <c r="F707" i="3"/>
  <c r="H707" i="3" s="1"/>
  <c r="F921" i="3"/>
  <c r="H921" i="3" s="1"/>
  <c r="F275" i="3"/>
  <c r="F915" i="3"/>
  <c r="H915" i="3" s="1"/>
  <c r="F962" i="3"/>
  <c r="H962" i="3" s="1"/>
  <c r="F664" i="3"/>
  <c r="F363" i="3"/>
  <c r="H363" i="3" s="1"/>
  <c r="F373" i="14"/>
  <c r="F728" i="3"/>
  <c r="H728" i="3" s="1"/>
  <c r="F355" i="3"/>
  <c r="H355" i="3" s="1"/>
  <c r="F365" i="14"/>
  <c r="F697" i="3"/>
  <c r="H697" i="3" s="1"/>
  <c r="F621" i="3"/>
  <c r="H621" i="3" s="1"/>
  <c r="F153" i="3"/>
  <c r="H153" i="3" s="1"/>
  <c r="F554" i="3"/>
  <c r="H554" i="3" s="1"/>
  <c r="F226" i="3"/>
  <c r="H226" i="3" s="1"/>
  <c r="F501" i="3"/>
  <c r="H501" i="3" s="1"/>
  <c r="F491" i="3"/>
  <c r="H491" i="3" s="1"/>
  <c r="F567" i="3"/>
  <c r="H567" i="3" s="1"/>
  <c r="F584" i="3"/>
  <c r="H584" i="3" s="1"/>
  <c r="F808" i="3"/>
  <c r="H808" i="3" s="1"/>
  <c r="F106" i="3"/>
  <c r="H106" i="3" s="1"/>
  <c r="F108" i="14"/>
  <c r="F430" i="3"/>
  <c r="H430" i="3" s="1"/>
  <c r="F429" i="3"/>
  <c r="H429" i="3" s="1"/>
  <c r="F255" i="3"/>
  <c r="H255" i="3" s="1"/>
  <c r="F840" i="3"/>
  <c r="H840" i="3" s="1"/>
  <c r="F457" i="3"/>
  <c r="H457" i="3" s="1"/>
  <c r="F821" i="3"/>
  <c r="H821" i="3" s="1"/>
  <c r="F436" i="3"/>
  <c r="H436" i="3" s="1"/>
  <c r="F724" i="3"/>
  <c r="H724" i="3" s="1"/>
  <c r="F45" i="3"/>
  <c r="H45" i="3" s="1"/>
  <c r="F351" i="3"/>
  <c r="H351" i="3" s="1"/>
  <c r="G33" i="5"/>
  <c r="I33" i="5" s="1"/>
  <c r="G47" i="5"/>
  <c r="I47" i="5" s="1"/>
  <c r="G12" i="5"/>
  <c r="F950" i="3"/>
  <c r="H950" i="3" s="1"/>
  <c r="I981" i="10"/>
  <c r="G1103" i="4"/>
  <c r="G848" i="4"/>
  <c r="I848" i="4" s="1"/>
  <c r="G260" i="4" l="1"/>
  <c r="I260" i="4" s="1"/>
  <c r="G1118" i="4"/>
  <c r="G482" i="4"/>
  <c r="I482" i="4" s="1"/>
  <c r="G347" i="4"/>
  <c r="I347" i="4" s="1"/>
  <c r="G1115" i="15"/>
  <c r="G434" i="5"/>
  <c r="I434" i="5" s="1"/>
  <c r="G514" i="4"/>
  <c r="I514" i="4" s="1"/>
  <c r="F260" i="3"/>
  <c r="H260" i="3" s="1"/>
  <c r="G30" i="6"/>
  <c r="I31" i="6"/>
  <c r="G719" i="5"/>
  <c r="I719" i="5" s="1"/>
  <c r="G545" i="5"/>
  <c r="G544" i="5" s="1"/>
  <c r="I544" i="5" s="1"/>
  <c r="G250" i="5"/>
  <c r="I250" i="5" s="1"/>
  <c r="G138" i="5"/>
  <c r="I138" i="5" s="1"/>
  <c r="F713" i="3"/>
  <c r="H713" i="3" s="1"/>
  <c r="G610" i="15"/>
  <c r="G609" i="15" s="1"/>
  <c r="G439" i="4"/>
  <c r="I439" i="4" s="1"/>
  <c r="I440" i="4"/>
  <c r="G877" i="4"/>
  <c r="I877" i="4" s="1"/>
  <c r="I908" i="4"/>
  <c r="G11" i="4"/>
  <c r="I11" i="4" s="1"/>
  <c r="I12" i="4"/>
  <c r="G220" i="4"/>
  <c r="I220" i="4" s="1"/>
  <c r="I221" i="4"/>
  <c r="G49" i="4"/>
  <c r="I49" i="4" s="1"/>
  <c r="I50" i="4"/>
  <c r="G538" i="4"/>
  <c r="I538" i="4" s="1"/>
  <c r="I539" i="4"/>
  <c r="G1117" i="4"/>
  <c r="I786" i="4"/>
  <c r="G127" i="4"/>
  <c r="I127" i="4" s="1"/>
  <c r="I128" i="4"/>
  <c r="G194" i="4"/>
  <c r="I194" i="4" s="1"/>
  <c r="I195" i="4"/>
  <c r="G184" i="4"/>
  <c r="I184" i="4" s="1"/>
  <c r="I185" i="4"/>
  <c r="G327" i="4"/>
  <c r="I327" i="4" s="1"/>
  <c r="I328" i="4"/>
  <c r="G530" i="4"/>
  <c r="I530" i="4" s="1"/>
  <c r="G863" i="4"/>
  <c r="I863" i="4" s="1"/>
  <c r="I864" i="4"/>
  <c r="G165" i="4"/>
  <c r="I165" i="4" s="1"/>
  <c r="I166" i="4"/>
  <c r="G280" i="4"/>
  <c r="I280" i="4" s="1"/>
  <c r="I281" i="4"/>
  <c r="G598" i="4"/>
  <c r="I598" i="4" s="1"/>
  <c r="I599" i="4"/>
  <c r="I458" i="5"/>
  <c r="G203" i="5"/>
  <c r="I203" i="5" s="1"/>
  <c r="I204" i="5"/>
  <c r="G753" i="5"/>
  <c r="I753" i="5" s="1"/>
  <c r="I754" i="5"/>
  <c r="G598" i="5"/>
  <c r="I605" i="5"/>
  <c r="G731" i="5"/>
  <c r="I731" i="5" s="1"/>
  <c r="I732" i="5"/>
  <c r="I505" i="5"/>
  <c r="G504" i="5"/>
  <c r="G124" i="5"/>
  <c r="I125" i="5"/>
  <c r="G101" i="5"/>
  <c r="I101" i="5" s="1"/>
  <c r="I102" i="5"/>
  <c r="G638" i="5"/>
  <c r="I643" i="5"/>
  <c r="F639" i="3"/>
  <c r="H639" i="3" s="1"/>
  <c r="H664" i="3"/>
  <c r="L242" i="3"/>
  <c r="H275" i="3"/>
  <c r="F928" i="3"/>
  <c r="H928" i="3" s="1"/>
  <c r="H929" i="3"/>
  <c r="F390" i="3"/>
  <c r="H390" i="3" s="1"/>
  <c r="H395" i="3"/>
  <c r="F940" i="3"/>
  <c r="H940" i="3" s="1"/>
  <c r="H941" i="3"/>
  <c r="L10" i="3"/>
  <c r="H61" i="3"/>
  <c r="F11" i="3"/>
  <c r="H11" i="3" s="1"/>
  <c r="H12" i="3"/>
  <c r="G766" i="15"/>
  <c r="G765" i="15" s="1"/>
  <c r="G1124" i="15"/>
  <c r="H1097" i="15"/>
  <c r="G1097" i="15"/>
  <c r="G359" i="15"/>
  <c r="G1139" i="15" s="1"/>
  <c r="F613" i="3"/>
  <c r="G1101" i="4"/>
  <c r="H609" i="15"/>
  <c r="G140" i="16"/>
  <c r="I13" i="14"/>
  <c r="I64" i="14"/>
  <c r="G161" i="5"/>
  <c r="I161" i="5" s="1"/>
  <c r="G178" i="5"/>
  <c r="I178" i="5" s="1"/>
  <c r="G550" i="15"/>
  <c r="G549" i="15" s="1"/>
  <c r="G53" i="15"/>
  <c r="G52" i="15" s="1"/>
  <c r="G32" i="15" s="1"/>
  <c r="G1111" i="4"/>
  <c r="H766" i="15"/>
  <c r="H765" i="15" s="1"/>
  <c r="H550" i="15"/>
  <c r="H549" i="15" s="1"/>
  <c r="G692" i="15"/>
  <c r="G691" i="15" s="1"/>
  <c r="H406" i="16"/>
  <c r="H206" i="15"/>
  <c r="H205" i="15" s="1"/>
  <c r="H191" i="15" s="1"/>
  <c r="G206" i="15"/>
  <c r="G205" i="15" s="1"/>
  <c r="G191" i="15" s="1"/>
  <c r="G1107" i="15" s="1"/>
  <c r="G1108" i="15" s="1"/>
  <c r="G257" i="5"/>
  <c r="I257" i="5" s="1"/>
  <c r="F473" i="3"/>
  <c r="H473" i="3" s="1"/>
  <c r="H721" i="15"/>
  <c r="H720" i="15" s="1"/>
  <c r="G294" i="15"/>
  <c r="H295" i="15"/>
  <c r="H294" i="15" s="1"/>
  <c r="G435" i="15"/>
  <c r="G434" i="15" s="1"/>
  <c r="G411" i="15" s="1"/>
  <c r="H435" i="15"/>
  <c r="H434" i="15" s="1"/>
  <c r="H411" i="15" s="1"/>
  <c r="H53" i="15"/>
  <c r="H52" i="15" s="1"/>
  <c r="H861" i="16"/>
  <c r="H140" i="16"/>
  <c r="G1114" i="4"/>
  <c r="H546" i="16"/>
  <c r="H545" i="16" s="1"/>
  <c r="H544" i="16" s="1"/>
  <c r="H464" i="16" s="1"/>
  <c r="L464" i="16" s="1"/>
  <c r="G953" i="15"/>
  <c r="G516" i="15"/>
  <c r="G507" i="15" s="1"/>
  <c r="G489" i="15" s="1"/>
  <c r="G488" i="15" s="1"/>
  <c r="H516" i="15"/>
  <c r="H507" i="15" s="1"/>
  <c r="H489" i="15" s="1"/>
  <c r="H488" i="15" s="1"/>
  <c r="G63" i="14"/>
  <c r="G46" i="14" s="1"/>
  <c r="G45" i="14" s="1"/>
  <c r="E14" i="13" s="1"/>
  <c r="H448" i="15"/>
  <c r="H447" i="15" s="1"/>
  <c r="G448" i="15"/>
  <c r="G447" i="15" s="1"/>
  <c r="G499" i="4"/>
  <c r="I499" i="4" s="1"/>
  <c r="G369" i="14"/>
  <c r="G368" i="14" s="1"/>
  <c r="G755" i="4"/>
  <c r="I755" i="4" s="1"/>
  <c r="G159" i="14"/>
  <c r="G235" i="15"/>
  <c r="G234" i="15" s="1"/>
  <c r="G218" i="15" s="1"/>
  <c r="H235" i="15"/>
  <c r="H234" i="15" s="1"/>
  <c r="H218" i="15" s="1"/>
  <c r="G716" i="14"/>
  <c r="G715" i="14" s="1"/>
  <c r="G149" i="14"/>
  <c r="F149" i="14"/>
  <c r="G933" i="14"/>
  <c r="G932" i="14" s="1"/>
  <c r="H740" i="15"/>
  <c r="H729" i="15" s="1"/>
  <c r="G1016" i="15"/>
  <c r="G1003" i="15" s="1"/>
  <c r="H339" i="15"/>
  <c r="H338" i="15" s="1"/>
  <c r="H337" i="15" s="1"/>
  <c r="H1047" i="15"/>
  <c r="H1046" i="15" s="1"/>
  <c r="H953" i="15"/>
  <c r="H1016" i="15"/>
  <c r="H1003" i="15" s="1"/>
  <c r="H919" i="15"/>
  <c r="H889" i="15" s="1"/>
  <c r="F46" i="14"/>
  <c r="F45" i="14" s="1"/>
  <c r="G803" i="15"/>
  <c r="G740" i="15"/>
  <c r="G729" i="15" s="1"/>
  <c r="G1047" i="15"/>
  <c r="G339" i="15"/>
  <c r="G338" i="15" s="1"/>
  <c r="G337" i="15" s="1"/>
  <c r="G919" i="15"/>
  <c r="G889" i="15" s="1"/>
  <c r="G742" i="14"/>
  <c r="E39" i="13" s="1"/>
  <c r="D39" i="13"/>
  <c r="G726" i="14"/>
  <c r="F726" i="14"/>
  <c r="G233" i="14"/>
  <c r="G232" i="14" s="1"/>
  <c r="G231" i="14" s="1"/>
  <c r="F233" i="14"/>
  <c r="F232" i="14" s="1"/>
  <c r="F231" i="14" s="1"/>
  <c r="G365" i="14"/>
  <c r="G364" i="14" s="1"/>
  <c r="F364" i="14"/>
  <c r="G666" i="14"/>
  <c r="G644" i="14" s="1"/>
  <c r="F644" i="14"/>
  <c r="G709" i="14"/>
  <c r="F709" i="14"/>
  <c r="G318" i="14"/>
  <c r="G317" i="14" s="1"/>
  <c r="G316" i="14" s="1"/>
  <c r="G315" i="14" s="1"/>
  <c r="E28" i="13" s="1"/>
  <c r="F317" i="14"/>
  <c r="F316" i="14" s="1"/>
  <c r="F315" i="14" s="1"/>
  <c r="D28" i="13" s="1"/>
  <c r="G457" i="14"/>
  <c r="F457" i="14"/>
  <c r="G919" i="14"/>
  <c r="G918" i="14" s="1"/>
  <c r="F919" i="14"/>
  <c r="F918" i="14" s="1"/>
  <c r="G945" i="14"/>
  <c r="G944" i="14" s="1"/>
  <c r="F945" i="14"/>
  <c r="F944" i="14" s="1"/>
  <c r="G874" i="14"/>
  <c r="G873" i="14" s="1"/>
  <c r="G872" i="14" s="1"/>
  <c r="E45" i="13" s="1"/>
  <c r="F874" i="14"/>
  <c r="F873" i="14" s="1"/>
  <c r="F872" i="14" s="1"/>
  <c r="D45" i="13" s="1"/>
  <c r="G208" i="14"/>
  <c r="G209" i="14"/>
  <c r="G966" i="14"/>
  <c r="G965" i="14" s="1"/>
  <c r="G952" i="14" s="1"/>
  <c r="F966" i="14"/>
  <c r="F965" i="14" s="1"/>
  <c r="F952" i="14" s="1"/>
  <c r="G265" i="14"/>
  <c r="G264" i="14" s="1"/>
  <c r="G263" i="14" s="1"/>
  <c r="F265" i="14"/>
  <c r="F264" i="14" s="1"/>
  <c r="F263" i="14" s="1"/>
  <c r="D24" i="13" s="1"/>
  <c r="F438" i="14"/>
  <c r="F439" i="14"/>
  <c r="G626" i="14"/>
  <c r="F626" i="14"/>
  <c r="G699" i="14"/>
  <c r="G691" i="14" s="1"/>
  <c r="G690" i="14" s="1"/>
  <c r="F699" i="14"/>
  <c r="F691" i="14" s="1"/>
  <c r="F690" i="14" s="1"/>
  <c r="G373" i="14"/>
  <c r="G372" i="14" s="1"/>
  <c r="F372" i="14"/>
  <c r="G169" i="14"/>
  <c r="G168" i="14" s="1"/>
  <c r="F169" i="14"/>
  <c r="F168" i="14" s="1"/>
  <c r="G640" i="14"/>
  <c r="F640" i="14"/>
  <c r="H693" i="15"/>
  <c r="H692" i="15" s="1"/>
  <c r="H691" i="15" s="1"/>
  <c r="G285" i="14"/>
  <c r="G284" i="14" s="1"/>
  <c r="G283" i="14" s="1"/>
  <c r="E26" i="13" s="1"/>
  <c r="F285" i="14"/>
  <c r="F284" i="14" s="1"/>
  <c r="F283" i="14" s="1"/>
  <c r="D26" i="13" s="1"/>
  <c r="G252" i="14"/>
  <c r="G251" i="14" s="1"/>
  <c r="G250" i="14" s="1"/>
  <c r="F252" i="14"/>
  <c r="F251" i="14" s="1"/>
  <c r="F250" i="14" s="1"/>
  <c r="G107" i="14"/>
  <c r="G106" i="14" s="1"/>
  <c r="E15" i="13" s="1"/>
  <c r="F107" i="14"/>
  <c r="F106" i="14" s="1"/>
  <c r="D15" i="13" s="1"/>
  <c r="G30" i="14"/>
  <c r="G29" i="14" s="1"/>
  <c r="E13" i="13" s="1"/>
  <c r="F30" i="14"/>
  <c r="F29" i="14" s="1"/>
  <c r="G464" i="14"/>
  <c r="F464" i="14"/>
  <c r="G992" i="4"/>
  <c r="I992" i="4" s="1"/>
  <c r="G445" i="14"/>
  <c r="G444" i="14" s="1"/>
  <c r="F445" i="14"/>
  <c r="F444" i="14" s="1"/>
  <c r="H803" i="15"/>
  <c r="G925" i="14"/>
  <c r="G924" i="14" s="1"/>
  <c r="F925" i="14"/>
  <c r="F924" i="14" s="1"/>
  <c r="G730" i="14"/>
  <c r="F730" i="14"/>
  <c r="G807" i="14"/>
  <c r="G806" i="14" s="1"/>
  <c r="G795" i="14" s="1"/>
  <c r="F807" i="14"/>
  <c r="F806" i="14" s="1"/>
  <c r="F795" i="14" s="1"/>
  <c r="G217" i="5"/>
  <c r="I217" i="5" s="1"/>
  <c r="G231" i="5"/>
  <c r="I231" i="5" s="1"/>
  <c r="G513" i="4"/>
  <c r="I513" i="4" s="1"/>
  <c r="G1030" i="4"/>
  <c r="I1030" i="4" s="1"/>
  <c r="G426" i="4"/>
  <c r="G719" i="4"/>
  <c r="I719" i="4" s="1"/>
  <c r="G821" i="4"/>
  <c r="I821" i="4" s="1"/>
  <c r="G231" i="4"/>
  <c r="G207" i="4"/>
  <c r="I207" i="4" s="1"/>
  <c r="H1124" i="15"/>
  <c r="G1119" i="4"/>
  <c r="G1115" i="4"/>
  <c r="G32" i="4"/>
  <c r="I32" i="4" s="1"/>
  <c r="H1146" i="15"/>
  <c r="G1146" i="15"/>
  <c r="G842" i="4"/>
  <c r="I842" i="4" s="1"/>
  <c r="H1134" i="15"/>
  <c r="G1134" i="15"/>
  <c r="G791" i="4"/>
  <c r="I791" i="4" s="1"/>
  <c r="G1055" i="4"/>
  <c r="G259" i="4"/>
  <c r="I259" i="4" s="1"/>
  <c r="G293" i="5"/>
  <c r="G834" i="4"/>
  <c r="I834" i="4" s="1"/>
  <c r="G46" i="5"/>
  <c r="I46" i="5" s="1"/>
  <c r="G780" i="5"/>
  <c r="I780" i="5" s="1"/>
  <c r="G157" i="4"/>
  <c r="I157" i="4" s="1"/>
  <c r="G868" i="5"/>
  <c r="I868" i="5" s="1"/>
  <c r="G705" i="5"/>
  <c r="I705" i="5" s="1"/>
  <c r="G818" i="5"/>
  <c r="I818" i="5" s="1"/>
  <c r="G830" i="5"/>
  <c r="I830" i="5" s="1"/>
  <c r="G440" i="5"/>
  <c r="I440" i="5" s="1"/>
  <c r="G433" i="5"/>
  <c r="I433" i="5" s="1"/>
  <c r="G63" i="5"/>
  <c r="I63" i="5" s="1"/>
  <c r="G838" i="5"/>
  <c r="I838" i="5" s="1"/>
  <c r="G390" i="5"/>
  <c r="I390" i="5" s="1"/>
  <c r="G391" i="5"/>
  <c r="I391" i="5" s="1"/>
  <c r="G285" i="5"/>
  <c r="I285" i="5" s="1"/>
  <c r="G300" i="5"/>
  <c r="G422" i="5"/>
  <c r="I422" i="5" s="1"/>
  <c r="G406" i="5"/>
  <c r="I406" i="5" s="1"/>
  <c r="G19" i="5"/>
  <c r="I19" i="5" s="1"/>
  <c r="G853" i="5"/>
  <c r="I853" i="5" s="1"/>
  <c r="G854" i="5"/>
  <c r="I854" i="5" s="1"/>
  <c r="G847" i="5"/>
  <c r="I847" i="5" s="1"/>
  <c r="G726" i="5"/>
  <c r="I726" i="5" s="1"/>
  <c r="G474" i="5"/>
  <c r="G400" i="5"/>
  <c r="I400" i="5" s="1"/>
  <c r="G824" i="5"/>
  <c r="I824" i="5" s="1"/>
  <c r="G712" i="5"/>
  <c r="I712" i="5" s="1"/>
  <c r="G364" i="5"/>
  <c r="F28" i="3"/>
  <c r="H28" i="3" s="1"/>
  <c r="F350" i="3"/>
  <c r="F920" i="3"/>
  <c r="H920" i="3" s="1"/>
  <c r="F870" i="3"/>
  <c r="H870" i="3" s="1"/>
  <c r="F949" i="3"/>
  <c r="H949" i="3" s="1"/>
  <c r="F435" i="3"/>
  <c r="H435" i="3" s="1"/>
  <c r="F254" i="3"/>
  <c r="H254" i="3" s="1"/>
  <c r="F225" i="3"/>
  <c r="H225" i="3" s="1"/>
  <c r="F306" i="3"/>
  <c r="H306" i="3" s="1"/>
  <c r="F447" i="3"/>
  <c r="H447" i="3" s="1"/>
  <c r="F244" i="3"/>
  <c r="H244" i="3" s="1"/>
  <c r="F820" i="3"/>
  <c r="H820" i="3" s="1"/>
  <c r="F839" i="3"/>
  <c r="F807" i="3"/>
  <c r="H807" i="3" s="1"/>
  <c r="F914" i="3"/>
  <c r="H914" i="3" s="1"/>
  <c r="F105" i="3"/>
  <c r="H105" i="3" s="1"/>
  <c r="F583" i="3"/>
  <c r="H583" i="3" s="1"/>
  <c r="F170" i="3"/>
  <c r="H170" i="3" s="1"/>
  <c r="F141" i="3"/>
  <c r="H141" i="3" s="1"/>
  <c r="F689" i="3"/>
  <c r="H689" i="3" s="1"/>
  <c r="F723" i="3"/>
  <c r="H723" i="3" s="1"/>
  <c r="F961" i="3"/>
  <c r="H961" i="3" s="1"/>
  <c r="F274" i="3"/>
  <c r="H274" i="3" s="1"/>
  <c r="F44" i="3"/>
  <c r="H44" i="3" s="1"/>
  <c r="H1142" i="15"/>
  <c r="G1142" i="15"/>
  <c r="G559" i="5"/>
  <c r="I559" i="5" s="1"/>
  <c r="F259" i="3" l="1"/>
  <c r="H259" i="3" s="1"/>
  <c r="G249" i="5"/>
  <c r="I249" i="5" s="1"/>
  <c r="G183" i="4"/>
  <c r="I183" i="4" s="1"/>
  <c r="G100" i="5"/>
  <c r="I100" i="5" s="1"/>
  <c r="G10" i="4"/>
  <c r="I10" i="4" s="1"/>
  <c r="G718" i="5"/>
  <c r="I718" i="5" s="1"/>
  <c r="I545" i="5"/>
  <c r="G29" i="6"/>
  <c r="I30" i="6"/>
  <c r="G752" i="5"/>
  <c r="I752" i="5" s="1"/>
  <c r="D13" i="2"/>
  <c r="F13" i="2" s="1"/>
  <c r="G164" i="4"/>
  <c r="I164" i="4" s="1"/>
  <c r="G1038" i="4"/>
  <c r="I1038" i="4" s="1"/>
  <c r="I1055" i="4"/>
  <c r="G403" i="4"/>
  <c r="I403" i="4" s="1"/>
  <c r="I426" i="4"/>
  <c r="G230" i="4"/>
  <c r="I230" i="4" s="1"/>
  <c r="I231" i="4"/>
  <c r="G503" i="5"/>
  <c r="I504" i="5"/>
  <c r="G597" i="5"/>
  <c r="I597" i="5" s="1"/>
  <c r="I598" i="5"/>
  <c r="G356" i="5"/>
  <c r="I356" i="5" s="1"/>
  <c r="I364" i="5"/>
  <c r="G292" i="5"/>
  <c r="I292" i="5" s="1"/>
  <c r="I293" i="5"/>
  <c r="G457" i="5"/>
  <c r="I474" i="5"/>
  <c r="G299" i="5"/>
  <c r="I299" i="5" s="1"/>
  <c r="I300" i="5"/>
  <c r="G637" i="5"/>
  <c r="I638" i="5"/>
  <c r="G106" i="5"/>
  <c r="I106" i="5" s="1"/>
  <c r="I124" i="5"/>
  <c r="F838" i="3"/>
  <c r="H838" i="3" s="1"/>
  <c r="H839" i="3"/>
  <c r="F319" i="3"/>
  <c r="H319" i="3" s="1"/>
  <c r="H350" i="3"/>
  <c r="F612" i="3"/>
  <c r="H612" i="3" s="1"/>
  <c r="H613" i="3"/>
  <c r="G1102" i="15"/>
  <c r="G1103" i="15" s="1"/>
  <c r="G358" i="15"/>
  <c r="F582" i="3"/>
  <c r="L471" i="3"/>
  <c r="G764" i="15"/>
  <c r="G31" i="15"/>
  <c r="D14" i="13"/>
  <c r="I45" i="14"/>
  <c r="I7" i="14"/>
  <c r="H32" i="15"/>
  <c r="H31" i="15" s="1"/>
  <c r="H45" i="14"/>
  <c r="G31" i="4"/>
  <c r="I31" i="4" s="1"/>
  <c r="G548" i="15"/>
  <c r="I1098" i="15"/>
  <c r="H1139" i="15"/>
  <c r="J1098" i="15"/>
  <c r="G754" i="4"/>
  <c r="I754" i="4" s="1"/>
  <c r="G1132" i="15"/>
  <c r="J474" i="5"/>
  <c r="G160" i="5"/>
  <c r="G216" i="5"/>
  <c r="I216" i="5" s="1"/>
  <c r="G621" i="14"/>
  <c r="G620" i="14" s="1"/>
  <c r="F621" i="14"/>
  <c r="F620" i="14" s="1"/>
  <c r="E40" i="13"/>
  <c r="E38" i="13" s="1"/>
  <c r="D40" i="13"/>
  <c r="D38" i="13" s="1"/>
  <c r="H446" i="15"/>
  <c r="H445" i="15" s="1"/>
  <c r="H1119" i="15" s="1"/>
  <c r="D33" i="13"/>
  <c r="G446" i="15"/>
  <c r="G445" i="15" s="1"/>
  <c r="G1119" i="15" s="1"/>
  <c r="G1120" i="15" s="1"/>
  <c r="G1046" i="15"/>
  <c r="E33" i="13"/>
  <c r="G893" i="16"/>
  <c r="E24" i="13"/>
  <c r="G249" i="14"/>
  <c r="G293" i="15"/>
  <c r="H293" i="15"/>
  <c r="G357" i="15"/>
  <c r="G1116" i="15" s="1"/>
  <c r="G1117" i="15" s="1"/>
  <c r="F836" i="14"/>
  <c r="F689" i="14"/>
  <c r="D36" i="13" s="1"/>
  <c r="G230" i="14"/>
  <c r="E21" i="13"/>
  <c r="E20" i="13" s="1"/>
  <c r="G725" i="14"/>
  <c r="G714" i="14" s="1"/>
  <c r="E37" i="13" s="1"/>
  <c r="G689" i="14"/>
  <c r="E36" i="13" s="1"/>
  <c r="F923" i="14"/>
  <c r="D48" i="13" s="1"/>
  <c r="H874" i="15"/>
  <c r="H831" i="15" s="1"/>
  <c r="H548" i="15"/>
  <c r="H537" i="15" s="1"/>
  <c r="D21" i="13"/>
  <c r="D20" i="13" s="1"/>
  <c r="F230" i="14"/>
  <c r="F725" i="14"/>
  <c r="F714" i="14" s="1"/>
  <c r="H764" i="15"/>
  <c r="H756" i="15" s="1"/>
  <c r="H357" i="15"/>
  <c r="G923" i="14"/>
  <c r="E48" i="13" s="1"/>
  <c r="G836" i="14"/>
  <c r="G829" i="14" s="1"/>
  <c r="G456" i="14"/>
  <c r="G443" i="14" s="1"/>
  <c r="E31" i="13" s="1"/>
  <c r="G874" i="15"/>
  <c r="F456" i="14"/>
  <c r="F443" i="14" s="1"/>
  <c r="D31" i="13" s="1"/>
  <c r="F951" i="14"/>
  <c r="D50" i="13"/>
  <c r="D49" i="13" s="1"/>
  <c r="G951" i="14"/>
  <c r="E50" i="13"/>
  <c r="E49" i="13" s="1"/>
  <c r="G438" i="14"/>
  <c r="G439" i="14"/>
  <c r="F359" i="14"/>
  <c r="F393" i="14"/>
  <c r="D30" i="13" s="1"/>
  <c r="G359" i="14"/>
  <c r="G137" i="14"/>
  <c r="F137" i="14"/>
  <c r="F136" i="14" s="1"/>
  <c r="D23" i="13"/>
  <c r="D22" i="13" s="1"/>
  <c r="F249" i="14"/>
  <c r="E23" i="13"/>
  <c r="D13" i="13"/>
  <c r="F434" i="3"/>
  <c r="H434" i="3" s="1"/>
  <c r="G629" i="5"/>
  <c r="G326" i="4"/>
  <c r="H1143" i="15"/>
  <c r="G1143" i="15"/>
  <c r="G942" i="4"/>
  <c r="G1113" i="4"/>
  <c r="G820" i="4"/>
  <c r="I820" i="4" s="1"/>
  <c r="G841" i="4"/>
  <c r="G681" i="4"/>
  <c r="I681" i="4" s="1"/>
  <c r="H1147" i="15"/>
  <c r="G1147" i="15"/>
  <c r="G481" i="4"/>
  <c r="I481" i="4" s="1"/>
  <c r="G1029" i="4"/>
  <c r="I1029" i="4" s="1"/>
  <c r="G1079" i="4"/>
  <c r="G713" i="4"/>
  <c r="I713" i="4" s="1"/>
  <c r="G1105" i="4"/>
  <c r="G438" i="4"/>
  <c r="I438" i="4" s="1"/>
  <c r="G1104" i="4"/>
  <c r="G711" i="5"/>
  <c r="I711" i="5" s="1"/>
  <c r="G18" i="5"/>
  <c r="I18" i="5" s="1"/>
  <c r="G837" i="5"/>
  <c r="I837" i="5" s="1"/>
  <c r="G432" i="5"/>
  <c r="I432" i="5" s="1"/>
  <c r="G399" i="5"/>
  <c r="I399" i="5" s="1"/>
  <c r="G845" i="5"/>
  <c r="I845" i="5" s="1"/>
  <c r="G846" i="5"/>
  <c r="I846" i="5" s="1"/>
  <c r="G860" i="5"/>
  <c r="I860" i="5" s="1"/>
  <c r="G689" i="5"/>
  <c r="I689" i="5" s="1"/>
  <c r="G704" i="5"/>
  <c r="I704" i="5" s="1"/>
  <c r="G45" i="5"/>
  <c r="I45" i="5" s="1"/>
  <c r="G99" i="5"/>
  <c r="I99" i="5" s="1"/>
  <c r="G62" i="5"/>
  <c r="I62" i="5" s="1"/>
  <c r="G791" i="5"/>
  <c r="G717" i="5"/>
  <c r="I717" i="5" s="1"/>
  <c r="G725" i="5"/>
  <c r="I725" i="5" s="1"/>
  <c r="G421" i="5"/>
  <c r="I421" i="5" s="1"/>
  <c r="G439" i="5"/>
  <c r="I439" i="5" s="1"/>
  <c r="G1078" i="4"/>
  <c r="G256" i="5"/>
  <c r="I256" i="5" s="1"/>
  <c r="F224" i="3"/>
  <c r="H224" i="3" s="1"/>
  <c r="F169" i="3"/>
  <c r="H169" i="3" s="1"/>
  <c r="F243" i="3"/>
  <c r="H243" i="3" s="1"/>
  <c r="F305" i="3"/>
  <c r="H305" i="3" s="1"/>
  <c r="F253" i="3"/>
  <c r="H253" i="3" s="1"/>
  <c r="F948" i="3"/>
  <c r="H948" i="3" s="1"/>
  <c r="F919" i="3"/>
  <c r="H919" i="3" s="1"/>
  <c r="F712" i="3"/>
  <c r="H712" i="3" s="1"/>
  <c r="F740" i="3"/>
  <c r="H740" i="3" s="1"/>
  <c r="F104" i="3"/>
  <c r="H104" i="3" s="1"/>
  <c r="F43" i="3"/>
  <c r="H43" i="3" s="1"/>
  <c r="F273" i="3"/>
  <c r="H273" i="3" s="1"/>
  <c r="F688" i="3"/>
  <c r="H688" i="3" s="1"/>
  <c r="F908" i="3"/>
  <c r="H908" i="3" s="1"/>
  <c r="F819" i="3"/>
  <c r="F869" i="3"/>
  <c r="H869" i="3" s="1"/>
  <c r="F27" i="3"/>
  <c r="H27" i="3" s="1"/>
  <c r="I991" i="10"/>
  <c r="D27" i="2" l="1"/>
  <c r="F27" i="2" s="1"/>
  <c r="I29" i="6"/>
  <c r="G47" i="6"/>
  <c r="I47" i="6" s="1"/>
  <c r="G279" i="4"/>
  <c r="I279" i="4" s="1"/>
  <c r="I326" i="4"/>
  <c r="G1080" i="4"/>
  <c r="I841" i="4"/>
  <c r="F837" i="3"/>
  <c r="H837" i="3" s="1"/>
  <c r="G862" i="4"/>
  <c r="I942" i="4"/>
  <c r="I629" i="5"/>
  <c r="G159" i="5"/>
  <c r="I159" i="5" s="1"/>
  <c r="I160" i="5"/>
  <c r="N791" i="5"/>
  <c r="I791" i="5"/>
  <c r="G636" i="5"/>
  <c r="I636" i="5" s="1"/>
  <c r="I637" i="5"/>
  <c r="I457" i="5"/>
  <c r="G502" i="5"/>
  <c r="I502" i="5" s="1"/>
  <c r="I503" i="5"/>
  <c r="J458" i="5"/>
  <c r="F796" i="3"/>
  <c r="H796" i="3" s="1"/>
  <c r="H819" i="3"/>
  <c r="F530" i="3"/>
  <c r="H530" i="3" s="1"/>
  <c r="H582" i="3"/>
  <c r="G537" i="15"/>
  <c r="G1113" i="15"/>
  <c r="G1114" i="15" s="1"/>
  <c r="G756" i="15"/>
  <c r="G1122" i="15"/>
  <c r="G1123" i="15" s="1"/>
  <c r="G831" i="15"/>
  <c r="G1110" i="15"/>
  <c r="G137" i="5"/>
  <c r="I137" i="5" s="1"/>
  <c r="G480" i="4"/>
  <c r="I480" i="4" s="1"/>
  <c r="G136" i="14"/>
  <c r="G9" i="14" s="1"/>
  <c r="F829" i="14"/>
  <c r="H830" i="14" s="1"/>
  <c r="H1102" i="15"/>
  <c r="G398" i="5"/>
  <c r="I398" i="5" s="1"/>
  <c r="E43" i="13"/>
  <c r="E41" i="13" s="1"/>
  <c r="I830" i="14"/>
  <c r="D37" i="13"/>
  <c r="G346" i="4"/>
  <c r="I346" i="4" s="1"/>
  <c r="G537" i="4"/>
  <c r="I537" i="4" s="1"/>
  <c r="E35" i="13"/>
  <c r="G242" i="15"/>
  <c r="H242" i="15"/>
  <c r="H1094" i="15" s="1"/>
  <c r="H1096" i="15" s="1"/>
  <c r="D17" i="13"/>
  <c r="D11" i="13" s="1"/>
  <c r="F9" i="14"/>
  <c r="E22" i="13"/>
  <c r="F329" i="14"/>
  <c r="D29" i="13" s="1"/>
  <c r="D27" i="13" s="1"/>
  <c r="G329" i="14"/>
  <c r="E29" i="13" s="1"/>
  <c r="F741" i="14"/>
  <c r="H742" i="14" s="1"/>
  <c r="G741" i="14"/>
  <c r="I742" i="14" s="1"/>
  <c r="D35" i="13"/>
  <c r="G393" i="14"/>
  <c r="E30" i="13" s="1"/>
  <c r="D43" i="13"/>
  <c r="D41" i="13" s="1"/>
  <c r="F472" i="3"/>
  <c r="G1110" i="4"/>
  <c r="G1123" i="4" s="1"/>
  <c r="G879" i="5" s="1"/>
  <c r="G1081" i="4"/>
  <c r="G1141" i="15"/>
  <c r="H1141" i="15"/>
  <c r="G1037" i="4"/>
  <c r="I1037" i="4" s="1"/>
  <c r="G229" i="4"/>
  <c r="H1133" i="15"/>
  <c r="G1133" i="15"/>
  <c r="H1106" i="15"/>
  <c r="G437" i="4"/>
  <c r="H1132" i="15"/>
  <c r="G844" i="5"/>
  <c r="I844" i="5" s="1"/>
  <c r="G44" i="5"/>
  <c r="I44" i="5" s="1"/>
  <c r="H1105" i="15"/>
  <c r="G724" i="5"/>
  <c r="I724" i="5" s="1"/>
  <c r="G779" i="5"/>
  <c r="I779" i="5" s="1"/>
  <c r="G98" i="5"/>
  <c r="I98" i="5" s="1"/>
  <c r="G703" i="5"/>
  <c r="I703" i="5" s="1"/>
  <c r="G710" i="5"/>
  <c r="I710" i="5" s="1"/>
  <c r="G61" i="5"/>
  <c r="I61" i="5" s="1"/>
  <c r="G688" i="5"/>
  <c r="I688" i="5" s="1"/>
  <c r="G852" i="5"/>
  <c r="I852" i="5" s="1"/>
  <c r="G10" i="5"/>
  <c r="I10" i="5" s="1"/>
  <c r="D47" i="2"/>
  <c r="F47" i="2" s="1"/>
  <c r="D28" i="2"/>
  <c r="F28" i="2" s="1"/>
  <c r="D31" i="2"/>
  <c r="F31" i="2" s="1"/>
  <c r="D26" i="2"/>
  <c r="F26" i="2" s="1"/>
  <c r="F242" i="3"/>
  <c r="D25" i="2"/>
  <c r="F25" i="2" s="1"/>
  <c r="F223" i="3"/>
  <c r="H223" i="3" s="1"/>
  <c r="D23" i="2"/>
  <c r="F23" i="2" s="1"/>
  <c r="D33" i="2"/>
  <c r="F33" i="2" s="1"/>
  <c r="F384" i="3"/>
  <c r="D41" i="2"/>
  <c r="F41" i="2" s="1"/>
  <c r="F140" i="3"/>
  <c r="D14" i="2"/>
  <c r="F14" i="2" s="1"/>
  <c r="F907" i="3"/>
  <c r="H907" i="3" s="1"/>
  <c r="F687" i="3"/>
  <c r="H687" i="3" s="1"/>
  <c r="D15" i="2"/>
  <c r="F15" i="2" s="1"/>
  <c r="D16" i="2"/>
  <c r="F16" i="2" s="1"/>
  <c r="D39" i="2"/>
  <c r="F39" i="2" s="1"/>
  <c r="F947" i="3"/>
  <c r="H947" i="3" s="1"/>
  <c r="D52" i="2"/>
  <c r="F52" i="2" s="1"/>
  <c r="D30" i="2"/>
  <c r="F30" i="2" s="1"/>
  <c r="G1094" i="15" l="1"/>
  <c r="D56" i="13" s="1"/>
  <c r="F830" i="3"/>
  <c r="H830" i="3" s="1"/>
  <c r="D42" i="2"/>
  <c r="F42" i="2" s="1"/>
  <c r="G1092" i="4"/>
  <c r="I437" i="4"/>
  <c r="G1075" i="4"/>
  <c r="G1076" i="4" s="1"/>
  <c r="I229" i="4"/>
  <c r="G1083" i="4"/>
  <c r="G1084" i="4" s="1"/>
  <c r="I862" i="4"/>
  <c r="G456" i="5"/>
  <c r="G628" i="5"/>
  <c r="I628" i="5" s="1"/>
  <c r="F10" i="3"/>
  <c r="H140" i="3"/>
  <c r="D35" i="2"/>
  <c r="F35" i="2" s="1"/>
  <c r="H472" i="3"/>
  <c r="K242" i="3"/>
  <c r="H242" i="3"/>
  <c r="F304" i="3"/>
  <c r="H304" i="3" s="1"/>
  <c r="H384" i="3"/>
  <c r="G1111" i="15"/>
  <c r="G1128" i="15" s="1"/>
  <c r="G1127" i="15"/>
  <c r="E17" i="13"/>
  <c r="E11" i="13" s="1"/>
  <c r="F739" i="3"/>
  <c r="G529" i="4"/>
  <c r="I529" i="4" s="1"/>
  <c r="G1086" i="4"/>
  <c r="E56" i="13"/>
  <c r="F478" i="14"/>
  <c r="G1089" i="4"/>
  <c r="G228" i="4"/>
  <c r="I228" i="4" s="1"/>
  <c r="E27" i="13"/>
  <c r="F314" i="14"/>
  <c r="C18" i="18"/>
  <c r="D18" i="18"/>
  <c r="G314" i="14"/>
  <c r="D32" i="13"/>
  <c r="E34" i="13"/>
  <c r="E32" i="13" s="1"/>
  <c r="G478" i="14"/>
  <c r="G819" i="4"/>
  <c r="I819" i="4" s="1"/>
  <c r="H1107" i="15"/>
  <c r="H1108" i="15" s="1"/>
  <c r="H1103" i="15"/>
  <c r="H1138" i="15"/>
  <c r="H1151" i="15" s="1"/>
  <c r="G1138" i="15"/>
  <c r="G687" i="5"/>
  <c r="I687" i="5" s="1"/>
  <c r="G702" i="5"/>
  <c r="I702" i="5" s="1"/>
  <c r="G32" i="5"/>
  <c r="G68" i="5"/>
  <c r="I68" i="5" s="1"/>
  <c r="F906" i="3"/>
  <c r="H906" i="3" s="1"/>
  <c r="D38" i="2"/>
  <c r="F38" i="2" s="1"/>
  <c r="D19" i="2"/>
  <c r="D37" i="2"/>
  <c r="F37" i="2" s="1"/>
  <c r="D50" i="2"/>
  <c r="F50" i="2" s="1"/>
  <c r="D45" i="2"/>
  <c r="D51" i="2"/>
  <c r="D32" i="2"/>
  <c r="F32" i="2" s="1"/>
  <c r="D22" i="2"/>
  <c r="D24" i="2"/>
  <c r="K830" i="3" l="1"/>
  <c r="K304" i="3"/>
  <c r="D40" i="2"/>
  <c r="F40" i="2" s="1"/>
  <c r="G31" i="5"/>
  <c r="I31" i="5" s="1"/>
  <c r="I32" i="5"/>
  <c r="I456" i="5"/>
  <c r="K456" i="5"/>
  <c r="K739" i="3"/>
  <c r="H739" i="3"/>
  <c r="K10" i="3"/>
  <c r="H10" i="3"/>
  <c r="D43" i="2"/>
  <c r="F45" i="2"/>
  <c r="F22" i="2"/>
  <c r="F24" i="2"/>
  <c r="F51" i="2"/>
  <c r="D12" i="2"/>
  <c r="F19" i="2"/>
  <c r="G1129" i="15"/>
  <c r="G1087" i="4"/>
  <c r="F884" i="3"/>
  <c r="H884" i="3" s="1"/>
  <c r="L882" i="3"/>
  <c r="G1090" i="4"/>
  <c r="G1095" i="4"/>
  <c r="G1096" i="4" s="1"/>
  <c r="G746" i="4"/>
  <c r="I746" i="4" s="1"/>
  <c r="H895" i="16"/>
  <c r="G1151" i="15"/>
  <c r="G895" i="16" s="1"/>
  <c r="G897" i="16" s="1"/>
  <c r="G909" i="14"/>
  <c r="F909" i="14"/>
  <c r="H1122" i="15"/>
  <c r="H1123" i="15" s="1"/>
  <c r="H1116" i="15"/>
  <c r="H1117" i="15" s="1"/>
  <c r="H1110" i="15"/>
  <c r="H1111" i="15" s="1"/>
  <c r="H1113" i="15"/>
  <c r="H1114" i="15" s="1"/>
  <c r="G1093" i="4"/>
  <c r="D29" i="2"/>
  <c r="F529" i="3"/>
  <c r="H529" i="3" s="1"/>
  <c r="F904" i="3"/>
  <c r="H904" i="3" s="1"/>
  <c r="F29" i="2" l="1"/>
  <c r="F12" i="2"/>
  <c r="F43" i="2"/>
  <c r="G1099" i="4"/>
  <c r="G1100" i="4"/>
  <c r="H1127" i="15"/>
  <c r="H1130" i="15" s="1"/>
  <c r="G1066" i="4"/>
  <c r="I1066" i="4" s="1"/>
  <c r="F887" i="14"/>
  <c r="G887" i="14"/>
  <c r="G886" i="14" s="1"/>
  <c r="H1120" i="15"/>
  <c r="H1128" i="15" s="1"/>
  <c r="D36" i="2"/>
  <c r="F36" i="2" s="1"/>
  <c r="F471" i="3"/>
  <c r="H471" i="3" s="1"/>
  <c r="G1069" i="4" l="1"/>
  <c r="I1069" i="4" s="1"/>
  <c r="K471" i="3"/>
  <c r="C21" i="7"/>
  <c r="F886" i="14"/>
  <c r="D47" i="13" s="1"/>
  <c r="D46" i="13" s="1"/>
  <c r="D51" i="13" s="1"/>
  <c r="D58" i="2"/>
  <c r="D54" i="2"/>
  <c r="E47" i="13"/>
  <c r="E46" i="13" s="1"/>
  <c r="G885" i="14"/>
  <c r="G970" i="14" s="1"/>
  <c r="E52" i="13" s="1"/>
  <c r="F967" i="3"/>
  <c r="H1129" i="15"/>
  <c r="F883" i="3"/>
  <c r="H883" i="3" s="1"/>
  <c r="D34" i="2"/>
  <c r="F34" i="2" l="1"/>
  <c r="D58" i="13"/>
  <c r="F885" i="14"/>
  <c r="F970" i="14" s="1"/>
  <c r="D52" i="13" s="1"/>
  <c r="G1130" i="15"/>
  <c r="L1130" i="15" s="1"/>
  <c r="E51" i="13"/>
  <c r="G1096" i="15"/>
  <c r="E1095" i="15" s="1"/>
  <c r="F971" i="14"/>
  <c r="D49" i="2"/>
  <c r="F49" i="2" s="1"/>
  <c r="F882" i="3"/>
  <c r="H882" i="3" s="1"/>
  <c r="K882" i="3" l="1"/>
  <c r="E58" i="13"/>
  <c r="F972" i="14"/>
  <c r="L1128" i="15"/>
  <c r="L1095" i="15"/>
  <c r="G971" i="14"/>
  <c r="G972" i="14" s="1"/>
  <c r="D48" i="2"/>
  <c r="F48" i="2" s="1"/>
  <c r="F966" i="3"/>
  <c r="H966" i="3" s="1"/>
  <c r="D53" i="2" l="1"/>
  <c r="M1128" i="15"/>
  <c r="F968" i="3"/>
  <c r="D59" i="2" l="1"/>
  <c r="F53" i="2"/>
  <c r="D55" i="2"/>
  <c r="G877" i="5" l="1"/>
  <c r="G880" i="5" l="1"/>
  <c r="I877" i="5"/>
  <c r="D120" i="12"/>
  <c r="C121" i="12"/>
  <c r="D121" i="12" l="1"/>
  <c r="C125" i="12" l="1"/>
  <c r="C124" i="12" s="1"/>
  <c r="C127" i="12"/>
  <c r="D127" i="12" l="1"/>
  <c r="C129" i="12"/>
  <c r="D129" i="12" s="1"/>
  <c r="D117" i="12" l="1"/>
  <c r="D116" i="12" s="1"/>
  <c r="D115" i="12" s="1"/>
  <c r="D75" i="12" s="1"/>
  <c r="D74" i="12" s="1"/>
  <c r="D156" i="12" s="1"/>
  <c r="H1098" i="15" s="1"/>
  <c r="C117" i="12"/>
  <c r="H1099" i="15" l="1"/>
  <c r="F74" i="12"/>
  <c r="D155" i="12"/>
  <c r="H1100" i="15" s="1"/>
  <c r="C125" i="1"/>
  <c r="C124" i="1" l="1"/>
  <c r="E124" i="1" s="1"/>
  <c r="E125" i="1"/>
  <c r="C116" i="12"/>
  <c r="C115" i="12" s="1"/>
  <c r="C75" i="12" s="1"/>
  <c r="C74" i="12" s="1"/>
  <c r="C156" i="12" s="1"/>
  <c r="E53" i="13"/>
  <c r="E55" i="13" s="1"/>
  <c r="D17" i="18"/>
  <c r="D19" i="18" s="1"/>
  <c r="D11" i="18" s="1"/>
  <c r="D10" i="18" s="1"/>
  <c r="C80" i="1" l="1"/>
  <c r="C79" i="1" s="1"/>
  <c r="C169" i="1" s="1"/>
  <c r="G1098" i="15"/>
  <c r="G1099" i="15" s="1"/>
  <c r="C155" i="12"/>
  <c r="G1100" i="15" s="1"/>
  <c r="E74" i="12"/>
  <c r="E76" i="12" s="1"/>
  <c r="E80" i="1" l="1"/>
  <c r="G1072" i="4"/>
  <c r="E169" i="1"/>
  <c r="C171" i="1"/>
  <c r="E79" i="1"/>
  <c r="E171" i="1" s="1"/>
  <c r="C17" i="18"/>
  <c r="C19" i="18" s="1"/>
  <c r="C11" i="18" s="1"/>
  <c r="C10" i="18" s="1"/>
  <c r="D53" i="13"/>
  <c r="D55" i="13" s="1"/>
  <c r="C20" i="7"/>
  <c r="C22" i="7" s="1"/>
  <c r="C16" i="7" s="1"/>
  <c r="D56" i="2"/>
  <c r="D57" i="2" s="1"/>
  <c r="C13" i="18" l="1"/>
  <c r="C14" i="18" s="1"/>
  <c r="C13" i="7"/>
  <c r="C15" i="7"/>
  <c r="D13" i="18" l="1"/>
  <c r="D14" i="18" s="1"/>
  <c r="C12" i="18"/>
  <c r="D12" i="18" s="1"/>
  <c r="D9" i="18" s="1"/>
  <c r="C17" i="7"/>
  <c r="E17" i="7" s="1"/>
  <c r="C12" i="7"/>
  <c r="H365" i="16" l="1"/>
  <c r="H364" i="16" s="1"/>
  <c r="H356" i="16" s="1"/>
  <c r="H893" i="16" s="1"/>
  <c r="H897" i="16" s="1"/>
  <c r="C9" i="18"/>
</calcChain>
</file>

<file path=xl/comments1.xml><?xml version="1.0" encoding="utf-8"?>
<comments xmlns="http://schemas.openxmlformats.org/spreadsheetml/2006/main">
  <authors>
    <author>Автор</author>
  </authors>
  <commentList>
    <comment ref="B92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<sst xmlns="http://schemas.openxmlformats.org/spreadsheetml/2006/main" count="33233" uniqueCount="1663">
  <si>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</si>
  <si>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</si>
  <si>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</si>
  <si>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</si>
  <si>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</si>
  <si>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</si>
  <si>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</si>
  <si>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</si>
  <si>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</si>
  <si>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</si>
  <si>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</si>
  <si>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</si>
  <si>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</si>
  <si>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</si>
  <si>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</si>
  <si>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</si>
  <si>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</si>
  <si>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</si>
  <si>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</si>
  <si>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</si>
  <si>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</si>
  <si>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</si>
  <si>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</si>
  <si>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</si>
  <si>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</si>
  <si>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</si>
  <si>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</si>
  <si>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</si>
  <si>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</si>
  <si>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</si>
  <si>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</si>
  <si>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</si>
  <si>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</si>
  <si>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</si>
  <si>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</si>
  <si>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</si>
  <si>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</si>
  <si>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</si>
  <si>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</si>
  <si>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</si>
  <si>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</si>
  <si>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</si>
  <si>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</si>
  <si>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</si>
  <si>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</si>
  <si>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</si>
  <si>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</si>
  <si>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</si>
  <si>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</si>
  <si>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</si>
  <si>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</si>
  <si>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</si>
  <si>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</si>
  <si>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</si>
  <si>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</si>
  <si>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</si>
  <si>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</si>
  <si>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</si>
  <si>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</si>
  <si>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</si>
  <si>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</si>
  <si>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</si>
  <si>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</si>
  <si>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</si>
  <si>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</si>
  <si>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</si>
  <si>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</si>
  <si>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</si>
  <si>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</si>
  <si>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</si>
  <si>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</si>
  <si>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</si>
  <si>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</si>
  <si>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</si>
  <si>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</si>
  <si>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</si>
  <si>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</si>
  <si>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</si>
  <si>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</si>
  <si>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</si>
  <si>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</si>
  <si>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</si>
  <si>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</si>
  <si>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</si>
  <si>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</si>
  <si>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</si>
  <si>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</si>
  <si>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</si>
  <si>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</si>
  <si>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</si>
  <si>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</si>
  <si>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</si>
  <si>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</si>
  <si>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</si>
  <si>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</si>
  <si>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</si>
  <si>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</si>
  <si>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</si>
  <si>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</si>
  <si>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</si>
  <si>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</si>
  <si>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</si>
  <si>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</si>
  <si>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</si>
  <si>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</si>
  <si>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</si>
  <si>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</si>
  <si>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</si>
  <si>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</si>
  <si>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</si>
  <si>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</si>
  <si>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</si>
  <si>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</si>
  <si>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</si>
  <si>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</si>
  <si>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</si>
  <si>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</si>
  <si>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</si>
  <si>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</si>
  <si>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</si>
  <si>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</si>
  <si>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</si>
  <si>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</si>
  <si>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</si>
  <si>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</si>
  <si>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</si>
  <si>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</si>
  <si>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</si>
  <si>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</si>
  <si>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</si>
  <si>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</si>
  <si>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</si>
  <si>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</si>
  <si>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</si>
  <si>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</si>
  <si>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</si>
  <si>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</si>
  <si>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</si>
  <si>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</si>
  <si>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</si>
  <si>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</si>
  <si>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</si>
  <si>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</si>
  <si>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</si>
  <si>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</si>
  <si>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</si>
  <si>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</si>
  <si>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</si>
  <si>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</si>
  <si>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</si>
  <si>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</si>
  <si>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</si>
  <si>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</si>
  <si>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</si>
  <si>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</si>
  <si>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</si>
  <si>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</si>
  <si>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</si>
  <si>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</si>
  <si>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</si>
  <si>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</si>
  <si>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</si>
  <si>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</si>
  <si>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</si>
  <si>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</si>
  <si>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</si>
  <si>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</si>
  <si>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</si>
  <si>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</si>
  <si>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</si>
  <si>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</si>
  <si>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</si>
  <si>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</si>
  <si>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</si>
  <si>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</si>
  <si>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</si>
  <si>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</si>
  <si>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</si>
  <si>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</si>
  <si>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</si>
  <si>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</si>
  <si>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</si>
  <si>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</si>
  <si>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</si>
  <si>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</si>
  <si>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</si>
  <si>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</si>
  <si>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</si>
  <si>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</si>
  <si>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</si>
  <si>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</si>
  <si>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</si>
  <si>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</si>
  <si>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</si>
  <si>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</si>
  <si>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</si>
  <si>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</si>
  <si>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</si>
  <si>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</si>
  <si>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</si>
  <si>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</si>
  <si>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</si>
  <si>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</si>
  <si>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</si>
  <si>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</si>
  <si>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</si>
  <si>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</si>
  <si>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</si>
  <si>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</si>
  <si>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</si>
  <si>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</si>
  <si>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</si>
  <si>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</si>
  <si>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</si>
  <si>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</si>
  <si>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</si>
  <si>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</si>
  <si>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</si>
  <si>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</si>
  <si>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</si>
  <si>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</si>
  <si>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</si>
  <si>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</si>
  <si>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</si>
  <si>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</si>
  <si>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</si>
  <si>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</si>
  <si>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</si>
  <si>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</si>
  <si>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</si>
  <si>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</si>
  <si>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</si>
  <si>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</si>
  <si>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</si>
  <si>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</si>
  <si>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</si>
  <si>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</si>
  <si>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</si>
  <si>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</si>
  <si>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</si>
  <si>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</si>
  <si>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</si>
  <si>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</si>
  <si>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</si>
  <si>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</si>
  <si>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</si>
  <si>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</si>
  <si>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</si>
  <si>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</si>
  <si>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</si>
  <si>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</si>
  <si>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</si>
  <si>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</si>
  <si>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</si>
  <si>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</si>
  <si>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</si>
  <si>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</si>
  <si>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</si>
  <si>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</si>
  <si>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</si>
  <si>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</si>
  <si>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</si>
  <si>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</si>
  <si>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</si>
  <si>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</si>
  <si>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</si>
  <si>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</si>
  <si>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</si>
  <si>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</si>
  <si>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</si>
  <si>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</si>
  <si>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</si>
  <si>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</si>
  <si>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</si>
  <si>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</si>
  <si>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</si>
  <si>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</si>
  <si>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</si>
  <si>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</si>
  <si>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</si>
  <si>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</si>
  <si>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</si>
  <si>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</si>
  <si>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</si>
  <si>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</si>
  <si>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</si>
  <si>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</si>
  <si>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</si>
  <si>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</si>
  <si>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</si>
  <si>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</si>
  <si>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</si>
  <si>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</si>
  <si>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</si>
  <si>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</si>
  <si>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</si>
  <si>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</si>
  <si>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</si>
  <si>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</si>
  <si>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</si>
  <si>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</si>
  <si>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</si>
  <si>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</si>
  <si>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</si>
  <si>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</si>
  <si>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</si>
  <si>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</si>
  <si>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</si>
  <si>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</si>
  <si>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</si>
  <si>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</si>
  <si>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</si>
  <si>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</si>
  <si>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</si>
  <si>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</si>
  <si>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</si>
  <si>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</si>
  <si>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</si>
  <si>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</si>
  <si>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</si>
  <si>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</si>
  <si>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</si>
  <si>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</si>
  <si>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</si>
  <si>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</si>
  <si>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</si>
  <si>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</si>
  <si>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</si>
  <si>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</si>
  <si>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</si>
  <si>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</si>
  <si>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</si>
  <si>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</si>
  <si>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</si>
  <si>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</si>
  <si>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</si>
  <si>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</si>
  <si>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</si>
  <si>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</si>
  <si>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</si>
  <si>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</si>
  <si>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</si>
  <si>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</si>
  <si>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</si>
  <si>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</si>
  <si>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</si>
  <si>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</si>
  <si>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</si>
  <si>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</si>
  <si>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</si>
  <si>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</si>
  <si>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</si>
  <si>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</si>
  <si>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</si>
  <si>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</si>
  <si>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</si>
  <si>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</si>
  <si>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</si>
  <si>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</si>
  <si>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</si>
  <si>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</si>
  <si>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</si>
  <si>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</si>
  <si>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</si>
  <si>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</si>
  <si>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</si>
  <si>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</si>
  <si>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</si>
  <si>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</si>
  <si>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</si>
  <si>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</si>
  <si>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</si>
  <si>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</si>
  <si>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</si>
  <si>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</si>
  <si>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</si>
  <si>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</si>
  <si>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</si>
  <si>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</si>
  <si>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</si>
  <si>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</si>
  <si>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</si>
  <si>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</si>
  <si>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</si>
  <si>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</si>
  <si>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</si>
  <si>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</si>
  <si>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</si>
  <si>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</si>
  <si>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</si>
  <si>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</si>
  <si>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</si>
  <si>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</si>
  <si>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</si>
  <si>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</si>
  <si>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</si>
  <si>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</si>
  <si>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</si>
  <si>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</si>
  <si>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</si>
  <si>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</si>
  <si>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</si>
  <si>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</si>
  <si>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</si>
  <si>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</si>
  <si>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</si>
  <si>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</si>
  <si>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</si>
  <si>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</si>
  <si>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</si>
  <si>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</si>
  <si>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</si>
  <si>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</si>
  <si>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</si>
  <si>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</si>
  <si>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</si>
  <si>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</si>
  <si>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</si>
  <si>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</si>
  <si>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</si>
  <si>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</si>
  <si>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</si>
  <si>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</si>
  <si>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</si>
  <si>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</si>
  <si>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</si>
  <si>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</si>
  <si>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</si>
  <si>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</si>
  <si>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</si>
  <si>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</si>
  <si>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</si>
  <si>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</si>
  <si>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</si>
  <si>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</si>
  <si>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</si>
  <si>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</si>
  <si>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</si>
  <si>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</si>
  <si>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</si>
  <si>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</si>
  <si>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</si>
  <si>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</si>
  <si>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</si>
  <si>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</si>
  <si>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</si>
  <si>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</si>
  <si>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</si>
  <si>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</si>
  <si>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</si>
  <si>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</si>
  <si>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</si>
  <si>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</si>
  <si>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</si>
  <si>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</si>
  <si>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</si>
  <si>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</si>
  <si>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</si>
  <si>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</si>
  <si>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</si>
  <si>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</si>
  <si>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</si>
  <si>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</si>
  <si>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</si>
  <si>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</si>
  <si>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</si>
  <si>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</si>
  <si>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</si>
  <si>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</si>
  <si>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</si>
  <si>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</si>
  <si>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</si>
  <si>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</si>
  <si>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</si>
  <si>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</si>
  <si>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</si>
  <si>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</si>
  <si>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</si>
  <si>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</si>
  <si>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</si>
  <si>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</si>
  <si>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</si>
  <si>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</si>
  <si>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</si>
  <si>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</si>
  <si>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</si>
  <si>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</si>
  <si>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</si>
  <si>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</si>
  <si>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</si>
  <si>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</si>
  <si>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</si>
  <si>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</si>
  <si>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</si>
  <si>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</si>
  <si>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</si>
  <si>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</si>
  <si>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</si>
  <si>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</si>
  <si>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</si>
  <si>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</si>
  <si>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</si>
  <si>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</si>
  <si>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</si>
  <si>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</si>
  <si>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</si>
  <si>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</si>
  <si>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</si>
  <si>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</si>
  <si>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</si>
  <si>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</si>
  <si>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</si>
  <si>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</si>
  <si>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</si>
  <si>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</si>
  <si>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</si>
  <si>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</si>
  <si>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</si>
  <si>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</si>
  <si>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</si>
  <si>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</si>
  <si>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</si>
  <si>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</si>
  <si>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</si>
  <si>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</si>
  <si>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</si>
  <si>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</si>
  <si>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</si>
  <si>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</si>
  <si>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</si>
  <si>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</si>
  <si>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</si>
  <si>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</si>
  <si>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</si>
  <si>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</si>
  <si>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</si>
  <si>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</si>
  <si>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</si>
  <si>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</si>
  <si>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</si>
  <si>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</si>
  <si>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</si>
  <si>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</si>
  <si>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</si>
  <si>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</si>
  <si>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</si>
  <si>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</si>
  <si>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</si>
  <si>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</si>
  <si>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</si>
  <si>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</si>
  <si>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</si>
  <si>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</si>
  <si>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</si>
  <si>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</si>
  <si>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</si>
  <si>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</si>
  <si>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</si>
  <si>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</si>
  <si>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</si>
  <si>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</si>
  <si>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</si>
  <si>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</si>
  <si>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</si>
  <si>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</si>
  <si>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</si>
  <si>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</si>
  <si>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</si>
  <si>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</si>
  <si>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</si>
  <si>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</si>
  <si>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</si>
  <si>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</si>
  <si>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</si>
  <si>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</si>
  <si>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</si>
  <si>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</si>
  <si>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</si>
  <si>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</si>
  <si>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</si>
  <si>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</si>
  <si>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</si>
  <si>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</si>
  <si>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</si>
  <si>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</si>
  <si>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</si>
  <si>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</si>
  <si>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</si>
  <si>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</si>
  <si>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</si>
  <si>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</si>
  <si>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</si>
  <si>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</si>
  <si>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</si>
  <si>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</si>
  <si>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</si>
  <si>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</si>
  <si>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</si>
  <si>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</si>
  <si>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</si>
  <si>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</si>
  <si>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</si>
  <si>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</si>
  <si>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</si>
  <si>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</si>
  <si>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</si>
  <si>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</si>
  <si>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</si>
  <si>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</si>
  <si>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</si>
  <si>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</si>
  <si>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</si>
  <si>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</si>
  <si>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</si>
  <si>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</si>
  <si>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</si>
  <si>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</si>
  <si>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</si>
  <si>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</si>
  <si>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</si>
  <si>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</si>
  <si>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</si>
  <si>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</si>
  <si>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</si>
  <si>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</si>
  <si>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</si>
  <si>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</si>
  <si>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</si>
  <si>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</si>
  <si>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</si>
  <si>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</si>
  <si>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</si>
  <si>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</si>
  <si>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</si>
  <si>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</si>
  <si>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</si>
  <si>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</si>
  <si>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</si>
  <si>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</si>
  <si>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</si>
  <si>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</si>
  <si>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</si>
  <si>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</si>
  <si>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</si>
  <si>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</si>
  <si>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</si>
  <si>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</si>
  <si>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</si>
  <si>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</si>
  <si>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</si>
  <si>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</si>
  <si>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</si>
  <si>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</si>
  <si>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</si>
  <si>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</si>
  <si>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</si>
  <si>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</si>
  <si>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</si>
  <si>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</si>
  <si>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</si>
  <si>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</si>
  <si>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</si>
  <si>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</si>
  <si>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</si>
  <si>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</si>
  <si>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</si>
  <si>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</si>
  <si>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</si>
  <si>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</si>
  <si>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</si>
  <si>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</si>
  <si>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</si>
  <si>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</si>
  <si>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</si>
  <si>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</si>
  <si>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</si>
  <si>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</si>
  <si>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</si>
  <si>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</si>
  <si>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</si>
  <si>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</si>
  <si>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</si>
  <si>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</si>
  <si>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</si>
  <si>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</si>
  <si>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</si>
  <si>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</si>
  <si>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</si>
  <si>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</si>
  <si>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</si>
  <si>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</si>
  <si>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</si>
  <si>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</si>
  <si>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</si>
  <si>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</si>
  <si>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</si>
  <si>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</si>
  <si>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</si>
  <si>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</si>
  <si>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</si>
  <si>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</si>
  <si>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</si>
  <si>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</si>
  <si>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</si>
  <si>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</si>
  <si>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</si>
  <si>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</si>
  <si>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</si>
  <si>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</si>
  <si>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</si>
  <si>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</si>
  <si>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</si>
  <si>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</si>
  <si>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</si>
  <si>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</si>
  <si>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</si>
  <si>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</si>
  <si>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</si>
  <si>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</si>
  <si>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</si>
  <si>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</si>
  <si>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</si>
  <si>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</si>
  <si>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</si>
  <si>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</si>
  <si>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</si>
  <si>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</si>
  <si>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</si>
  <si>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</si>
  <si>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</si>
  <si>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</si>
  <si>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</si>
  <si>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</si>
  <si>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</si>
  <si>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</si>
  <si>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</si>
  <si>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</si>
  <si>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</si>
  <si>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</si>
  <si>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</si>
  <si>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</si>
  <si>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</si>
  <si>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</si>
  <si>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</si>
  <si>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</si>
  <si>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</si>
  <si>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</si>
  <si>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</si>
  <si>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</si>
  <si>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</si>
  <si>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</si>
  <si>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</si>
  <si>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</si>
  <si>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</si>
  <si>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</si>
  <si>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</si>
  <si>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</si>
  <si>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</si>
  <si>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</si>
  <si>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</si>
  <si>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</si>
  <si>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</si>
  <si>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</si>
  <si>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</si>
  <si>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</si>
  <si>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</si>
  <si>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</si>
  <si>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</si>
  <si>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</si>
  <si>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</si>
  <si>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</si>
  <si>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</si>
  <si>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</si>
  <si>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</si>
  <si>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</si>
  <si>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</si>
  <si>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</si>
  <si>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</si>
  <si>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</si>
  <si>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</si>
  <si>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</si>
  <si>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</si>
  <si>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</si>
  <si>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</si>
  <si>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</si>
  <si>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</si>
  <si>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</si>
  <si>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</si>
  <si>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</si>
  <si>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</si>
  <si>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</si>
  <si>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</si>
  <si>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</si>
  <si>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</si>
  <si>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</si>
  <si>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</si>
  <si>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</si>
  <si>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</si>
  <si>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</si>
  <si>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</si>
  <si>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</si>
  <si>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</si>
  <si>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</si>
  <si>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</si>
  <si>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</si>
  <si>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</si>
  <si>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</si>
  <si>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</si>
  <si>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</si>
  <si>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</si>
  <si>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</si>
  <si>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</si>
  <si>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</si>
  <si>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</si>
  <si>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</si>
  <si>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</si>
  <si>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</si>
  <si>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</si>
  <si>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</si>
  <si>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</si>
  <si>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</si>
  <si>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</si>
  <si>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</si>
  <si>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</si>
  <si>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</si>
  <si>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</si>
  <si>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</si>
  <si>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</si>
  <si>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</si>
  <si>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</si>
  <si>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</si>
  <si>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</si>
  <si>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</si>
  <si>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</si>
  <si>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</si>
  <si>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</si>
  <si>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</si>
  <si>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</si>
  <si>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</si>
  <si>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</si>
  <si>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</si>
  <si>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</si>
  <si>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</si>
  <si>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</si>
  <si>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</si>
  <si>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</si>
  <si>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</si>
  <si>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</si>
  <si>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</si>
  <si>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</si>
  <si>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</si>
  <si>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</si>
  <si>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</si>
  <si>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</si>
  <si>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</si>
  <si>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</si>
  <si>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</si>
  <si>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</si>
  <si>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</si>
  <si>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</si>
  <si>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</si>
  <si>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</si>
  <si>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</si>
  <si>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</si>
  <si>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</si>
  <si>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</si>
  <si>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</si>
  <si>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</si>
  <si>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</si>
  <si>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</si>
  <si>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</si>
  <si>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</si>
  <si>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</si>
  <si>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</si>
  <si>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</si>
  <si>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</si>
  <si>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</si>
  <si>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</si>
  <si>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</si>
  <si>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</si>
  <si>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</si>
  <si>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</si>
  <si>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</si>
  <si>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</si>
  <si>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</si>
  <si>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</si>
  <si>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</si>
  <si>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</si>
  <si>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</si>
  <si>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</si>
  <si>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</si>
  <si>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</si>
  <si>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</si>
  <si>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</si>
  <si>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</si>
  <si>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</si>
  <si>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</si>
  <si>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</si>
  <si>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</si>
  <si>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</si>
  <si>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</si>
  <si>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</si>
  <si>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</si>
  <si>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</si>
  <si>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</si>
  <si>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</si>
  <si>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</si>
  <si>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</si>
  <si>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</si>
  <si>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</si>
  <si>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</si>
  <si>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</si>
  <si>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</si>
  <si>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</si>
  <si>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</si>
  <si>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</si>
  <si>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</si>
  <si>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</si>
  <si>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</si>
  <si>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</si>
  <si>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</si>
  <si>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</si>
  <si>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</si>
  <si>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</si>
  <si>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</si>
  <si>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</si>
  <si>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</si>
  <si>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</si>
  <si>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</si>
  <si>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</si>
  <si>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</si>
  <si>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</si>
  <si>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</si>
  <si>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</si>
  <si>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</si>
  <si>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</si>
  <si>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</si>
  <si>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</si>
  <si>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</si>
  <si>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</si>
  <si>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</si>
  <si>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</si>
  <si>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</si>
  <si>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</si>
  <si>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</si>
  <si>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</si>
  <si>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</si>
  <si>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</si>
  <si>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</si>
  <si>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</si>
  <si>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</si>
  <si>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</si>
  <si>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</si>
  <si>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</si>
  <si>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</si>
  <si>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</si>
  <si>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</si>
  <si>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</si>
  <si>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</si>
  <si>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</si>
  <si>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</si>
  <si>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</si>
  <si>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</si>
  <si>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</si>
  <si>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</si>
  <si>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</si>
  <si>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</si>
  <si>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</si>
  <si>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</si>
  <si>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</si>
  <si>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</si>
  <si>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</si>
  <si>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</si>
  <si>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</si>
  <si>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</si>
  <si>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</si>
  <si>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</si>
  <si>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</si>
  <si>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</si>
  <si>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</si>
  <si>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</si>
  <si>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</si>
  <si>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</si>
  <si>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</si>
  <si>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</si>
  <si>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</si>
  <si>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</si>
  <si>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</si>
  <si>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</si>
  <si>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</si>
  <si>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</si>
  <si>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</si>
  <si>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</si>
  <si>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</si>
  <si>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</si>
  <si>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</si>
  <si>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</si>
  <si>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</si>
  <si>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</si>
  <si>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</si>
  <si>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</si>
  <si>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</si>
  <si>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</si>
  <si>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</si>
  <si>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</si>
  <si>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</si>
  <si>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</si>
  <si>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</si>
  <si>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</si>
  <si>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</si>
  <si>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</si>
  <si>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</si>
  <si>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</si>
  <si>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</si>
  <si>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</si>
  <si>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</si>
  <si>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</si>
  <si>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</si>
  <si>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</si>
  <si>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</si>
  <si>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</si>
  <si>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</si>
  <si>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</si>
  <si>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</si>
  <si>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</si>
  <si>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</si>
  <si>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</si>
  <si>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</si>
  <si>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</si>
  <si>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</si>
  <si>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</si>
  <si>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</si>
  <si>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</si>
  <si>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</si>
  <si>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</si>
  <si>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</si>
  <si>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</si>
  <si>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</si>
  <si>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</si>
  <si>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</si>
  <si>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</si>
  <si>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</si>
  <si>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</si>
  <si>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</si>
  <si>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</si>
  <si>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</si>
  <si>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</si>
  <si>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</si>
  <si>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</si>
  <si>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</si>
  <si>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</si>
  <si>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</si>
  <si>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</si>
  <si>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</si>
  <si>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</si>
  <si>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</si>
  <si>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</si>
  <si>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</si>
  <si>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</si>
  <si>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</si>
  <si>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</si>
  <si>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</si>
  <si>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</si>
  <si>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</si>
  <si>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</si>
  <si>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</si>
  <si>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</si>
  <si>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</si>
  <si>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</si>
  <si>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</si>
  <si>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</si>
  <si>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</si>
  <si>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</si>
  <si>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</si>
  <si>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</si>
  <si>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</si>
  <si>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</si>
  <si>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</si>
  <si>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</si>
  <si>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</si>
  <si>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</si>
  <si>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</si>
  <si>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</si>
  <si>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</si>
  <si>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</si>
  <si>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</si>
  <si>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</si>
  <si>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</si>
  <si>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</si>
  <si>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</si>
  <si>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</si>
  <si>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</si>
  <si>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</si>
  <si>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</si>
  <si>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</si>
  <si>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</si>
  <si>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</si>
  <si>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</si>
  <si>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</si>
  <si>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</si>
  <si>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</si>
  <si>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</si>
  <si>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</si>
  <si>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</si>
  <si>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</si>
  <si>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</si>
  <si>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</si>
  <si>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</si>
  <si>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</si>
  <si>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</si>
  <si>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</si>
  <si>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</si>
  <si>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</si>
  <si>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</si>
  <si>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</si>
  <si>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</si>
  <si>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</si>
  <si>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</si>
  <si>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</si>
  <si>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</si>
  <si>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</si>
  <si>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</si>
  <si>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</si>
  <si>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</si>
  <si>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</si>
  <si>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</si>
  <si>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</si>
  <si>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</si>
  <si>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</si>
  <si>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</si>
  <si>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</si>
  <si>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</si>
  <si>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</si>
  <si>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</si>
  <si>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</si>
  <si>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</si>
  <si>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</si>
  <si>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</si>
  <si>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</si>
  <si>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</si>
  <si>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</si>
  <si>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</si>
  <si>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</si>
  <si>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</si>
  <si>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</si>
  <si>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</si>
  <si>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</si>
  <si>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</si>
  <si>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</si>
  <si>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</si>
  <si>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</si>
  <si>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</si>
  <si>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</si>
  <si>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</si>
  <si>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</si>
  <si>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</si>
  <si>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</si>
  <si>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</si>
  <si>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</si>
  <si>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</si>
  <si>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</si>
  <si>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</si>
  <si>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</si>
  <si>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</si>
  <si>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</si>
  <si>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</si>
  <si>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</si>
  <si>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</si>
  <si>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</si>
  <si>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</si>
  <si>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</si>
  <si>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</si>
  <si>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</si>
  <si>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</si>
  <si>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</si>
  <si>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</si>
  <si>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</si>
  <si>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</si>
  <si>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</si>
  <si>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</si>
  <si>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</si>
  <si>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</si>
  <si>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</si>
  <si>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</si>
  <si>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</si>
  <si>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</si>
  <si>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</si>
  <si>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</si>
  <si>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</si>
  <si>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</si>
  <si>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</si>
  <si>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</si>
  <si>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</si>
  <si>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</si>
  <si>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</si>
  <si>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</si>
  <si>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</si>
  <si>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</si>
  <si>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</si>
  <si>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</si>
  <si>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</si>
  <si>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</si>
  <si>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</si>
  <si>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</si>
  <si>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</si>
  <si>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</si>
  <si>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</si>
  <si>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</si>
  <si>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</si>
  <si>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</si>
  <si>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</si>
  <si>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</si>
  <si>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</si>
  <si>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</si>
  <si>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</si>
  <si>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</si>
  <si>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</si>
  <si>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</si>
  <si>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</si>
  <si>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</si>
  <si>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</si>
  <si>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</si>
  <si>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</si>
  <si>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</si>
  <si>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</si>
  <si>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</si>
  <si>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</si>
  <si>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</si>
  <si>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</si>
  <si>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</si>
  <si>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</si>
  <si>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</si>
  <si>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</si>
  <si>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</si>
  <si>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</si>
  <si>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</si>
  <si>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</si>
  <si>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</si>
  <si>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</si>
  <si>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</si>
  <si>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</si>
  <si>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</si>
  <si>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</si>
  <si>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</si>
  <si>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</si>
  <si>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</si>
  <si>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</si>
  <si>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</si>
  <si>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</si>
  <si>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</si>
  <si>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</si>
  <si>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</si>
  <si>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</si>
  <si>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</si>
  <si>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</si>
  <si>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</si>
  <si>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</si>
  <si>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</si>
  <si>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</si>
  <si>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</si>
  <si>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</si>
  <si>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</si>
  <si>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</si>
  <si>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</si>
  <si>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</si>
  <si>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</si>
  <si>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</si>
  <si>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</si>
  <si>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</si>
  <si>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</si>
  <si>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</si>
  <si>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52 0 08 00000</t>
  </si>
  <si>
    <t>52 0 08 S3950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</si>
  <si>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</si>
  <si>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</si>
  <si>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</si>
  <si>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</si>
  <si>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</si>
  <si>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</si>
  <si>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</si>
  <si>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</si>
  <si>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</si>
  <si>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</si>
  <si>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</si>
  <si>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</si>
  <si>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</si>
  <si>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</si>
  <si>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</si>
  <si>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</si>
  <si>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</si>
  <si>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</si>
  <si>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</si>
  <si>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</si>
  <si>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</si>
  <si>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</si>
  <si>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</si>
  <si>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</si>
  <si>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</si>
  <si>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</si>
  <si>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</si>
  <si>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</si>
  <si>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</si>
  <si>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</si>
  <si>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</si>
  <si>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</si>
  <si>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</si>
  <si>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</si>
  <si>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</si>
  <si>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</si>
  <si>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</si>
  <si>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</si>
  <si>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</si>
  <si>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</si>
  <si>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</si>
  <si>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</si>
  <si>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</si>
  <si>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</si>
  <si>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</si>
  <si>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</si>
  <si>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</si>
  <si>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57 0 03 20070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</si>
  <si>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</si>
  <si>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</si>
  <si>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</si>
  <si>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</si>
  <si>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</si>
  <si>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</si>
  <si>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</si>
  <si>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</si>
  <si>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</si>
  <si>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</si>
  <si>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</si>
  <si>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</si>
  <si>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</si>
  <si>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</si>
  <si>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</si>
  <si>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</si>
  <si>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</si>
  <si>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</si>
  <si>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</si>
  <si>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</si>
  <si>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</si>
  <si>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</si>
  <si>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</si>
  <si>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</si>
  <si>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</si>
  <si>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</si>
  <si>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Основное мероприятие "Создание модельных библиотек"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</si>
  <si>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</si>
  <si>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</si>
  <si>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</si>
  <si>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</si>
  <si>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</si>
  <si>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</si>
  <si>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</si>
  <si>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</si>
  <si>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</si>
  <si>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</si>
  <si>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</si>
  <si>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</si>
  <si>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</si>
  <si>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</si>
  <si>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</si>
  <si>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</si>
  <si>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</si>
  <si>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</si>
  <si>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</si>
  <si>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</si>
  <si>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</si>
  <si>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</si>
  <si>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</si>
  <si>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</si>
  <si>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</si>
  <si>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</si>
  <si>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</si>
  <si>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</si>
  <si>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</si>
  <si>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</si>
  <si>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</si>
  <si>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</si>
  <si>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</si>
  <si>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</si>
  <si>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</si>
  <si>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</si>
  <si>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</si>
  <si>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</si>
  <si>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</si>
  <si>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</si>
  <si>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</si>
  <si>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</si>
  <si>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</si>
  <si>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</si>
  <si>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</si>
  <si>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</si>
  <si>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</si>
  <si>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</si>
  <si>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</si>
  <si>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</si>
  <si>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</si>
  <si>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</si>
  <si>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</si>
  <si>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</si>
  <si>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</si>
  <si>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</si>
  <si>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</si>
  <si>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</si>
  <si>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</si>
  <si>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</si>
  <si>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</si>
  <si>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</si>
  <si>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</si>
  <si>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</si>
  <si>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</si>
  <si>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</si>
  <si>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</si>
  <si>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</si>
  <si>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</si>
  <si>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</si>
  <si>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</si>
  <si>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</si>
  <si>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</si>
  <si>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</si>
  <si>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</si>
  <si>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</si>
  <si>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</si>
  <si>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</si>
  <si>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</si>
  <si>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</si>
  <si>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</si>
  <si>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</si>
  <si>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</si>
  <si>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</si>
  <si>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</si>
  <si>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</si>
  <si>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</si>
  <si>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</si>
  <si>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</si>
  <si>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</si>
  <si>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</si>
  <si>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 xml:space="preserve">Субсидии бюджетам городских округов на реализацию мероприятий подпрограммы "Развитие библиотечного дела Магаданской области" государственной программы Магаданской области "Развитие  культуры в Магаданской области"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</si>
  <si>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</si>
  <si>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</si>
  <si>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</si>
  <si>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</si>
  <si>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</si>
  <si>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</si>
  <si>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</si>
  <si>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</si>
  <si>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</si>
  <si>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</si>
  <si>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</si>
  <si>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</si>
  <si>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</si>
  <si>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</si>
  <si>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</si>
  <si>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</si>
  <si>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</si>
  <si>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</si>
  <si>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</si>
  <si>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реализацию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</si>
  <si>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</si>
  <si>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</si>
  <si>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</si>
  <si>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</si>
  <si>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</si>
  <si>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</si>
  <si>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</si>
  <si>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</si>
  <si>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</si>
  <si>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</si>
  <si>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области(работники учреждений образования)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</si>
  <si>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</si>
  <si>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</si>
  <si>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</si>
  <si>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</si>
  <si>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</si>
  <si>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</si>
  <si>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Субсидии бюджетам городских округов на  организацию отдыха и оздоровления детей в лагерях дневного пребывания </t>
  </si>
  <si>
    <t xml:space="preserve">Субсидии бюджетам городских округов на совершенствование питания учащихся в общеобразовательных организациях </t>
  </si>
  <si>
    <t xml:space="preserve">Субсидии бюджетам городских округов на организацию и проведение областных универсальных совместных ярмарок </t>
  </si>
  <si>
    <t xml:space="preserve">Субсидии бюджетам городских округов на приобретение школьных автобусов 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</si>
  <si>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</si>
  <si>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Субсидии бюджетам городских округов на питание детей-инвалидов, детей с ограниченными возможностями здоровья 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</si>
  <si>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</si>
  <si>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 xml:space="preserve">Субвенции бюджетам городских округов на финансовое обеспечение муниципальных дошкольных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</si>
  <si>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</si>
  <si>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</si>
  <si>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</si>
  <si>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</si>
  <si>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детям,оставшимся без попечения родителей, лицам из их числа
по договорам найма специализированных жилых помещений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</si>
  <si>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</si>
  <si>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</si>
  <si>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</si>
  <si>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</si>
  <si>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</si>
  <si>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</si>
  <si>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</si>
  <si>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</si>
  <si>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</si>
  <si>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</si>
  <si>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</si>
  <si>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ф/б 637, обл63, м/б 63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</si>
  <si>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</si>
  <si>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</si>
  <si>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</si>
  <si>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</si>
  <si>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</si>
  <si>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</si>
  <si>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</si>
  <si>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>Субсидии на софинансирование расходов бюджетов городских округов на повышение оплаты труда отдельных категорий работников муниципальных учреждений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</si>
  <si>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</si>
  <si>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</si>
  <si>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</si>
  <si>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</si>
  <si>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</si>
  <si>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</si>
  <si>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</si>
  <si>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</si>
  <si>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</si>
  <si>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</si>
  <si>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</si>
  <si>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ремонт спортзала</t>
  </si>
  <si>
    <t>МТБ в школах</t>
  </si>
  <si>
    <t>поддержка спорта</t>
  </si>
  <si>
    <t>11 01</t>
  </si>
  <si>
    <t>58 0 01 S3У10</t>
  </si>
  <si>
    <t>обл/б+фед</t>
  </si>
  <si>
    <t>Цифровая среда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</si>
  <si>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</t>
  </si>
  <si>
    <t>Обеспечение гарантированного комплектования фондов муниципальных библиотек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</si>
  <si>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</si>
  <si>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</si>
  <si>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</si>
  <si>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</si>
  <si>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</si>
  <si>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</si>
  <si>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</si>
  <si>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</si>
  <si>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</si>
  <si>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</si>
  <si>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</si>
  <si>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</si>
  <si>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</si>
  <si>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</si>
  <si>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</si>
  <si>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</si>
  <si>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</si>
  <si>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</si>
  <si>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01 02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</si>
  <si>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</si>
  <si>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</si>
  <si>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</si>
  <si>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</si>
  <si>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</si>
  <si>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</si>
  <si>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</si>
  <si>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</si>
  <si>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</si>
  <si>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</si>
  <si>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</si>
  <si>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>от 21.12.2020г. № 24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</si>
  <si>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</si>
  <si>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</si>
  <si>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</si>
  <si>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</si>
  <si>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к решению СПОГО</t>
  </si>
  <si>
    <t xml:space="preserve">               Приложение № 6.1.</t>
  </si>
  <si>
    <t xml:space="preserve">          к решению СПОГО </t>
  </si>
  <si>
    <t xml:space="preserve">        Приложение № 7.1.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</si>
  <si>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</si>
  <si>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</si>
  <si>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</si>
  <si>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Поменяла название в Кристе, у себя в БР нет!!!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</si>
  <si>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</si>
  <si>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</si>
  <si>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</si>
  <si>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Муниципальная программа "Комплексное развитие  систем коммунальной инфраструктуры Омсукчанского городского округа на 2019- 2023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</si>
  <si>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</si>
  <si>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</si>
  <si>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</si>
  <si>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</si>
  <si>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Основное мероприятие "Проведение ремонта водозабора в п.Омсукчан"</t>
  </si>
  <si>
    <t>Итого</t>
  </si>
  <si>
    <t>(-56,6)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</si>
  <si>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</si>
  <si>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</si>
  <si>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</si>
  <si>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</si>
  <si>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</si>
  <si>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</si>
  <si>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Приложение № 3</t>
  </si>
  <si>
    <t>субсидии областного бюджета</t>
  </si>
  <si>
    <t>переселение</t>
  </si>
  <si>
    <t>поддержка предпринимательства</t>
  </si>
  <si>
    <t xml:space="preserve">04 12 </t>
  </si>
  <si>
    <t>укрепение гражд.единства</t>
  </si>
  <si>
    <t>(НП и ФЦП) 2022 год</t>
  </si>
  <si>
    <t>НП и ФЦП 2023 год</t>
  </si>
  <si>
    <t>субсидии (S) на 2022год</t>
  </si>
  <si>
    <t>субсидии (S) 2023 год</t>
  </si>
  <si>
    <t>поддержка предприним.</t>
  </si>
  <si>
    <t>укрепление гражд.единства</t>
  </si>
  <si>
    <t>План на 2021 год, тыс.руб.</t>
  </si>
  <si>
    <t>Исполнено за 1 квартал 2021года, тыс.руб.</t>
  </si>
  <si>
    <t>% исполнения</t>
  </si>
  <si>
    <t>Приложение № 2</t>
  </si>
  <si>
    <t xml:space="preserve"> Исполнение распределения бюджетных ассигнований, направляемых на реализацию муниципальных программ  Омсукчанского городского округа за 1 квартал 2021 года</t>
  </si>
  <si>
    <t>Исполнение распределения бюджетных ассигнований, направляемых на исполнение публичных нормативных обязательств за 1 квартал 2021 года</t>
  </si>
  <si>
    <t>Исполнение источников внутреннего финансирования дефицита</t>
  </si>
  <si>
    <t>бюджета Омсукчанского городского округа  за 1 квартал 2021 года</t>
  </si>
  <si>
    <t>Исполнение распределения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1 квартал 2021 года</t>
  </si>
  <si>
    <t>Исполнение распределения бюджетных ассигнований</t>
  </si>
  <si>
    <t xml:space="preserve"> расходов бюджетов Российской Федерации за 1 квартал 2021 года</t>
  </si>
  <si>
    <t>Приложение № 1</t>
  </si>
  <si>
    <t>Исполнение ведомственной  структуры расходов бюджета Омсукчанского городского округа за 1 квартал 2021 года</t>
  </si>
  <si>
    <t>Исполнено за 1 квартал 2021 года, тыс.руб.</t>
  </si>
  <si>
    <t>План на 2021 год , тыс.руб.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</si>
  <si>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</si>
  <si>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</si>
  <si>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1 16 10129 01 0000 140</t>
  </si>
  <si>
    <t>Штрафы поступающие в счет погашения задолженности, образовавшейся до 1 января 2020 года</t>
  </si>
  <si>
    <t>1 17 01040 04 0000 180</t>
  </si>
  <si>
    <t>Невыясненные поступления</t>
  </si>
  <si>
    <t>-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</si>
  <si>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</si>
  <si>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</si>
  <si>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2 03 00000 00 0000 000</t>
  </si>
  <si>
    <t>БЕЗВОЗМЕЗДНЫЕ ПОСТУПЛЕНИЯ ОТ ГОСУДАРСТВЕННЫХ (МУНИЦИПАЛЬНЫХ) ОРГАНИЗАЦИЙ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</si>
  <si>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</si>
  <si>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</si>
  <si>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</si>
  <si>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</si>
  <si>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</si>
  <si>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</si>
  <si>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2 19 60010 04 0000 150 </t>
  </si>
  <si>
    <t>2 19 35930 04 0000 150</t>
  </si>
  <si>
    <t>--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</si>
  <si>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</si>
  <si>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субвенций на государственную регистрацию актов гражданского состояния из бюджетов городских округов
</t>
  </si>
  <si>
    <t>Исполнение  доходов бюджета Омсукчанского городского округа за 1 квартал 2021 года</t>
  </si>
  <si>
    <t xml:space="preserve">от 23.04.2021г. № 234     </t>
  </si>
  <si>
    <t xml:space="preserve">к постановлению </t>
  </si>
  <si>
    <t xml:space="preserve"> городского округа</t>
  </si>
  <si>
    <t>городского округа</t>
  </si>
  <si>
    <t xml:space="preserve"> администорации</t>
  </si>
  <si>
    <t xml:space="preserve">от 23.04.2021г. № 234  </t>
  </si>
  <si>
    <t>администорации</t>
  </si>
  <si>
    <t xml:space="preserve">                 городского округа</t>
  </si>
  <si>
    <t xml:space="preserve">                к постановлению </t>
  </si>
  <si>
    <t>к постановлению</t>
  </si>
  <si>
    <t xml:space="preserve"> администрации</t>
  </si>
  <si>
    <t xml:space="preserve">                           администрации</t>
  </si>
  <si>
    <t xml:space="preserve">от 23.04.2021г. № 234    </t>
  </si>
  <si>
    <t>администрации</t>
  </si>
  <si>
    <t xml:space="preserve">                            к постановлению </t>
  </si>
  <si>
    <t xml:space="preserve">                         от 23.04.2021г. № 234   </t>
  </si>
  <si>
    <t xml:space="preserve">           администрации</t>
  </si>
  <si>
    <t xml:space="preserve">                 от 23.04.2021г. № 234  </t>
  </si>
  <si>
    <t xml:space="preserve">           городского округа</t>
  </si>
  <si>
    <t xml:space="preserve">      администрации</t>
  </si>
  <si>
    <t xml:space="preserve">          к постановлению </t>
  </si>
  <si>
    <t xml:space="preserve">         Приложение № 7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</si>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</sst>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0.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8">
    <xf numFmtId="0" fontId="0" fillId="0" borderId="0"/>
    <xf numFmtId="0" fontId="10" fillId="0" borderId="0"/>
    <xf numFmtId="165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8" borderId="0" applyNumberFormat="0" applyBorder="0" applyAlignment="0" applyProtection="0"/>
    <xf numFmtId="0" fontId="48" fillId="21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32" borderId="0" applyNumberFormat="0" applyBorder="0" applyAlignment="0" applyProtection="0"/>
    <xf numFmtId="0" fontId="50" fillId="20" borderId="18" applyNumberFormat="0" applyAlignment="0" applyProtection="0"/>
    <xf numFmtId="0" fontId="51" fillId="33" borderId="19" applyNumberFormat="0" applyAlignment="0" applyProtection="0"/>
    <xf numFmtId="0" fontId="52" fillId="33" borderId="18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34" borderId="24" applyNumberFormat="0" applyAlignment="0" applyProtection="0"/>
    <xf numFmtId="0" fontId="58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5" fillId="0" borderId="0"/>
    <xf numFmtId="0" fontId="60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6" borderId="25" applyNumberFormat="0" applyFont="0" applyAlignment="0" applyProtection="0"/>
    <xf numFmtId="0" fontId="62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</cellStyleXfs>
  <cellXfs count="499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6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6" fontId="13" fillId="0" borderId="2" xfId="1" applyNumberFormat="1" applyFont="1" applyFill="1" applyBorder="1" applyAlignment="1">
      <alignment horizontal="center"/>
    </xf>
    <xf numFmtId="0" fontId="10" fillId="0" borderId="0" xfId="1" applyFill="1"/>
    <xf numFmtId="0" fontId="9" fillId="0" borderId="0" xfId="1" applyFont="1" applyFill="1"/>
    <xf numFmtId="4" fontId="14" fillId="0" borderId="0" xfId="1" applyNumberFormat="1" applyFont="1" applyFill="1" applyAlignment="1">
      <alignment horizontal="center"/>
    </xf>
    <xf numFmtId="0" fontId="9" fillId="0" borderId="0" xfId="1" applyFont="1" applyFill="1" applyAlignment="1"/>
    <xf numFmtId="1" fontId="9" fillId="0" borderId="0" xfId="1" applyNumberFormat="1" applyFont="1" applyFill="1"/>
    <xf numFmtId="2" fontId="9" fillId="0" borderId="0" xfId="1" applyNumberFormat="1" applyFont="1" applyFill="1"/>
    <xf numFmtId="0" fontId="10" fillId="0" borderId="0" xfId="0" applyFont="1" applyFill="1"/>
    <xf numFmtId="0" fontId="2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/>
    <xf numFmtId="0" fontId="3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0" fillId="0" borderId="1" xfId="0" applyFont="1" applyBorder="1" applyAlignment="1">
      <alignment horizontal="right"/>
    </xf>
    <xf numFmtId="0" fontId="21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6" fontId="9" fillId="0" borderId="0" xfId="1" applyNumberFormat="1" applyFont="1" applyFill="1"/>
    <xf numFmtId="2" fontId="15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2" xfId="1" applyNumberFormat="1" applyFont="1" applyFill="1" applyBorder="1" applyAlignment="1">
      <alignment horizontal="center" vertical="center"/>
    </xf>
    <xf numFmtId="49" fontId="22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10" fillId="0" borderId="0" xfId="0" applyFont="1" applyFill="1" applyBorder="1"/>
    <xf numFmtId="166" fontId="0" fillId="0" borderId="0" xfId="0" applyNumberFormat="1" applyFill="1"/>
    <xf numFmtId="0" fontId="2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0" fillId="5" borderId="0" xfId="0" applyFont="1" applyFill="1" applyBorder="1"/>
    <xf numFmtId="0" fontId="26" fillId="5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/>
    <xf numFmtId="0" fontId="8" fillId="0" borderId="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left"/>
    </xf>
    <xf numFmtId="166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6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6" fontId="2" fillId="7" borderId="2" xfId="1" applyNumberFormat="1" applyFont="1" applyFill="1" applyBorder="1" applyAlignment="1">
      <alignment horizontal="center" vertical="center" wrapText="1"/>
    </xf>
    <xf numFmtId="166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6" fontId="2" fillId="7" borderId="2" xfId="1" applyNumberFormat="1" applyFont="1" applyFill="1" applyBorder="1" applyAlignment="1">
      <alignment horizontal="center" vertical="center"/>
    </xf>
    <xf numFmtId="166" fontId="2" fillId="7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1" applyNumberFormat="1" applyFont="1" applyFill="1" applyBorder="1" applyAlignment="1">
      <alignment horizontal="center" vertical="center"/>
    </xf>
    <xf numFmtId="49" fontId="27" fillId="0" borderId="15" xfId="1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6" fontId="29" fillId="0" borderId="0" xfId="0" applyNumberFormat="1" applyFont="1" applyFill="1"/>
    <xf numFmtId="0" fontId="22" fillId="0" borderId="2" xfId="0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3" fillId="0" borderId="0" xfId="0" applyFont="1"/>
    <xf numFmtId="0" fontId="14" fillId="0" borderId="0" xfId="0" applyNumberFormat="1" applyFont="1" applyFill="1" applyAlignment="1">
      <alignment horizontal="right"/>
    </xf>
    <xf numFmtId="0" fontId="2" fillId="0" borderId="3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0" fontId="10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/>
    <xf numFmtId="166" fontId="33" fillId="0" borderId="0" xfId="0" applyNumberFormat="1" applyFont="1" applyFill="1"/>
    <xf numFmtId="0" fontId="34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6" fontId="13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4" fontId="14" fillId="2" borderId="0" xfId="1" applyNumberFormat="1" applyFont="1" applyFill="1" applyAlignment="1">
      <alignment horizont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167" fontId="12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2" fillId="0" borderId="8" xfId="0" applyFont="1" applyFill="1" applyBorder="1" applyAlignment="1">
      <alignment vertical="center" wrapText="1"/>
    </xf>
    <xf numFmtId="4" fontId="0" fillId="0" borderId="0" xfId="0" applyNumberFormat="1"/>
    <xf numFmtId="4" fontId="17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9" fillId="0" borderId="2" xfId="0" applyFont="1" applyFill="1" applyBorder="1"/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36" fillId="0" borderId="3" xfId="0" applyFont="1" applyFill="1" applyBorder="1" applyAlignment="1">
      <alignment horizontal="right" wrapText="1"/>
    </xf>
    <xf numFmtId="0" fontId="3" fillId="0" borderId="0" xfId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66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0" fillId="7" borderId="0" xfId="0" applyFill="1"/>
    <xf numFmtId="0" fontId="3" fillId="0" borderId="8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0" fontId="3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6" fontId="2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center"/>
    </xf>
    <xf numFmtId="166" fontId="2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2" fillId="0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49" fontId="2" fillId="7" borderId="2" xfId="1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2" fontId="0" fillId="10" borderId="0" xfId="0" applyNumberFormat="1" applyFill="1"/>
    <xf numFmtId="0" fontId="2" fillId="7" borderId="2" xfId="0" applyFont="1" applyFill="1" applyBorder="1" applyAlignment="1">
      <alignment horizontal="left" vertical="center" wrapText="1"/>
    </xf>
    <xf numFmtId="4" fontId="31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167" fontId="12" fillId="0" borderId="3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4" fontId="44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right" vertical="top" wrapText="1"/>
    </xf>
    <xf numFmtId="0" fontId="45" fillId="1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45" fillId="11" borderId="2" xfId="0" applyFont="1" applyFill="1" applyBorder="1" applyAlignment="1">
      <alignment horizontal="center" vertical="center" wrapText="1"/>
    </xf>
    <xf numFmtId="167" fontId="12" fillId="0" borderId="8" xfId="0" applyNumberFormat="1" applyFont="1" applyFill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8" fillId="0" borderId="0" xfId="0" applyFont="1"/>
    <xf numFmtId="4" fontId="28" fillId="0" borderId="0" xfId="0" applyNumberFormat="1" applyFont="1"/>
    <xf numFmtId="4" fontId="29" fillId="0" borderId="0" xfId="0" applyNumberFormat="1" applyFont="1"/>
    <xf numFmtId="4" fontId="46" fillId="0" borderId="0" xfId="0" applyNumberFormat="1" applyFont="1"/>
    <xf numFmtId="0" fontId="46" fillId="0" borderId="0" xfId="0" applyFont="1"/>
    <xf numFmtId="166" fontId="1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166" fontId="13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7" fillId="0" borderId="2" xfId="0" applyFont="1" applyBorder="1" applyAlignment="1">
      <alignment horizontal="left" wrapText="1"/>
    </xf>
    <xf numFmtId="0" fontId="0" fillId="0" borderId="2" xfId="0" applyFill="1" applyBorder="1"/>
    <xf numFmtId="4" fontId="0" fillId="11" borderId="2" xfId="0" applyNumberForma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45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37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4" fontId="10" fillId="0" borderId="0" xfId="1" applyNumberFormat="1" applyFill="1"/>
    <xf numFmtId="0" fontId="45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/>
    </xf>
    <xf numFmtId="166" fontId="14" fillId="0" borderId="2" xfId="1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32" fillId="0" borderId="2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 vertical="center" wrapText="1"/>
    </xf>
    <xf numFmtId="166" fontId="39" fillId="0" borderId="2" xfId="0" applyNumberFormat="1" applyFont="1" applyFill="1" applyBorder="1" applyAlignment="1">
      <alignment horizontal="center" vertical="center" wrapText="1"/>
    </xf>
    <xf numFmtId="166" fontId="30" fillId="0" borderId="0" xfId="0" applyNumberFormat="1" applyFont="1" applyAlignment="1">
      <alignment horizontal="center"/>
    </xf>
    <xf numFmtId="166" fontId="2" fillId="3" borderId="8" xfId="0" applyNumberFormat="1" applyFont="1" applyFill="1" applyBorder="1" applyAlignment="1">
      <alignment horizontal="center" vertical="center" wrapText="1"/>
    </xf>
    <xf numFmtId="166" fontId="3" fillId="4" borderId="2" xfId="1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 wrapText="1"/>
    </xf>
    <xf numFmtId="166" fontId="2" fillId="4" borderId="2" xfId="1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2" applyNumberFormat="1" applyFont="1" applyFill="1" applyBorder="1" applyAlignment="1">
      <alignment horizontal="center" vertical="center"/>
    </xf>
    <xf numFmtId="166" fontId="43" fillId="0" borderId="0" xfId="0" applyNumberFormat="1" applyFont="1" applyFill="1"/>
    <xf numFmtId="166" fontId="22" fillId="0" borderId="2" xfId="0" applyNumberFormat="1" applyFont="1" applyFill="1" applyBorder="1" applyAlignment="1">
      <alignment horizontal="center" vertical="center" wrapText="1"/>
    </xf>
    <xf numFmtId="166" fontId="27" fillId="0" borderId="2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14" fillId="0" borderId="0" xfId="1" applyNumberFormat="1" applyFont="1" applyFill="1" applyAlignment="1">
      <alignment horizontal="center"/>
    </xf>
    <xf numFmtId="166" fontId="15" fillId="0" borderId="0" xfId="1" applyNumberFormat="1" applyFont="1" applyFill="1"/>
    <xf numFmtId="0" fontId="14" fillId="0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166" fontId="10" fillId="0" borderId="0" xfId="1" applyNumberFormat="1" applyFill="1" applyAlignment="1">
      <alignment horizontal="center"/>
    </xf>
    <xf numFmtId="166" fontId="9" fillId="0" borderId="0" xfId="1" applyNumberFormat="1" applyFont="1" applyFill="1" applyAlignment="1">
      <alignment horizontal="center"/>
    </xf>
    <xf numFmtId="166" fontId="12" fillId="0" borderId="2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0" fontId="2" fillId="7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7" borderId="2" xfId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/>
    </xf>
    <xf numFmtId="4" fontId="0" fillId="12" borderId="2" xfId="0" applyNumberFormat="1" applyFill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 vertical="center" wrapText="1"/>
    </xf>
    <xf numFmtId="166" fontId="31" fillId="0" borderId="2" xfId="0" applyNumberFormat="1" applyFont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5" fillId="13" borderId="2" xfId="0" applyFont="1" applyFill="1" applyBorder="1" applyAlignment="1">
      <alignment horizontal="center" vertical="center" wrapText="1"/>
    </xf>
    <xf numFmtId="0" fontId="45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28" fillId="13" borderId="2" xfId="0" applyFont="1" applyFill="1" applyBorder="1" applyAlignment="1">
      <alignment horizontal="center"/>
    </xf>
    <xf numFmtId="49" fontId="0" fillId="0" borderId="0" xfId="0" applyNumberFormat="1" applyFill="1"/>
    <xf numFmtId="0" fontId="0" fillId="0" borderId="2" xfId="0" applyFill="1" applyBorder="1" applyAlignment="1">
      <alignment horizontal="center"/>
    </xf>
    <xf numFmtId="0" fontId="45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0" borderId="0" xfId="0" applyBorder="1" applyAlignment="1"/>
    <xf numFmtId="0" fontId="0" fillId="11" borderId="2" xfId="0" applyFill="1" applyBorder="1"/>
    <xf numFmtId="4" fontId="0" fillId="14" borderId="2" xfId="0" applyNumberFormat="1" applyFill="1" applyBorder="1" applyAlignment="1">
      <alignment horizontal="center"/>
    </xf>
    <xf numFmtId="0" fontId="0" fillId="14" borderId="2" xfId="0" applyFill="1" applyBorder="1"/>
    <xf numFmtId="49" fontId="0" fillId="0" borderId="2" xfId="0" applyNumberFormat="1" applyFill="1" applyBorder="1" applyAlignment="1">
      <alignment horizontal="center"/>
    </xf>
    <xf numFmtId="4" fontId="0" fillId="12" borderId="2" xfId="0" applyNumberFormat="1" applyFill="1" applyBorder="1"/>
    <xf numFmtId="0" fontId="0" fillId="0" borderId="0" xfId="0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/>
    <xf numFmtId="0" fontId="0" fillId="0" borderId="0" xfId="0" applyFill="1" applyAlignment="1">
      <alignment horizontal="right"/>
    </xf>
    <xf numFmtId="0" fontId="47" fillId="0" borderId="2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8" xfId="1" applyNumberFormat="1" applyFont="1" applyFill="1" applyBorder="1" applyAlignment="1">
      <alignment horizontal="left" vertical="top" wrapText="1"/>
    </xf>
    <xf numFmtId="166" fontId="14" fillId="0" borderId="9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top" wrapText="1"/>
    </xf>
    <xf numFmtId="166" fontId="13" fillId="0" borderId="2" xfId="0" quotePrefix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6" fontId="37" fillId="0" borderId="2" xfId="0" applyNumberFormat="1" applyFont="1" applyFill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6" fontId="37" fillId="0" borderId="2" xfId="0" applyNumberFormat="1" applyFont="1" applyBorder="1" applyAlignment="1">
      <alignment horizontal="center"/>
    </xf>
    <xf numFmtId="166" fontId="37" fillId="0" borderId="2" xfId="0" applyNumberFormat="1" applyFont="1" applyBorder="1" applyAlignment="1">
      <alignment horizontal="center" vertical="center"/>
    </xf>
    <xf numFmtId="166" fontId="47" fillId="0" borderId="2" xfId="0" applyNumberFormat="1" applyFont="1" applyBorder="1" applyAlignment="1">
      <alignment horizontal="center" vertical="center" wrapText="1"/>
    </xf>
    <xf numFmtId="166" fontId="37" fillId="0" borderId="2" xfId="0" applyNumberFormat="1" applyFont="1" applyBorder="1"/>
    <xf numFmtId="166" fontId="2" fillId="0" borderId="0" xfId="0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/>
    </xf>
    <xf numFmtId="0" fontId="25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66" fontId="14" fillId="0" borderId="8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5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6" fontId="2" fillId="0" borderId="0" xfId="1" applyNumberFormat="1" applyFont="1" applyFill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166" fontId="2" fillId="0" borderId="0" xfId="1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Fill="1" applyBorder="1" applyAlignment="1"/>
    <xf numFmtId="166" fontId="0" fillId="0" borderId="0" xfId="0" applyNumberFormat="1" applyAlignment="1"/>
    <xf numFmtId="0" fontId="0" fillId="0" borderId="0" xfId="0" applyAlignment="1"/>
    <xf numFmtId="0" fontId="12" fillId="0" borderId="0" xfId="0" applyFont="1" applyAlignment="1"/>
    <xf numFmtId="0" fontId="67" fillId="0" borderId="0" xfId="0" applyFont="1" applyAlignment="1"/>
    <xf numFmtId="0" fontId="12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166" fontId="12" fillId="0" borderId="0" xfId="0" applyNumberFormat="1" applyFont="1" applyFill="1" applyAlignment="1"/>
    <xf numFmtId="166" fontId="2" fillId="0" borderId="0" xfId="0" applyNumberFormat="1" applyFont="1" applyFill="1" applyAlignment="1">
      <alignment horizontal="left" vertical="center"/>
    </xf>
    <xf numFmtId="166" fontId="1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" builtinId="8"/>
    <cellStyle name="Гиперссылка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4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Финансовый" xfId="2" builtinId="3"/>
    <cellStyle name="Хороший 2" xfId="47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2"/>
  <sheetViews>
    <sheetView view="pageBreakPreview" topLeftCell="A142" zoomScale="90" zoomScaleNormal="90" zoomScaleSheetLayoutView="90" workbookViewId="0">
      <selection activeCell="D3" sqref="D3:E3"/>
    </sheetView>
  </sheetViews>
  <sheetFormatPr defaultRowHeight="15" x14ac:dyDescent="0.25"/>
  <cols>
    <col min="1" max="1" width="25.140625" style="128" customWidth="1"/>
    <col min="2" max="2" width="77.5703125" style="128" customWidth="1"/>
    <col min="3" max="3" width="15.28515625" style="177" customWidth="1"/>
    <col min="4" max="4" width="16" style="177" customWidth="1"/>
    <col min="5" max="5" width="12.85546875" style="177" customWidth="1"/>
    <col min="6" max="6" width="11.85546875" style="128" customWidth="1"/>
    <col min="7" max="7" width="12.5703125" style="128" customWidth="1"/>
    <col min="8" max="8" width="11.85546875" style="128" customWidth="1"/>
    <col min="9" max="9" width="15" style="128" customWidth="1"/>
    <col min="10" max="10" width="15.85546875" style="128" customWidth="1"/>
    <col min="11" max="11" width="9.140625" style="128"/>
    <col min="12" max="12" width="17" style="128" customWidth="1"/>
    <col min="13" max="16384" width="9.140625" style="128"/>
  </cols>
  <sheetData>
    <row r="1" spans="1:10" ht="15" customHeight="1" x14ac:dyDescent="0.25">
      <c r="B1" s="447"/>
      <c r="C1" s="447"/>
      <c r="D1" s="418" t="s">
        <v>1613</v>
      </c>
      <c r="E1" s="418"/>
    </row>
    <row r="2" spans="1:10" ht="15" customHeight="1" x14ac:dyDescent="0.25">
      <c r="B2" s="447"/>
      <c r="C2" s="447"/>
      <c r="D2" s="418" t="s">
        <v>1641</v>
      </c>
      <c r="E2" s="418"/>
    </row>
    <row r="3" spans="1:10" ht="15.75" x14ac:dyDescent="0.25">
      <c r="B3" s="447"/>
      <c r="C3" s="447"/>
      <c r="D3" s="481" t="s">
        <v>1644</v>
      </c>
      <c r="E3" s="481"/>
    </row>
    <row r="4" spans="1:10" ht="15.75" x14ac:dyDescent="0.25">
      <c r="B4" s="444"/>
      <c r="C4" s="444"/>
      <c r="D4" s="485" t="s">
        <v>1643</v>
      </c>
      <c r="E4" s="485"/>
    </row>
    <row r="5" spans="1:10" ht="15.75" x14ac:dyDescent="0.25">
      <c r="B5" s="130"/>
      <c r="C5" s="424"/>
      <c r="D5" s="418" t="s">
        <v>1640</v>
      </c>
      <c r="E5" s="418"/>
    </row>
    <row r="6" spans="1:10" ht="15.75" x14ac:dyDescent="0.25">
      <c r="A6" s="450"/>
      <c r="B6" s="450"/>
      <c r="C6" s="450"/>
      <c r="D6" s="414"/>
    </row>
    <row r="7" spans="1:10" ht="15.75" x14ac:dyDescent="0.25">
      <c r="A7" s="450" t="s">
        <v>1639</v>
      </c>
      <c r="B7" s="450"/>
      <c r="C7" s="450"/>
      <c r="D7" s="450"/>
      <c r="E7" s="450"/>
    </row>
    <row r="8" spans="1:10" ht="15.75" x14ac:dyDescent="0.25">
      <c r="A8" s="450"/>
      <c r="B8" s="450"/>
      <c r="C8" s="450"/>
      <c r="D8" s="128"/>
      <c r="E8" s="128"/>
    </row>
    <row r="9" spans="1:10" ht="63.2" customHeight="1" x14ac:dyDescent="0.25">
      <c r="A9" s="132" t="s">
        <v>2</v>
      </c>
      <c r="B9" s="133" t="s">
        <v>3</v>
      </c>
      <c r="C9" s="10" t="s">
        <v>1602</v>
      </c>
      <c r="D9" s="10" t="s">
        <v>1603</v>
      </c>
      <c r="E9" s="10" t="s">
        <v>1604</v>
      </c>
    </row>
    <row r="10" spans="1:10" ht="18.75" x14ac:dyDescent="0.25">
      <c r="A10" s="134" t="s">
        <v>5</v>
      </c>
      <c r="B10" s="135" t="s">
        <v>6</v>
      </c>
      <c r="C10" s="320">
        <f>C11+C18+C23+C34+C42+C45+C51+C58+C61+C66+C75</f>
        <v>283254.7</v>
      </c>
      <c r="D10" s="320">
        <f>D11+D18+D23+D34+D42+D45+D51+D58+D61+D66+D75</f>
        <v>81544.748569999996</v>
      </c>
      <c r="E10" s="320">
        <f>D10/C10*100</f>
        <v>28.788489147752887</v>
      </c>
      <c r="G10" s="115"/>
      <c r="H10" s="115"/>
      <c r="J10" s="115"/>
    </row>
    <row r="11" spans="1:10" ht="18.75" x14ac:dyDescent="0.25">
      <c r="A11" s="136" t="s">
        <v>7</v>
      </c>
      <c r="B11" s="135" t="s">
        <v>8</v>
      </c>
      <c r="C11" s="320">
        <f>C12</f>
        <v>212613</v>
      </c>
      <c r="D11" s="320">
        <f>D12</f>
        <v>63704.544000000002</v>
      </c>
      <c r="E11" s="320">
        <f t="shared" ref="E11:E73" si="0">D11/C11*100</f>
        <v>29.962675847666887</v>
      </c>
      <c r="F11" s="115"/>
      <c r="G11" s="115"/>
      <c r="H11" s="115"/>
      <c r="I11" s="115"/>
      <c r="J11" s="115"/>
    </row>
    <row r="12" spans="1:10" ht="18.75" x14ac:dyDescent="0.25">
      <c r="A12" s="137" t="s">
        <v>9</v>
      </c>
      <c r="B12" s="138" t="s">
        <v>10</v>
      </c>
      <c r="C12" s="320">
        <f>SUM(C13:C16)</f>
        <v>212613</v>
      </c>
      <c r="D12" s="320">
        <f>SUM(D13:D17)</f>
        <v>63704.544000000002</v>
      </c>
      <c r="E12" s="320">
        <f t="shared" si="0"/>
        <v>29.962675847666887</v>
      </c>
      <c r="F12" s="115"/>
      <c r="G12" s="115"/>
      <c r="H12" s="115"/>
      <c r="I12" s="115"/>
      <c r="J12" s="115"/>
    </row>
    <row r="13" spans="1:10" ht="63" x14ac:dyDescent="0.25">
      <c r="A13" s="201" t="s">
        <v>11</v>
      </c>
      <c r="B13" s="139" t="s">
        <v>12</v>
      </c>
      <c r="C13" s="329">
        <v>210036</v>
      </c>
      <c r="D13" s="329">
        <v>62705.964999999997</v>
      </c>
      <c r="E13" s="329">
        <f t="shared" si="0"/>
        <v>29.85486535641509</v>
      </c>
    </row>
    <row r="14" spans="1:10" ht="94.5" x14ac:dyDescent="0.25">
      <c r="A14" s="201" t="s">
        <v>13</v>
      </c>
      <c r="B14" s="140" t="s">
        <v>14</v>
      </c>
      <c r="C14" s="329">
        <v>856</v>
      </c>
      <c r="D14" s="329">
        <v>876.4</v>
      </c>
      <c r="E14" s="329">
        <f t="shared" si="0"/>
        <v>102.38317757009345</v>
      </c>
    </row>
    <row r="15" spans="1:10" ht="36.75" customHeight="1" x14ac:dyDescent="0.25">
      <c r="A15" s="201" t="s">
        <v>15</v>
      </c>
      <c r="B15" s="140" t="s">
        <v>16</v>
      </c>
      <c r="C15" s="329">
        <v>1175</v>
      </c>
      <c r="D15" s="329">
        <v>10.1</v>
      </c>
      <c r="E15" s="329">
        <f t="shared" si="0"/>
        <v>0.8595744680851064</v>
      </c>
    </row>
    <row r="16" spans="1:10" ht="78.75" x14ac:dyDescent="0.25">
      <c r="A16" s="201" t="s">
        <v>17</v>
      </c>
      <c r="B16" s="140" t="s">
        <v>18</v>
      </c>
      <c r="C16" s="329">
        <v>546</v>
      </c>
      <c r="D16" s="329">
        <v>1.3</v>
      </c>
      <c r="E16" s="329">
        <f t="shared" si="0"/>
        <v>0.23809523809523811</v>
      </c>
    </row>
    <row r="17" spans="1:6" ht="80.25" customHeight="1" x14ac:dyDescent="0.25">
      <c r="A17" s="421" t="s">
        <v>1617</v>
      </c>
      <c r="B17" s="422" t="s">
        <v>1618</v>
      </c>
      <c r="C17" s="329">
        <v>0</v>
      </c>
      <c r="D17" s="329">
        <v>110.779</v>
      </c>
      <c r="E17" s="329" t="s">
        <v>1623</v>
      </c>
    </row>
    <row r="18" spans="1:6" ht="31.5" x14ac:dyDescent="0.25">
      <c r="A18" s="141" t="s">
        <v>19</v>
      </c>
      <c r="B18" s="142" t="s">
        <v>20</v>
      </c>
      <c r="C18" s="320">
        <f t="shared" ref="C18:D18" si="1">C19</f>
        <v>2319</v>
      </c>
      <c r="D18" s="320">
        <f t="shared" si="1"/>
        <v>669.18200000000002</v>
      </c>
      <c r="E18" s="320">
        <f t="shared" si="0"/>
        <v>28.856489866321688</v>
      </c>
    </row>
    <row r="19" spans="1:6" ht="31.5" x14ac:dyDescent="0.25">
      <c r="A19" s="182" t="s">
        <v>21</v>
      </c>
      <c r="B19" s="183" t="s">
        <v>22</v>
      </c>
      <c r="C19" s="320">
        <f>SUM(C20:C22)</f>
        <v>2319</v>
      </c>
      <c r="D19" s="320">
        <f>SUM(D20:D22)</f>
        <v>669.18200000000002</v>
      </c>
      <c r="E19" s="320">
        <f t="shared" si="0"/>
        <v>28.856489866321688</v>
      </c>
    </row>
    <row r="20" spans="1:6" ht="63" x14ac:dyDescent="0.25">
      <c r="A20" s="143" t="s">
        <v>1587</v>
      </c>
      <c r="B20" s="140" t="s">
        <v>24</v>
      </c>
      <c r="C20" s="329">
        <v>1064.8</v>
      </c>
      <c r="D20" s="329">
        <f>300.3-53.6</f>
        <v>246.70000000000002</v>
      </c>
      <c r="E20" s="329">
        <f t="shared" si="0"/>
        <v>23.168670172802408</v>
      </c>
    </row>
    <row r="21" spans="1:6" ht="78.75" x14ac:dyDescent="0.25">
      <c r="A21" s="427" t="s">
        <v>1588</v>
      </c>
      <c r="B21" s="140" t="s">
        <v>26</v>
      </c>
      <c r="C21" s="329">
        <v>6.1</v>
      </c>
      <c r="D21" s="329">
        <v>2.1</v>
      </c>
      <c r="E21" s="329">
        <f t="shared" si="0"/>
        <v>34.426229508196727</v>
      </c>
    </row>
    <row r="22" spans="1:6" ht="63" x14ac:dyDescent="0.25">
      <c r="A22" s="427" t="s">
        <v>1589</v>
      </c>
      <c r="B22" s="140" t="s">
        <v>28</v>
      </c>
      <c r="C22" s="329">
        <v>1248.0999999999999</v>
      </c>
      <c r="D22" s="329">
        <v>420.38200000000001</v>
      </c>
      <c r="E22" s="329">
        <f t="shared" si="0"/>
        <v>33.681756269529686</v>
      </c>
    </row>
    <row r="23" spans="1:6" ht="18.75" x14ac:dyDescent="0.25">
      <c r="A23" s="137" t="s">
        <v>29</v>
      </c>
      <c r="B23" s="138" t="s">
        <v>30</v>
      </c>
      <c r="C23" s="320">
        <f>SUM(C24+C29+C32)</f>
        <v>16053.8</v>
      </c>
      <c r="D23" s="320">
        <f>SUM(D24+D29+D32)</f>
        <v>4920.173569999999</v>
      </c>
      <c r="E23" s="320">
        <f t="shared" si="0"/>
        <v>30.648030808905052</v>
      </c>
      <c r="F23" s="199"/>
    </row>
    <row r="24" spans="1:6" ht="31.5" x14ac:dyDescent="0.25">
      <c r="A24" s="134" t="s">
        <v>31</v>
      </c>
      <c r="B24" s="138" t="s">
        <v>32</v>
      </c>
      <c r="C24" s="320">
        <f>C25+C27</f>
        <v>13524.8</v>
      </c>
      <c r="D24" s="320">
        <f>D25+D27</f>
        <v>1110.5749999999998</v>
      </c>
      <c r="E24" s="320">
        <f t="shared" si="0"/>
        <v>8.2113968413580967</v>
      </c>
    </row>
    <row r="25" spans="1:6" ht="31.5" x14ac:dyDescent="0.25">
      <c r="A25" s="134" t="s">
        <v>1126</v>
      </c>
      <c r="B25" s="206" t="s">
        <v>34</v>
      </c>
      <c r="C25" s="320">
        <f>C26</f>
        <v>6762.4</v>
      </c>
      <c r="D25" s="320">
        <f>D26</f>
        <v>2233.4569999999999</v>
      </c>
      <c r="E25" s="320">
        <f t="shared" si="0"/>
        <v>33.027578966047557</v>
      </c>
    </row>
    <row r="26" spans="1:6" ht="31.5" x14ac:dyDescent="0.25">
      <c r="A26" s="132" t="s">
        <v>33</v>
      </c>
      <c r="B26" s="98" t="s">
        <v>34</v>
      </c>
      <c r="C26" s="329">
        <v>6762.4</v>
      </c>
      <c r="D26" s="329">
        <v>2233.4569999999999</v>
      </c>
      <c r="E26" s="329">
        <f t="shared" si="0"/>
        <v>33.027578966047557</v>
      </c>
    </row>
    <row r="27" spans="1:6" ht="36.75" customHeight="1" x14ac:dyDescent="0.25">
      <c r="A27" s="134" t="s">
        <v>1125</v>
      </c>
      <c r="B27" s="239" t="s">
        <v>1124</v>
      </c>
      <c r="C27" s="320">
        <f>C28</f>
        <v>6762.4</v>
      </c>
      <c r="D27" s="320">
        <f>D28</f>
        <v>-1122.8820000000001</v>
      </c>
      <c r="E27" s="320">
        <f t="shared" si="0"/>
        <v>-16.604785283331363</v>
      </c>
    </row>
    <row r="28" spans="1:6" ht="50.25" customHeight="1" x14ac:dyDescent="0.25">
      <c r="A28" s="132" t="s">
        <v>35</v>
      </c>
      <c r="B28" s="144" t="s">
        <v>36</v>
      </c>
      <c r="C28" s="329">
        <f>C26</f>
        <v>6762.4</v>
      </c>
      <c r="D28" s="329">
        <v>-1122.8820000000001</v>
      </c>
      <c r="E28" s="329">
        <f t="shared" si="0"/>
        <v>-16.604785283331363</v>
      </c>
    </row>
    <row r="29" spans="1:6" ht="18.75" x14ac:dyDescent="0.25">
      <c r="A29" s="134" t="s">
        <v>37</v>
      </c>
      <c r="B29" s="147" t="s">
        <v>38</v>
      </c>
      <c r="C29" s="320">
        <f t="shared" ref="C29" si="2">SUM(C30:C30)</f>
        <v>2159</v>
      </c>
      <c r="D29" s="320">
        <f>SUM(D30:D31)</f>
        <v>2254.7595699999997</v>
      </c>
      <c r="E29" s="320">
        <f t="shared" si="0"/>
        <v>104.43536683649836</v>
      </c>
    </row>
    <row r="30" spans="1:6" ht="18.75" x14ac:dyDescent="0.25">
      <c r="A30" s="201" t="s">
        <v>39</v>
      </c>
      <c r="B30" s="139" t="s">
        <v>38</v>
      </c>
      <c r="C30" s="329">
        <v>2159</v>
      </c>
      <c r="D30" s="329">
        <v>2254.6999999999998</v>
      </c>
      <c r="E30" s="329">
        <f t="shared" si="0"/>
        <v>104.43260768874478</v>
      </c>
    </row>
    <row r="31" spans="1:6" ht="31.5" x14ac:dyDescent="0.25">
      <c r="A31" s="201" t="s">
        <v>1624</v>
      </c>
      <c r="B31" s="428" t="s">
        <v>1625</v>
      </c>
      <c r="C31" s="329"/>
      <c r="D31" s="329">
        <f>59.57/1000</f>
        <v>5.9569999999999998E-2</v>
      </c>
      <c r="E31" s="329"/>
    </row>
    <row r="32" spans="1:6" ht="31.5" x14ac:dyDescent="0.25">
      <c r="A32" s="134" t="s">
        <v>1139</v>
      </c>
      <c r="B32" s="145" t="s">
        <v>1127</v>
      </c>
      <c r="C32" s="320">
        <f>C33</f>
        <v>370</v>
      </c>
      <c r="D32" s="320">
        <f>D33</f>
        <v>1554.8389999999999</v>
      </c>
      <c r="E32" s="320">
        <f t="shared" si="0"/>
        <v>420.22675675675669</v>
      </c>
    </row>
    <row r="33" spans="1:6" ht="31.5" x14ac:dyDescent="0.25">
      <c r="A33" s="132" t="s">
        <v>40</v>
      </c>
      <c r="B33" s="231" t="s">
        <v>41</v>
      </c>
      <c r="C33" s="329">
        <v>370</v>
      </c>
      <c r="D33" s="329">
        <v>1554.8389999999999</v>
      </c>
      <c r="E33" s="329">
        <f t="shared" si="0"/>
        <v>420.22675675675669</v>
      </c>
    </row>
    <row r="34" spans="1:6" ht="18.75" x14ac:dyDescent="0.25">
      <c r="A34" s="137" t="s">
        <v>42</v>
      </c>
      <c r="B34" s="138" t="s">
        <v>43</v>
      </c>
      <c r="C34" s="320">
        <f t="shared" ref="C34:D34" si="3">C35+C37</f>
        <v>1578</v>
      </c>
      <c r="D34" s="320">
        <f t="shared" si="3"/>
        <v>340.637</v>
      </c>
      <c r="E34" s="320">
        <f t="shared" si="0"/>
        <v>21.586628643852979</v>
      </c>
    </row>
    <row r="35" spans="1:6" ht="18.75" x14ac:dyDescent="0.25">
      <c r="A35" s="137" t="s">
        <v>44</v>
      </c>
      <c r="B35" s="138" t="s">
        <v>45</v>
      </c>
      <c r="C35" s="320">
        <f t="shared" ref="C35:D35" si="4">C36</f>
        <v>900</v>
      </c>
      <c r="D35" s="320">
        <f t="shared" si="4"/>
        <v>218.774</v>
      </c>
      <c r="E35" s="320">
        <f t="shared" si="0"/>
        <v>24.308222222222224</v>
      </c>
    </row>
    <row r="36" spans="1:6" ht="31.7" customHeight="1" x14ac:dyDescent="0.25">
      <c r="A36" s="201" t="s">
        <v>46</v>
      </c>
      <c r="B36" s="144" t="s">
        <v>47</v>
      </c>
      <c r="C36" s="329">
        <v>900</v>
      </c>
      <c r="D36" s="329">
        <v>218.774</v>
      </c>
      <c r="E36" s="329">
        <f t="shared" si="0"/>
        <v>24.308222222222224</v>
      </c>
    </row>
    <row r="37" spans="1:6" ht="18.75" x14ac:dyDescent="0.25">
      <c r="A37" s="137" t="s">
        <v>48</v>
      </c>
      <c r="B37" s="138" t="s">
        <v>49</v>
      </c>
      <c r="C37" s="320">
        <f>C38+C40</f>
        <v>678</v>
      </c>
      <c r="D37" s="320">
        <f>D38+D40</f>
        <v>121.863</v>
      </c>
      <c r="E37" s="320">
        <f t="shared" si="0"/>
        <v>17.973893805309736</v>
      </c>
    </row>
    <row r="38" spans="1:6" ht="18.75" x14ac:dyDescent="0.25">
      <c r="A38" s="137" t="s">
        <v>1141</v>
      </c>
      <c r="B38" s="138" t="s">
        <v>1140</v>
      </c>
      <c r="C38" s="320">
        <f>C39</f>
        <v>521</v>
      </c>
      <c r="D38" s="320">
        <f>D39</f>
        <v>117.98699999999999</v>
      </c>
      <c r="E38" s="320">
        <f t="shared" si="0"/>
        <v>22.646257197696738</v>
      </c>
    </row>
    <row r="39" spans="1:6" ht="31.5" x14ac:dyDescent="0.25">
      <c r="A39" s="201" t="s">
        <v>50</v>
      </c>
      <c r="B39" s="144" t="s">
        <v>51</v>
      </c>
      <c r="C39" s="329">
        <v>521</v>
      </c>
      <c r="D39" s="329">
        <v>117.98699999999999</v>
      </c>
      <c r="E39" s="329">
        <f t="shared" si="0"/>
        <v>22.646257197696738</v>
      </c>
    </row>
    <row r="40" spans="1:6" ht="18.75" x14ac:dyDescent="0.25">
      <c r="A40" s="137" t="s">
        <v>1143</v>
      </c>
      <c r="B40" s="138" t="s">
        <v>1142</v>
      </c>
      <c r="C40" s="320">
        <f>C41</f>
        <v>157</v>
      </c>
      <c r="D40" s="320">
        <f>D41</f>
        <v>3.8759999999999999</v>
      </c>
      <c r="E40" s="320">
        <f t="shared" si="0"/>
        <v>2.4687898089171973</v>
      </c>
    </row>
    <row r="41" spans="1:6" ht="31.5" x14ac:dyDescent="0.25">
      <c r="A41" s="201" t="s">
        <v>52</v>
      </c>
      <c r="B41" s="144" t="s">
        <v>53</v>
      </c>
      <c r="C41" s="329">
        <v>157</v>
      </c>
      <c r="D41" s="329">
        <v>3.8759999999999999</v>
      </c>
      <c r="E41" s="329">
        <f t="shared" si="0"/>
        <v>2.4687898089171973</v>
      </c>
    </row>
    <row r="42" spans="1:6" ht="18.75" x14ac:dyDescent="0.25">
      <c r="A42" s="137" t="s">
        <v>54</v>
      </c>
      <c r="B42" s="138" t="s">
        <v>55</v>
      </c>
      <c r="C42" s="320">
        <f t="shared" ref="C42:D43" si="5">C43</f>
        <v>1534</v>
      </c>
      <c r="D42" s="320">
        <f t="shared" si="5"/>
        <v>300.72199999999998</v>
      </c>
      <c r="E42" s="320">
        <f t="shared" si="0"/>
        <v>19.603780964797913</v>
      </c>
    </row>
    <row r="43" spans="1:6" ht="31.5" x14ac:dyDescent="0.25">
      <c r="A43" s="137" t="s">
        <v>56</v>
      </c>
      <c r="B43" s="138" t="s">
        <v>57</v>
      </c>
      <c r="C43" s="320">
        <f t="shared" si="5"/>
        <v>1534</v>
      </c>
      <c r="D43" s="320">
        <f t="shared" si="5"/>
        <v>300.72199999999998</v>
      </c>
      <c r="E43" s="320">
        <f t="shared" si="0"/>
        <v>19.603780964797913</v>
      </c>
    </row>
    <row r="44" spans="1:6" ht="47.25" x14ac:dyDescent="0.25">
      <c r="A44" s="201" t="s">
        <v>58</v>
      </c>
      <c r="B44" s="139" t="s">
        <v>59</v>
      </c>
      <c r="C44" s="329">
        <v>1534</v>
      </c>
      <c r="D44" s="329">
        <v>300.72199999999998</v>
      </c>
      <c r="E44" s="329">
        <f t="shared" si="0"/>
        <v>19.603780964797913</v>
      </c>
    </row>
    <row r="45" spans="1:6" ht="31.5" x14ac:dyDescent="0.25">
      <c r="A45" s="137" t="s">
        <v>60</v>
      </c>
      <c r="B45" s="146" t="s">
        <v>61</v>
      </c>
      <c r="C45" s="320">
        <f t="shared" ref="C45:D45" si="6">C46</f>
        <v>45000</v>
      </c>
      <c r="D45" s="320">
        <f t="shared" si="6"/>
        <v>11080.052</v>
      </c>
      <c r="E45" s="320">
        <f t="shared" si="0"/>
        <v>24.622337777777776</v>
      </c>
      <c r="F45" s="115"/>
    </row>
    <row r="46" spans="1:6" ht="78.75" x14ac:dyDescent="0.25">
      <c r="A46" s="137" t="s">
        <v>62</v>
      </c>
      <c r="B46" s="146" t="s">
        <v>63</v>
      </c>
      <c r="C46" s="320">
        <f t="shared" ref="C46:D46" si="7">C47+C49</f>
        <v>45000</v>
      </c>
      <c r="D46" s="320">
        <f t="shared" si="7"/>
        <v>11080.052</v>
      </c>
      <c r="E46" s="320">
        <f t="shared" si="0"/>
        <v>24.622337777777776</v>
      </c>
    </row>
    <row r="47" spans="1:6" ht="63" x14ac:dyDescent="0.25">
      <c r="A47" s="137" t="s">
        <v>64</v>
      </c>
      <c r="B47" s="138" t="s">
        <v>65</v>
      </c>
      <c r="C47" s="320">
        <f t="shared" ref="C47:D47" si="8">C48</f>
        <v>40000</v>
      </c>
      <c r="D47" s="320">
        <f t="shared" si="8"/>
        <v>9824.4140000000007</v>
      </c>
      <c r="E47" s="320">
        <f t="shared" si="0"/>
        <v>24.561035</v>
      </c>
    </row>
    <row r="48" spans="1:6" ht="63" x14ac:dyDescent="0.25">
      <c r="A48" s="201" t="s">
        <v>66</v>
      </c>
      <c r="B48" s="144" t="s">
        <v>67</v>
      </c>
      <c r="C48" s="329">
        <v>40000</v>
      </c>
      <c r="D48" s="329">
        <v>9824.4140000000007</v>
      </c>
      <c r="E48" s="329">
        <f t="shared" si="0"/>
        <v>24.561035</v>
      </c>
    </row>
    <row r="49" spans="1:5" ht="36.75" customHeight="1" x14ac:dyDescent="0.25">
      <c r="A49" s="137" t="s">
        <v>68</v>
      </c>
      <c r="B49" s="138" t="s">
        <v>69</v>
      </c>
      <c r="C49" s="320">
        <f t="shared" ref="C49:D49" si="9">C50</f>
        <v>5000</v>
      </c>
      <c r="D49" s="320">
        <f t="shared" si="9"/>
        <v>1255.6379999999999</v>
      </c>
      <c r="E49" s="320">
        <f t="shared" si="0"/>
        <v>25.112760000000002</v>
      </c>
    </row>
    <row r="50" spans="1:5" ht="31.5" x14ac:dyDescent="0.25">
      <c r="A50" s="201" t="s">
        <v>70</v>
      </c>
      <c r="B50" s="144" t="s">
        <v>71</v>
      </c>
      <c r="C50" s="329">
        <v>5000</v>
      </c>
      <c r="D50" s="329">
        <v>1255.6379999999999</v>
      </c>
      <c r="E50" s="329">
        <f t="shared" si="0"/>
        <v>25.112760000000002</v>
      </c>
    </row>
    <row r="51" spans="1:5" ht="18.75" x14ac:dyDescent="0.25">
      <c r="A51" s="137" t="s">
        <v>72</v>
      </c>
      <c r="B51" s="146" t="s">
        <v>73</v>
      </c>
      <c r="C51" s="320">
        <f t="shared" ref="C51:D51" si="10">SUM(C52)</f>
        <v>3087.3999999999996</v>
      </c>
      <c r="D51" s="320">
        <f t="shared" si="10"/>
        <v>43.136000000000003</v>
      </c>
      <c r="E51" s="320">
        <f t="shared" si="0"/>
        <v>1.3971626611388226</v>
      </c>
    </row>
    <row r="52" spans="1:5" ht="18.75" x14ac:dyDescent="0.25">
      <c r="A52" s="137" t="s">
        <v>74</v>
      </c>
      <c r="B52" s="146" t="s">
        <v>75</v>
      </c>
      <c r="C52" s="320">
        <f>C53+C54+C55</f>
        <v>3087.3999999999996</v>
      </c>
      <c r="D52" s="320">
        <f>D53+D54+D55</f>
        <v>43.136000000000003</v>
      </c>
      <c r="E52" s="320">
        <f t="shared" si="0"/>
        <v>1.3971626611388226</v>
      </c>
    </row>
    <row r="53" spans="1:5" ht="31.5" x14ac:dyDescent="0.25">
      <c r="A53" s="137" t="s">
        <v>76</v>
      </c>
      <c r="B53" s="146" t="s">
        <v>77</v>
      </c>
      <c r="C53" s="329">
        <v>405</v>
      </c>
      <c r="D53" s="329">
        <v>38.151000000000003</v>
      </c>
      <c r="E53" s="329">
        <f t="shared" si="0"/>
        <v>9.42</v>
      </c>
    </row>
    <row r="54" spans="1:5" ht="18.75" x14ac:dyDescent="0.25">
      <c r="A54" s="137" t="s">
        <v>78</v>
      </c>
      <c r="B54" s="146" t="s">
        <v>79</v>
      </c>
      <c r="C54" s="329">
        <v>228.8</v>
      </c>
      <c r="D54" s="329">
        <v>0</v>
      </c>
      <c r="E54" s="329">
        <f t="shared" si="0"/>
        <v>0</v>
      </c>
    </row>
    <row r="55" spans="1:5" ht="23.25" customHeight="1" x14ac:dyDescent="0.25">
      <c r="A55" s="137" t="s">
        <v>1457</v>
      </c>
      <c r="B55" s="230" t="s">
        <v>1129</v>
      </c>
      <c r="C55" s="320">
        <f>C56+C57</f>
        <v>2453.6</v>
      </c>
      <c r="D55" s="320">
        <f>D56+D57</f>
        <v>4.9850000000000003</v>
      </c>
      <c r="E55" s="320">
        <f t="shared" si="0"/>
        <v>0.20317085099445714</v>
      </c>
    </row>
    <row r="56" spans="1:5" ht="18.75" x14ac:dyDescent="0.25">
      <c r="A56" s="201" t="s">
        <v>805</v>
      </c>
      <c r="B56" s="139" t="s">
        <v>806</v>
      </c>
      <c r="C56" s="329">
        <f>3588-1265.4</f>
        <v>2322.6</v>
      </c>
      <c r="D56" s="329">
        <v>4.9850000000000003</v>
      </c>
      <c r="E56" s="329">
        <f t="shared" si="0"/>
        <v>0.21463015585981229</v>
      </c>
    </row>
    <row r="57" spans="1:5" ht="18.75" x14ac:dyDescent="0.25">
      <c r="A57" s="201" t="s">
        <v>807</v>
      </c>
      <c r="B57" s="139" t="s">
        <v>808</v>
      </c>
      <c r="C57" s="329">
        <v>131</v>
      </c>
      <c r="D57" s="329">
        <v>0</v>
      </c>
      <c r="E57" s="329">
        <f t="shared" si="0"/>
        <v>0</v>
      </c>
    </row>
    <row r="58" spans="1:5" ht="31.5" x14ac:dyDescent="0.25">
      <c r="A58" s="137" t="s">
        <v>80</v>
      </c>
      <c r="B58" s="146" t="s">
        <v>81</v>
      </c>
      <c r="C58" s="320">
        <f>C60</f>
        <v>828.5</v>
      </c>
      <c r="D58" s="320">
        <f>D60</f>
        <v>287.33999999999997</v>
      </c>
      <c r="E58" s="320">
        <f t="shared" si="0"/>
        <v>34.681955340977666</v>
      </c>
    </row>
    <row r="59" spans="1:5" ht="18.75" x14ac:dyDescent="0.25">
      <c r="A59" s="137" t="s">
        <v>82</v>
      </c>
      <c r="B59" s="146" t="s">
        <v>83</v>
      </c>
      <c r="C59" s="320">
        <f>C60</f>
        <v>828.5</v>
      </c>
      <c r="D59" s="320">
        <f>D60</f>
        <v>287.33999999999997</v>
      </c>
      <c r="E59" s="320">
        <f t="shared" si="0"/>
        <v>34.681955340977666</v>
      </c>
    </row>
    <row r="60" spans="1:5" ht="31.5" x14ac:dyDescent="0.25">
      <c r="A60" s="201" t="s">
        <v>84</v>
      </c>
      <c r="B60" s="139" t="s">
        <v>85</v>
      </c>
      <c r="C60" s="329">
        <v>828.5</v>
      </c>
      <c r="D60" s="329">
        <v>287.33999999999997</v>
      </c>
      <c r="E60" s="329">
        <f t="shared" si="0"/>
        <v>34.681955340977666</v>
      </c>
    </row>
    <row r="61" spans="1:5" ht="31.5" x14ac:dyDescent="0.25">
      <c r="A61" s="137" t="s">
        <v>86</v>
      </c>
      <c r="B61" s="146" t="s">
        <v>87</v>
      </c>
      <c r="C61" s="320">
        <f t="shared" ref="C61:D61" si="11">SUM(C62+C64)</f>
        <v>236</v>
      </c>
      <c r="D61" s="320">
        <f t="shared" si="11"/>
        <v>32.033999999999999</v>
      </c>
      <c r="E61" s="320">
        <f t="shared" si="0"/>
        <v>13.573728813559322</v>
      </c>
    </row>
    <row r="62" spans="1:5" ht="78.75" x14ac:dyDescent="0.25">
      <c r="A62" s="137" t="s">
        <v>88</v>
      </c>
      <c r="B62" s="146" t="s">
        <v>89</v>
      </c>
      <c r="C62" s="320">
        <f t="shared" ref="C62:D62" si="12">C63</f>
        <v>235</v>
      </c>
      <c r="D62" s="320">
        <f t="shared" si="12"/>
        <v>0.14099999999999999</v>
      </c>
      <c r="E62" s="320">
        <f t="shared" si="0"/>
        <v>0.06</v>
      </c>
    </row>
    <row r="63" spans="1:5" ht="78.75" x14ac:dyDescent="0.25">
      <c r="A63" s="201" t="s">
        <v>90</v>
      </c>
      <c r="B63" s="139" t="s">
        <v>707</v>
      </c>
      <c r="C63" s="329">
        <v>235</v>
      </c>
      <c r="D63" s="329">
        <v>0.14099999999999999</v>
      </c>
      <c r="E63" s="329">
        <f t="shared" si="0"/>
        <v>0.06</v>
      </c>
    </row>
    <row r="64" spans="1:5" ht="31.5" x14ac:dyDescent="0.25">
      <c r="A64" s="137" t="s">
        <v>91</v>
      </c>
      <c r="B64" s="146" t="s">
        <v>92</v>
      </c>
      <c r="C64" s="320">
        <f t="shared" ref="C64:D64" si="13">SUM(C65)</f>
        <v>1</v>
      </c>
      <c r="D64" s="320">
        <f t="shared" si="13"/>
        <v>31.893000000000001</v>
      </c>
      <c r="E64" s="320">
        <f t="shared" si="0"/>
        <v>3189.3</v>
      </c>
    </row>
    <row r="65" spans="1:10" ht="47.25" x14ac:dyDescent="0.25">
      <c r="A65" s="201" t="s">
        <v>93</v>
      </c>
      <c r="B65" s="139" t="s">
        <v>94</v>
      </c>
      <c r="C65" s="329">
        <v>1</v>
      </c>
      <c r="D65" s="329">
        <v>31.893000000000001</v>
      </c>
      <c r="E65" s="329">
        <f t="shared" si="0"/>
        <v>3189.3</v>
      </c>
    </row>
    <row r="66" spans="1:10" ht="18.75" x14ac:dyDescent="0.25">
      <c r="A66" s="137" t="s">
        <v>95</v>
      </c>
      <c r="B66" s="146" t="s">
        <v>96</v>
      </c>
      <c r="C66" s="320">
        <f>C67</f>
        <v>5</v>
      </c>
      <c r="D66" s="320">
        <f>D67</f>
        <v>3</v>
      </c>
      <c r="E66" s="320">
        <f t="shared" si="0"/>
        <v>60</v>
      </c>
    </row>
    <row r="67" spans="1:10" ht="31.5" x14ac:dyDescent="0.25">
      <c r="A67" s="137" t="s">
        <v>1107</v>
      </c>
      <c r="B67" s="146" t="s">
        <v>97</v>
      </c>
      <c r="C67" s="320">
        <f>C68+C70+C72</f>
        <v>5</v>
      </c>
      <c r="D67" s="320">
        <f>D68+D70+D72+D74</f>
        <v>3</v>
      </c>
      <c r="E67" s="320">
        <f t="shared" si="0"/>
        <v>60</v>
      </c>
    </row>
    <row r="68" spans="1:10" ht="47.25" x14ac:dyDescent="0.25">
      <c r="A68" s="137" t="s">
        <v>1121</v>
      </c>
      <c r="B68" s="240" t="s">
        <v>1120</v>
      </c>
      <c r="C68" s="320">
        <f>C69</f>
        <v>2.5</v>
      </c>
      <c r="D68" s="320">
        <f>D69</f>
        <v>1.2</v>
      </c>
      <c r="E68" s="320">
        <f t="shared" si="0"/>
        <v>48</v>
      </c>
    </row>
    <row r="69" spans="1:10" ht="63" x14ac:dyDescent="0.25">
      <c r="A69" s="201" t="s">
        <v>1109</v>
      </c>
      <c r="B69" s="241" t="s">
        <v>1115</v>
      </c>
      <c r="C69" s="329">
        <v>2.5</v>
      </c>
      <c r="D69" s="329">
        <v>1.2</v>
      </c>
      <c r="E69" s="329">
        <f t="shared" si="0"/>
        <v>48</v>
      </c>
    </row>
    <row r="70" spans="1:10" ht="67.5" customHeight="1" x14ac:dyDescent="0.25">
      <c r="A70" s="137" t="s">
        <v>1123</v>
      </c>
      <c r="B70" s="240" t="s">
        <v>1122</v>
      </c>
      <c r="C70" s="320">
        <f>C71</f>
        <v>0</v>
      </c>
      <c r="D70" s="320">
        <f>D71</f>
        <v>2</v>
      </c>
      <c r="E70" s="329" t="s">
        <v>1623</v>
      </c>
    </row>
    <row r="71" spans="1:10" ht="68.25" customHeight="1" x14ac:dyDescent="0.25">
      <c r="A71" s="201" t="s">
        <v>1108</v>
      </c>
      <c r="B71" s="241" t="s">
        <v>1122</v>
      </c>
      <c r="C71" s="329">
        <v>0</v>
      </c>
      <c r="D71" s="329">
        <v>2</v>
      </c>
      <c r="E71" s="329" t="s">
        <v>1623</v>
      </c>
    </row>
    <row r="72" spans="1:10" ht="63" x14ac:dyDescent="0.25">
      <c r="A72" s="137" t="s">
        <v>1119</v>
      </c>
      <c r="B72" s="242" t="s">
        <v>1118</v>
      </c>
      <c r="C72" s="320">
        <f>C73</f>
        <v>2.5</v>
      </c>
      <c r="D72" s="320">
        <f>D73</f>
        <v>0</v>
      </c>
      <c r="E72" s="320">
        <f t="shared" si="0"/>
        <v>0</v>
      </c>
    </row>
    <row r="73" spans="1:10" ht="79.5" customHeight="1" x14ac:dyDescent="0.25">
      <c r="A73" s="201" t="s">
        <v>1112</v>
      </c>
      <c r="B73" s="243" t="s">
        <v>1117</v>
      </c>
      <c r="C73" s="329">
        <v>2.5</v>
      </c>
      <c r="D73" s="329">
        <v>0</v>
      </c>
      <c r="E73" s="329">
        <f t="shared" si="0"/>
        <v>0</v>
      </c>
    </row>
    <row r="74" spans="1:10" ht="33" customHeight="1" x14ac:dyDescent="0.25">
      <c r="A74" s="137" t="s">
        <v>1619</v>
      </c>
      <c r="B74" s="242" t="s">
        <v>1620</v>
      </c>
      <c r="C74" s="320">
        <v>0</v>
      </c>
      <c r="D74" s="320">
        <f>-200/1000</f>
        <v>-0.2</v>
      </c>
      <c r="E74" s="329"/>
    </row>
    <row r="75" spans="1:10" ht="22.5" customHeight="1" x14ac:dyDescent="0.25">
      <c r="A75" s="3" t="s">
        <v>1110</v>
      </c>
      <c r="B75" s="181" t="s">
        <v>777</v>
      </c>
      <c r="C75" s="320">
        <f>C77</f>
        <v>0</v>
      </c>
      <c r="D75" s="320">
        <f>D76+D77</f>
        <v>163.928</v>
      </c>
      <c r="E75" s="329" t="s">
        <v>1623</v>
      </c>
    </row>
    <row r="76" spans="1:10" ht="22.5" customHeight="1" x14ac:dyDescent="0.25">
      <c r="A76" s="3" t="s">
        <v>1621</v>
      </c>
      <c r="B76" s="423" t="s">
        <v>1622</v>
      </c>
      <c r="C76" s="320">
        <v>0</v>
      </c>
      <c r="D76" s="320">
        <v>50</v>
      </c>
      <c r="E76" s="329" t="s">
        <v>1623</v>
      </c>
    </row>
    <row r="77" spans="1:10" ht="18.75" customHeight="1" x14ac:dyDescent="0.25">
      <c r="A77" s="3" t="s">
        <v>1111</v>
      </c>
      <c r="B77" s="181" t="s">
        <v>778</v>
      </c>
      <c r="C77" s="320">
        <f t="shared" ref="C77:D77" si="14">SUM(C78)</f>
        <v>0</v>
      </c>
      <c r="D77" s="320">
        <f t="shared" si="14"/>
        <v>113.928</v>
      </c>
      <c r="E77" s="329" t="s">
        <v>1623</v>
      </c>
    </row>
    <row r="78" spans="1:10" ht="23.25" customHeight="1" x14ac:dyDescent="0.25">
      <c r="A78" s="2" t="s">
        <v>779</v>
      </c>
      <c r="B78" s="180" t="s">
        <v>780</v>
      </c>
      <c r="C78" s="329">
        <v>0</v>
      </c>
      <c r="D78" s="329">
        <v>113.928</v>
      </c>
      <c r="E78" s="329" t="s">
        <v>1623</v>
      </c>
    </row>
    <row r="79" spans="1:10" ht="18.75" x14ac:dyDescent="0.25">
      <c r="A79" s="137" t="s">
        <v>98</v>
      </c>
      <c r="B79" s="138" t="s">
        <v>99</v>
      </c>
      <c r="C79" s="320">
        <f>C80</f>
        <v>516974.6</v>
      </c>
      <c r="D79" s="320">
        <f>D80</f>
        <v>108051.18056000002</v>
      </c>
      <c r="E79" s="320">
        <f t="shared" ref="E79:E142" si="15">D79/C79*100</f>
        <v>20.900674919038583</v>
      </c>
      <c r="F79" s="115"/>
      <c r="H79" s="195"/>
      <c r="J79" s="115"/>
    </row>
    <row r="80" spans="1:10" ht="31.5" x14ac:dyDescent="0.25">
      <c r="A80" s="137" t="s">
        <v>100</v>
      </c>
      <c r="B80" s="138" t="s">
        <v>101</v>
      </c>
      <c r="C80" s="320">
        <f>C81+C86+C124+C152</f>
        <v>516974.6</v>
      </c>
      <c r="D80" s="320">
        <f>D81+D86+D124+D152+D155+D166</f>
        <v>108051.18056000002</v>
      </c>
      <c r="E80" s="320">
        <f t="shared" si="15"/>
        <v>20.900674919038583</v>
      </c>
      <c r="H80" s="195"/>
      <c r="I80" s="115"/>
    </row>
    <row r="81" spans="1:10" ht="18.75" x14ac:dyDescent="0.25">
      <c r="A81" s="137" t="s">
        <v>824</v>
      </c>
      <c r="B81" s="147" t="s">
        <v>102</v>
      </c>
      <c r="C81" s="320">
        <f>C82+C84</f>
        <v>205743</v>
      </c>
      <c r="D81" s="320">
        <f>D82+D84</f>
        <v>51441</v>
      </c>
      <c r="E81" s="320">
        <f t="shared" si="15"/>
        <v>25.002551727154753</v>
      </c>
    </row>
    <row r="82" spans="1:10" ht="18.75" x14ac:dyDescent="0.25">
      <c r="A82" s="137" t="s">
        <v>1145</v>
      </c>
      <c r="B82" s="147" t="s">
        <v>1144</v>
      </c>
      <c r="C82" s="320">
        <f>C83</f>
        <v>154837</v>
      </c>
      <c r="D82" s="320">
        <f>D83</f>
        <v>38712</v>
      </c>
      <c r="E82" s="320">
        <f t="shared" si="15"/>
        <v>25.001776061277344</v>
      </c>
    </row>
    <row r="83" spans="1:10" ht="31.5" x14ac:dyDescent="0.25">
      <c r="A83" s="201" t="s">
        <v>823</v>
      </c>
      <c r="B83" s="144" t="s">
        <v>1154</v>
      </c>
      <c r="C83" s="329">
        <v>154837</v>
      </c>
      <c r="D83" s="329">
        <v>38712</v>
      </c>
      <c r="E83" s="329">
        <f t="shared" si="15"/>
        <v>25.001776061277344</v>
      </c>
      <c r="F83" s="115"/>
    </row>
    <row r="84" spans="1:10" ht="31.5" x14ac:dyDescent="0.25">
      <c r="A84" s="134" t="s">
        <v>1493</v>
      </c>
      <c r="B84" s="138" t="s">
        <v>1494</v>
      </c>
      <c r="C84" s="320">
        <f>C85</f>
        <v>50906</v>
      </c>
      <c r="D84" s="320">
        <f>D85</f>
        <v>12729</v>
      </c>
      <c r="E84" s="320">
        <f t="shared" si="15"/>
        <v>25.004911012454329</v>
      </c>
    </row>
    <row r="85" spans="1:10" ht="31.5" x14ac:dyDescent="0.25">
      <c r="A85" s="132" t="s">
        <v>1495</v>
      </c>
      <c r="B85" s="144" t="s">
        <v>1496</v>
      </c>
      <c r="C85" s="329">
        <v>50906</v>
      </c>
      <c r="D85" s="329">
        <v>12729</v>
      </c>
      <c r="E85" s="329">
        <f t="shared" si="15"/>
        <v>25.004911012454329</v>
      </c>
    </row>
    <row r="86" spans="1:10" ht="34.5" customHeight="1" x14ac:dyDescent="0.25">
      <c r="A86" s="137" t="s">
        <v>822</v>
      </c>
      <c r="B86" s="138" t="s">
        <v>103</v>
      </c>
      <c r="C86" s="320">
        <f>C97+C103+C108+C99+C91+C93+C101+C95+C105+C87+C89</f>
        <v>49334.799999999996</v>
      </c>
      <c r="D86" s="320">
        <f>D97+D103+D108+D99+D91+D93+D101+D95+D105+D87+D89</f>
        <v>1724.1689999999999</v>
      </c>
      <c r="E86" s="320">
        <f t="shared" si="15"/>
        <v>3.4948332617138407</v>
      </c>
      <c r="F86" s="115"/>
      <c r="G86" s="115"/>
      <c r="I86" s="115"/>
    </row>
    <row r="87" spans="1:10" ht="54" customHeight="1" x14ac:dyDescent="0.25">
      <c r="A87" s="425" t="s">
        <v>1497</v>
      </c>
      <c r="B87" s="321" t="s">
        <v>1498</v>
      </c>
      <c r="C87" s="322">
        <f>C88</f>
        <v>700</v>
      </c>
      <c r="D87" s="322">
        <f>D88</f>
        <v>272.90899999999999</v>
      </c>
      <c r="E87" s="320">
        <f t="shared" si="15"/>
        <v>38.987000000000002</v>
      </c>
      <c r="F87" s="115"/>
      <c r="G87" s="115"/>
      <c r="I87" s="115"/>
      <c r="J87" s="115"/>
    </row>
    <row r="88" spans="1:10" ht="54" customHeight="1" x14ac:dyDescent="0.25">
      <c r="A88" s="201" t="s">
        <v>1499</v>
      </c>
      <c r="B88" s="323" t="s">
        <v>1500</v>
      </c>
      <c r="C88" s="329">
        <v>700</v>
      </c>
      <c r="D88" s="329">
        <v>272.90899999999999</v>
      </c>
      <c r="E88" s="329">
        <f t="shared" si="15"/>
        <v>38.987000000000002</v>
      </c>
      <c r="F88" s="115"/>
      <c r="G88" s="115"/>
      <c r="I88" s="115"/>
    </row>
    <row r="89" spans="1:10" ht="54" customHeight="1" x14ac:dyDescent="0.25">
      <c r="A89" s="137" t="s">
        <v>1503</v>
      </c>
      <c r="B89" s="324" t="s">
        <v>1502</v>
      </c>
      <c r="C89" s="320">
        <f>C90</f>
        <v>2581.6999999999998</v>
      </c>
      <c r="D89" s="320">
        <f>D90</f>
        <v>0</v>
      </c>
      <c r="E89" s="320">
        <f t="shared" si="15"/>
        <v>0</v>
      </c>
      <c r="F89" s="115"/>
      <c r="G89" s="115"/>
      <c r="I89" s="115"/>
    </row>
    <row r="90" spans="1:10" ht="54" customHeight="1" x14ac:dyDescent="0.25">
      <c r="A90" s="201" t="s">
        <v>1504</v>
      </c>
      <c r="B90" s="335" t="s">
        <v>1505</v>
      </c>
      <c r="C90" s="329">
        <v>2581.6999999999998</v>
      </c>
      <c r="D90" s="329">
        <v>0</v>
      </c>
      <c r="E90" s="329">
        <f t="shared" si="15"/>
        <v>0</v>
      </c>
      <c r="F90" s="115"/>
      <c r="G90" s="115"/>
      <c r="I90" s="115"/>
    </row>
    <row r="91" spans="1:10" ht="49.7" customHeight="1" x14ac:dyDescent="0.25">
      <c r="A91" s="426" t="s">
        <v>1169</v>
      </c>
      <c r="B91" s="239" t="s">
        <v>1171</v>
      </c>
      <c r="C91" s="347">
        <f>C92</f>
        <v>1506.3</v>
      </c>
      <c r="D91" s="347">
        <f>D92</f>
        <v>0</v>
      </c>
      <c r="E91" s="320">
        <f t="shared" si="15"/>
        <v>0</v>
      </c>
      <c r="F91" s="115"/>
      <c r="G91" s="115"/>
      <c r="H91" s="195"/>
      <c r="I91" s="115"/>
    </row>
    <row r="92" spans="1:10" ht="83.25" customHeight="1" x14ac:dyDescent="0.25">
      <c r="A92" s="201" t="s">
        <v>1168</v>
      </c>
      <c r="B92" s="98" t="s">
        <v>1203</v>
      </c>
      <c r="C92" s="329">
        <v>1506.3</v>
      </c>
      <c r="D92" s="329">
        <v>0</v>
      </c>
      <c r="E92" s="329">
        <f t="shared" si="15"/>
        <v>0</v>
      </c>
      <c r="F92" s="115"/>
      <c r="G92" s="115"/>
      <c r="H92" s="195"/>
      <c r="I92" s="115"/>
    </row>
    <row r="93" spans="1:10" ht="47.25" hidden="1" customHeight="1" x14ac:dyDescent="0.25">
      <c r="A93" s="137" t="s">
        <v>1172</v>
      </c>
      <c r="B93" s="206" t="s">
        <v>1175</v>
      </c>
      <c r="C93" s="320">
        <f>C94</f>
        <v>0</v>
      </c>
      <c r="D93" s="320">
        <f>D94</f>
        <v>0</v>
      </c>
      <c r="E93" s="329" t="e">
        <f t="shared" si="15"/>
        <v>#DIV/0!</v>
      </c>
      <c r="F93" s="115"/>
      <c r="G93" s="115"/>
      <c r="H93" s="195"/>
      <c r="I93" s="115"/>
    </row>
    <row r="94" spans="1:10" ht="54.75" hidden="1" customHeight="1" x14ac:dyDescent="0.25">
      <c r="A94" s="201" t="s">
        <v>1173</v>
      </c>
      <c r="B94" s="98" t="s">
        <v>1174</v>
      </c>
      <c r="C94" s="329">
        <v>0</v>
      </c>
      <c r="D94" s="329">
        <v>0</v>
      </c>
      <c r="E94" s="329" t="e">
        <f t="shared" si="15"/>
        <v>#DIV/0!</v>
      </c>
      <c r="F94" s="115"/>
      <c r="G94" s="115"/>
      <c r="H94" s="195"/>
      <c r="I94" s="115"/>
    </row>
    <row r="95" spans="1:10" ht="26.45" hidden="1" customHeight="1" x14ac:dyDescent="0.25">
      <c r="A95" s="425"/>
      <c r="B95" s="336" t="s">
        <v>1299</v>
      </c>
      <c r="C95" s="320">
        <f>C96</f>
        <v>0</v>
      </c>
      <c r="D95" s="320">
        <f>D96</f>
        <v>0</v>
      </c>
      <c r="E95" s="329" t="e">
        <f t="shared" si="15"/>
        <v>#DIV/0!</v>
      </c>
      <c r="F95" s="115"/>
      <c r="G95" s="115"/>
      <c r="H95" s="195"/>
      <c r="I95" s="115"/>
    </row>
    <row r="96" spans="1:10" ht="23.25" hidden="1" customHeight="1" x14ac:dyDescent="0.25">
      <c r="A96" s="427"/>
      <c r="B96" s="337"/>
      <c r="C96" s="329"/>
      <c r="D96" s="329"/>
      <c r="E96" s="329" t="e">
        <f t="shared" si="15"/>
        <v>#DIV/0!</v>
      </c>
      <c r="F96" s="115"/>
      <c r="G96" s="115"/>
      <c r="H96" s="195"/>
      <c r="I96" s="115"/>
    </row>
    <row r="97" spans="1:9" ht="55.5" customHeight="1" x14ac:dyDescent="0.25">
      <c r="A97" s="425" t="s">
        <v>1464</v>
      </c>
      <c r="B97" s="138" t="s">
        <v>1465</v>
      </c>
      <c r="C97" s="320">
        <f>SUM(C98)</f>
        <v>5079.3999999999996</v>
      </c>
      <c r="D97" s="320">
        <f>SUM(D98)</f>
        <v>1270.26</v>
      </c>
      <c r="E97" s="320">
        <f t="shared" si="15"/>
        <v>25.008071819506245</v>
      </c>
      <c r="G97" s="148"/>
    </row>
    <row r="98" spans="1:9" s="148" customFormat="1" ht="51.75" customHeight="1" x14ac:dyDescent="0.25">
      <c r="A98" s="427" t="s">
        <v>1466</v>
      </c>
      <c r="B98" s="144" t="s">
        <v>1441</v>
      </c>
      <c r="C98" s="329">
        <v>5079.3999999999996</v>
      </c>
      <c r="D98" s="329">
        <v>1270.26</v>
      </c>
      <c r="E98" s="329">
        <f t="shared" si="15"/>
        <v>25.008071819506245</v>
      </c>
    </row>
    <row r="99" spans="1:9" s="148" customFormat="1" ht="26.45" customHeight="1" x14ac:dyDescent="0.25">
      <c r="A99" s="425" t="s">
        <v>1131</v>
      </c>
      <c r="B99" s="138" t="s">
        <v>1132</v>
      </c>
      <c r="C99" s="320">
        <f>C100</f>
        <v>922.6</v>
      </c>
      <c r="D99" s="320">
        <f>D100</f>
        <v>0</v>
      </c>
      <c r="E99" s="320">
        <f t="shared" si="15"/>
        <v>0</v>
      </c>
    </row>
    <row r="100" spans="1:9" s="148" customFormat="1" ht="30.75" customHeight="1" x14ac:dyDescent="0.25">
      <c r="A100" s="427" t="s">
        <v>835</v>
      </c>
      <c r="B100" s="292" t="s">
        <v>836</v>
      </c>
      <c r="C100" s="329">
        <v>922.6</v>
      </c>
      <c r="D100" s="329">
        <v>0</v>
      </c>
      <c r="E100" s="329">
        <f t="shared" si="15"/>
        <v>0</v>
      </c>
    </row>
    <row r="101" spans="1:9" s="148" customFormat="1" ht="24.75" hidden="1" customHeight="1" x14ac:dyDescent="0.25">
      <c r="A101" s="263" t="s">
        <v>1165</v>
      </c>
      <c r="B101" s="264" t="s">
        <v>1166</v>
      </c>
      <c r="C101" s="320">
        <f>C102</f>
        <v>0</v>
      </c>
      <c r="D101" s="320">
        <f>D102</f>
        <v>0</v>
      </c>
      <c r="E101" s="329" t="e">
        <f t="shared" si="15"/>
        <v>#DIV/0!</v>
      </c>
    </row>
    <row r="102" spans="1:9" s="148" customFormat="1" ht="21.75" hidden="1" customHeight="1" x14ac:dyDescent="0.25">
      <c r="A102" s="265" t="s">
        <v>1163</v>
      </c>
      <c r="B102" s="266" t="s">
        <v>1164</v>
      </c>
      <c r="C102" s="329">
        <v>0</v>
      </c>
      <c r="D102" s="329">
        <v>0</v>
      </c>
      <c r="E102" s="329" t="e">
        <f t="shared" si="15"/>
        <v>#DIV/0!</v>
      </c>
    </row>
    <row r="103" spans="1:9" ht="31.5" x14ac:dyDescent="0.25">
      <c r="A103" s="425" t="s">
        <v>1133</v>
      </c>
      <c r="B103" s="138" t="s">
        <v>1134</v>
      </c>
      <c r="C103" s="320">
        <f>SUM(C104)</f>
        <v>21435</v>
      </c>
      <c r="D103" s="320">
        <f>SUM(D104)</f>
        <v>0</v>
      </c>
      <c r="E103" s="320">
        <f t="shared" si="15"/>
        <v>0</v>
      </c>
      <c r="G103" s="148"/>
    </row>
    <row r="104" spans="1:9" s="148" customFormat="1" ht="36.75" customHeight="1" x14ac:dyDescent="0.25">
      <c r="A104" s="427" t="s">
        <v>821</v>
      </c>
      <c r="B104" s="232" t="s">
        <v>1135</v>
      </c>
      <c r="C104" s="329">
        <v>21435</v>
      </c>
      <c r="D104" s="329">
        <v>0</v>
      </c>
      <c r="E104" s="329">
        <f t="shared" si="15"/>
        <v>0</v>
      </c>
    </row>
    <row r="105" spans="1:9" s="193" customFormat="1" ht="32.25" hidden="1" customHeight="1" x14ac:dyDescent="0.25">
      <c r="A105" s="425" t="s">
        <v>1462</v>
      </c>
      <c r="B105" s="147" t="s">
        <v>1461</v>
      </c>
      <c r="C105" s="320">
        <f>C106</f>
        <v>0</v>
      </c>
      <c r="D105" s="320">
        <f>D106</f>
        <v>0</v>
      </c>
      <c r="E105" s="329" t="e">
        <f t="shared" si="15"/>
        <v>#DIV/0!</v>
      </c>
    </row>
    <row r="106" spans="1:9" s="148" customFormat="1" ht="23.25" hidden="1" customHeight="1" x14ac:dyDescent="0.25">
      <c r="A106" s="427" t="s">
        <v>1463</v>
      </c>
      <c r="B106" s="232" t="s">
        <v>1460</v>
      </c>
      <c r="C106" s="329"/>
      <c r="D106" s="329"/>
      <c r="E106" s="329" t="e">
        <f t="shared" si="15"/>
        <v>#DIV/0!</v>
      </c>
    </row>
    <row r="107" spans="1:9" s="193" customFormat="1" ht="18.75" x14ac:dyDescent="0.3">
      <c r="A107" s="425" t="s">
        <v>1137</v>
      </c>
      <c r="B107" s="138" t="s">
        <v>1136</v>
      </c>
      <c r="C107" s="348">
        <f>C108</f>
        <v>17109.8</v>
      </c>
      <c r="D107" s="348">
        <f>D108</f>
        <v>181</v>
      </c>
      <c r="E107" s="320">
        <f t="shared" si="15"/>
        <v>1.0578732656138587</v>
      </c>
      <c r="G107" s="195"/>
      <c r="H107" s="194"/>
      <c r="I107" s="194"/>
    </row>
    <row r="108" spans="1:9" s="193" customFormat="1" ht="18.75" x14ac:dyDescent="0.25">
      <c r="A108" s="201" t="s">
        <v>820</v>
      </c>
      <c r="B108" s="144" t="s">
        <v>104</v>
      </c>
      <c r="C108" s="349">
        <f>C109+C110+C111+C112+C113+C116+C117+C119+C120+C121+C123+C122+C115+C118</f>
        <v>17109.8</v>
      </c>
      <c r="D108" s="349">
        <f>D109+D110+D111+D112+D113+D116+D117+D119+D120+D121+D123+D122+D115+D118</f>
        <v>181</v>
      </c>
      <c r="E108" s="329">
        <f t="shared" si="15"/>
        <v>1.0578732656138587</v>
      </c>
      <c r="G108" s="195"/>
      <c r="I108" s="194"/>
    </row>
    <row r="109" spans="1:9" ht="63" x14ac:dyDescent="0.25">
      <c r="A109" s="454"/>
      <c r="B109" s="139" t="s">
        <v>1439</v>
      </c>
      <c r="C109" s="329">
        <v>65.2</v>
      </c>
      <c r="D109" s="329">
        <v>0</v>
      </c>
      <c r="E109" s="329">
        <f t="shared" si="15"/>
        <v>0</v>
      </c>
    </row>
    <row r="110" spans="1:9" ht="67.900000000000006" customHeight="1" x14ac:dyDescent="0.25">
      <c r="A110" s="455"/>
      <c r="B110" s="150" t="s">
        <v>1476</v>
      </c>
      <c r="C110" s="350">
        <v>1666.6</v>
      </c>
      <c r="D110" s="350"/>
      <c r="E110" s="329">
        <f t="shared" si="15"/>
        <v>0</v>
      </c>
    </row>
    <row r="111" spans="1:9" ht="78.75" customHeight="1" x14ac:dyDescent="0.25">
      <c r="A111" s="455"/>
      <c r="B111" s="258" t="s">
        <v>1528</v>
      </c>
      <c r="C111" s="350">
        <v>200</v>
      </c>
      <c r="D111" s="350">
        <v>0</v>
      </c>
      <c r="E111" s="329">
        <f t="shared" si="15"/>
        <v>0</v>
      </c>
    </row>
    <row r="112" spans="1:9" ht="34.700000000000003" customHeight="1" x14ac:dyDescent="0.25">
      <c r="A112" s="455"/>
      <c r="B112" s="149" t="s">
        <v>1477</v>
      </c>
      <c r="C112" s="351">
        <v>2161.1</v>
      </c>
      <c r="D112" s="351">
        <v>0</v>
      </c>
      <c r="E112" s="329">
        <f t="shared" si="15"/>
        <v>0</v>
      </c>
      <c r="I112" s="115"/>
    </row>
    <row r="113" spans="1:12" ht="63" hidden="1" x14ac:dyDescent="0.25">
      <c r="A113" s="455"/>
      <c r="B113" s="150" t="s">
        <v>1437</v>
      </c>
      <c r="C113" s="352"/>
      <c r="D113" s="352"/>
      <c r="E113" s="329" t="e">
        <f t="shared" si="15"/>
        <v>#DIV/0!</v>
      </c>
      <c r="G113" s="151"/>
    </row>
    <row r="114" spans="1:12" s="151" customFormat="1" ht="94.7" hidden="1" customHeight="1" x14ac:dyDescent="0.25">
      <c r="A114" s="455"/>
      <c r="B114" s="244" t="s">
        <v>1438</v>
      </c>
      <c r="C114" s="353">
        <v>0</v>
      </c>
      <c r="D114" s="353"/>
      <c r="E114" s="329" t="e">
        <f t="shared" si="15"/>
        <v>#DIV/0!</v>
      </c>
      <c r="L114" s="128"/>
    </row>
    <row r="115" spans="1:12" s="151" customFormat="1" ht="84.2" customHeight="1" x14ac:dyDescent="0.25">
      <c r="A115" s="455"/>
      <c r="B115" s="139" t="s">
        <v>1459</v>
      </c>
      <c r="C115" s="329">
        <v>40</v>
      </c>
      <c r="D115" s="329">
        <v>0</v>
      </c>
      <c r="E115" s="329">
        <f t="shared" si="15"/>
        <v>0</v>
      </c>
      <c r="L115" s="128"/>
    </row>
    <row r="116" spans="1:12" ht="31.5" x14ac:dyDescent="0.25">
      <c r="A116" s="455"/>
      <c r="B116" s="139" t="s">
        <v>1478</v>
      </c>
      <c r="C116" s="329">
        <v>1731.8</v>
      </c>
      <c r="D116" s="329">
        <v>135</v>
      </c>
      <c r="E116" s="329">
        <f t="shared" si="15"/>
        <v>7.795357431574085</v>
      </c>
    </row>
    <row r="117" spans="1:12" ht="31.5" x14ac:dyDescent="0.25">
      <c r="A117" s="455"/>
      <c r="B117" s="139" t="s">
        <v>1479</v>
      </c>
      <c r="C117" s="329">
        <v>255</v>
      </c>
      <c r="D117" s="329">
        <v>0</v>
      </c>
      <c r="E117" s="329">
        <f t="shared" si="15"/>
        <v>0</v>
      </c>
    </row>
    <row r="118" spans="1:12" ht="26.25" customHeight="1" x14ac:dyDescent="0.25">
      <c r="A118" s="455"/>
      <c r="B118" s="338" t="s">
        <v>1480</v>
      </c>
      <c r="C118" s="329">
        <v>1630</v>
      </c>
      <c r="D118" s="329">
        <v>0</v>
      </c>
      <c r="E118" s="329">
        <f t="shared" si="15"/>
        <v>0</v>
      </c>
    </row>
    <row r="119" spans="1:12" ht="31.5" customHeight="1" x14ac:dyDescent="0.25">
      <c r="A119" s="455"/>
      <c r="B119" s="139" t="s">
        <v>1446</v>
      </c>
      <c r="C119" s="329">
        <v>516.6</v>
      </c>
      <c r="D119" s="329">
        <v>46</v>
      </c>
      <c r="E119" s="329">
        <f t="shared" si="15"/>
        <v>8.9043747580332937</v>
      </c>
    </row>
    <row r="120" spans="1:12" ht="47.25" hidden="1" x14ac:dyDescent="0.25">
      <c r="A120" s="455"/>
      <c r="B120" s="247" t="s">
        <v>1442</v>
      </c>
      <c r="C120" s="352">
        <v>0</v>
      </c>
      <c r="D120" s="352"/>
      <c r="E120" s="329" t="e">
        <f t="shared" si="15"/>
        <v>#DIV/0!</v>
      </c>
    </row>
    <row r="121" spans="1:12" s="191" customFormat="1" ht="98.45" customHeight="1" x14ac:dyDescent="0.2">
      <c r="A121" s="455"/>
      <c r="B121" s="188" t="s">
        <v>1481</v>
      </c>
      <c r="C121" s="349">
        <v>166.7</v>
      </c>
      <c r="D121" s="349">
        <v>0</v>
      </c>
      <c r="E121" s="329">
        <f t="shared" si="15"/>
        <v>0</v>
      </c>
    </row>
    <row r="122" spans="1:12" s="191" customFormat="1" ht="34.700000000000003" customHeight="1" x14ac:dyDescent="0.2">
      <c r="A122" s="455"/>
      <c r="B122" s="301" t="s">
        <v>1482</v>
      </c>
      <c r="C122" s="349">
        <v>74.900000000000006</v>
      </c>
      <c r="D122" s="349">
        <v>0</v>
      </c>
      <c r="E122" s="329">
        <f t="shared" si="15"/>
        <v>0</v>
      </c>
    </row>
    <row r="123" spans="1:12" s="191" customFormat="1" ht="52.5" customHeight="1" x14ac:dyDescent="0.2">
      <c r="A123" s="456"/>
      <c r="B123" s="338" t="s">
        <v>1509</v>
      </c>
      <c r="C123" s="349">
        <v>8601.9</v>
      </c>
      <c r="D123" s="349">
        <v>0</v>
      </c>
      <c r="E123" s="329">
        <f t="shared" si="15"/>
        <v>0</v>
      </c>
    </row>
    <row r="124" spans="1:12" ht="18.75" x14ac:dyDescent="0.25">
      <c r="A124" s="137" t="s">
        <v>819</v>
      </c>
      <c r="B124" s="146" t="s">
        <v>106</v>
      </c>
      <c r="C124" s="320">
        <f>C150+C125+C146+C148</f>
        <v>254670.69999999998</v>
      </c>
      <c r="D124" s="320">
        <f>D150+D125+D146+D148</f>
        <v>56518.810000000005</v>
      </c>
      <c r="E124" s="320">
        <f t="shared" si="15"/>
        <v>22.192898515612519</v>
      </c>
      <c r="F124" s="115"/>
      <c r="I124" s="115"/>
    </row>
    <row r="125" spans="1:12" ht="31.5" x14ac:dyDescent="0.25">
      <c r="A125" s="137" t="s">
        <v>818</v>
      </c>
      <c r="B125" s="146" t="s">
        <v>107</v>
      </c>
      <c r="C125" s="320">
        <f>C126</f>
        <v>254065.5</v>
      </c>
      <c r="D125" s="320">
        <f>D126</f>
        <v>56381.545000000006</v>
      </c>
      <c r="E125" s="320">
        <f t="shared" si="15"/>
        <v>22.191735989341332</v>
      </c>
    </row>
    <row r="126" spans="1:12" ht="31.5" x14ac:dyDescent="0.25">
      <c r="A126" s="201" t="s">
        <v>817</v>
      </c>
      <c r="B126" s="139" t="s">
        <v>108</v>
      </c>
      <c r="C126" s="329">
        <f>SUM(C127+C128+C129+C130+C131+C132+C133+C136+C137+C138+C139+C141+C140+C142)</f>
        <v>254065.5</v>
      </c>
      <c r="D126" s="329">
        <f>SUM(D127+D128+D129+D130+D131+D132+D133+D136+D137+D138+D139+D141+D140+D142)</f>
        <v>56381.545000000006</v>
      </c>
      <c r="E126" s="329">
        <f t="shared" si="15"/>
        <v>22.191735989341332</v>
      </c>
    </row>
    <row r="127" spans="1:12" ht="49.7" customHeight="1" x14ac:dyDescent="0.25">
      <c r="A127" s="454"/>
      <c r="B127" s="149" t="s">
        <v>1483</v>
      </c>
      <c r="C127" s="352">
        <v>131567.20000000001</v>
      </c>
      <c r="D127" s="352">
        <v>29826.6</v>
      </c>
      <c r="E127" s="329">
        <f t="shared" si="15"/>
        <v>22.67023999902711</v>
      </c>
    </row>
    <row r="128" spans="1:12" ht="33.950000000000003" customHeight="1" x14ac:dyDescent="0.25">
      <c r="A128" s="455"/>
      <c r="B128" s="139" t="s">
        <v>1484</v>
      </c>
      <c r="C128" s="352">
        <v>90957.3</v>
      </c>
      <c r="D128" s="352">
        <v>19544</v>
      </c>
      <c r="E128" s="329">
        <f t="shared" si="15"/>
        <v>21.487005441014627</v>
      </c>
    </row>
    <row r="129" spans="1:9" ht="50.25" customHeight="1" x14ac:dyDescent="0.25">
      <c r="A129" s="455"/>
      <c r="B129" s="139" t="s">
        <v>1485</v>
      </c>
      <c r="C129" s="352">
        <v>4777.5</v>
      </c>
      <c r="D129" s="352">
        <v>1163.28</v>
      </c>
      <c r="E129" s="329">
        <f t="shared" si="15"/>
        <v>24.349136577708006</v>
      </c>
    </row>
    <row r="130" spans="1:9" ht="51.6" customHeight="1" x14ac:dyDescent="0.25">
      <c r="A130" s="455"/>
      <c r="B130" s="139" t="s">
        <v>1491</v>
      </c>
      <c r="C130" s="352">
        <v>2185</v>
      </c>
      <c r="D130" s="352">
        <v>496.9</v>
      </c>
      <c r="E130" s="329">
        <f t="shared" si="15"/>
        <v>22.741418764302058</v>
      </c>
    </row>
    <row r="131" spans="1:9" ht="48.95" customHeight="1" x14ac:dyDescent="0.25">
      <c r="A131" s="455"/>
      <c r="B131" s="139" t="s">
        <v>1486</v>
      </c>
      <c r="C131" s="352">
        <v>1439.4</v>
      </c>
      <c r="D131" s="352">
        <v>381.85</v>
      </c>
      <c r="E131" s="329">
        <f t="shared" si="15"/>
        <v>26.528414617201612</v>
      </c>
    </row>
    <row r="132" spans="1:9" ht="135.75" customHeight="1" x14ac:dyDescent="0.25">
      <c r="A132" s="455"/>
      <c r="B132" s="139" t="s">
        <v>1467</v>
      </c>
      <c r="C132" s="352">
        <v>264.2</v>
      </c>
      <c r="D132" s="352">
        <v>44</v>
      </c>
      <c r="E132" s="329">
        <f t="shared" si="15"/>
        <v>16.654049962149887</v>
      </c>
    </row>
    <row r="133" spans="1:9" ht="47.25" x14ac:dyDescent="0.25">
      <c r="A133" s="455"/>
      <c r="B133" s="139" t="s">
        <v>109</v>
      </c>
      <c r="C133" s="352">
        <f>SUM(C134:C135)</f>
        <v>3619.2</v>
      </c>
      <c r="D133" s="352">
        <v>809.77499999999998</v>
      </c>
      <c r="E133" s="329">
        <f t="shared" si="15"/>
        <v>22.374419761273209</v>
      </c>
    </row>
    <row r="134" spans="1:9" ht="31.5" x14ac:dyDescent="0.25">
      <c r="A134" s="455"/>
      <c r="B134" s="152" t="s">
        <v>708</v>
      </c>
      <c r="C134" s="353">
        <v>2829.1</v>
      </c>
      <c r="D134" s="353">
        <v>663.6</v>
      </c>
      <c r="E134" s="329">
        <f t="shared" si="15"/>
        <v>23.456222827047473</v>
      </c>
    </row>
    <row r="135" spans="1:9" ht="31.5" x14ac:dyDescent="0.25">
      <c r="A135" s="455"/>
      <c r="B135" s="152" t="s">
        <v>709</v>
      </c>
      <c r="C135" s="353">
        <v>790.1</v>
      </c>
      <c r="D135" s="353">
        <v>146.17500000000001</v>
      </c>
      <c r="E135" s="329">
        <f t="shared" si="15"/>
        <v>18.500822680673334</v>
      </c>
    </row>
    <row r="136" spans="1:9" ht="67.900000000000006" customHeight="1" x14ac:dyDescent="0.25">
      <c r="A136" s="455"/>
      <c r="B136" s="139" t="s">
        <v>1487</v>
      </c>
      <c r="C136" s="352">
        <v>341.4</v>
      </c>
      <c r="D136" s="352">
        <v>57</v>
      </c>
      <c r="E136" s="329">
        <f t="shared" si="15"/>
        <v>16.695957820738137</v>
      </c>
    </row>
    <row r="137" spans="1:9" ht="65.25" customHeight="1" x14ac:dyDescent="0.25">
      <c r="A137" s="455"/>
      <c r="B137" s="139" t="s">
        <v>1488</v>
      </c>
      <c r="C137" s="352">
        <v>900</v>
      </c>
      <c r="D137" s="352">
        <v>275</v>
      </c>
      <c r="E137" s="329">
        <f t="shared" si="15"/>
        <v>30.555555555555557</v>
      </c>
    </row>
    <row r="138" spans="1:9" ht="47.25" x14ac:dyDescent="0.25">
      <c r="A138" s="455"/>
      <c r="B138" s="139" t="s">
        <v>1468</v>
      </c>
      <c r="C138" s="352">
        <v>1334.3</v>
      </c>
      <c r="D138" s="352">
        <v>368.4</v>
      </c>
      <c r="E138" s="329">
        <f t="shared" si="15"/>
        <v>27.609982762497186</v>
      </c>
    </row>
    <row r="139" spans="1:9" ht="64.5" customHeight="1" x14ac:dyDescent="0.25">
      <c r="A139" s="455"/>
      <c r="B139" s="29" t="s">
        <v>1489</v>
      </c>
      <c r="C139" s="352">
        <v>22.3</v>
      </c>
      <c r="D139" s="352">
        <v>0</v>
      </c>
      <c r="E139" s="329">
        <f t="shared" si="15"/>
        <v>0</v>
      </c>
      <c r="F139" s="200"/>
      <c r="G139" s="200"/>
      <c r="H139" s="200"/>
      <c r="I139" s="200"/>
    </row>
    <row r="140" spans="1:9" ht="77.45" customHeight="1" x14ac:dyDescent="0.25">
      <c r="A140" s="455"/>
      <c r="B140" s="338" t="s">
        <v>1447</v>
      </c>
      <c r="C140" s="352">
        <v>1975.4</v>
      </c>
      <c r="D140" s="352">
        <v>0</v>
      </c>
      <c r="E140" s="329">
        <f t="shared" si="15"/>
        <v>0</v>
      </c>
      <c r="F140" s="200"/>
      <c r="G140" s="200"/>
      <c r="H140" s="200"/>
      <c r="I140" s="200"/>
    </row>
    <row r="141" spans="1:9" ht="54" customHeight="1" x14ac:dyDescent="0.25">
      <c r="A141" s="455"/>
      <c r="B141" s="139" t="s">
        <v>1469</v>
      </c>
      <c r="C141" s="352">
        <v>1857.2</v>
      </c>
      <c r="D141" s="352">
        <v>245.89099999999999</v>
      </c>
      <c r="E141" s="329">
        <f t="shared" si="15"/>
        <v>13.239877234546629</v>
      </c>
      <c r="F141" s="200"/>
      <c r="G141" s="200"/>
      <c r="H141" s="200"/>
      <c r="I141" s="200"/>
    </row>
    <row r="142" spans="1:9" ht="66.75" customHeight="1" x14ac:dyDescent="0.25">
      <c r="A142" s="455"/>
      <c r="B142" s="153" t="s">
        <v>1470</v>
      </c>
      <c r="C142" s="354">
        <f>SUM(C143:C145)</f>
        <v>12825.1</v>
      </c>
      <c r="D142" s="354">
        <f>SUM(D143:D145)</f>
        <v>3168.8490000000002</v>
      </c>
      <c r="E142" s="329">
        <f t="shared" si="15"/>
        <v>24.708181612619008</v>
      </c>
      <c r="F142" s="200"/>
      <c r="G142" s="200"/>
      <c r="H142" s="200"/>
      <c r="I142" s="200"/>
    </row>
    <row r="143" spans="1:9" ht="30.75" customHeight="1" x14ac:dyDescent="0.25">
      <c r="A143" s="455"/>
      <c r="B143" s="302" t="s">
        <v>1471</v>
      </c>
      <c r="C143" s="355">
        <v>9911</v>
      </c>
      <c r="D143" s="355">
        <v>2564.4</v>
      </c>
      <c r="E143" s="329">
        <f t="shared" ref="E143:E169" si="16">D143/C143*100</f>
        <v>25.874281101806073</v>
      </c>
      <c r="F143" s="200"/>
      <c r="G143" s="200"/>
      <c r="H143" s="200"/>
      <c r="I143" s="200"/>
    </row>
    <row r="144" spans="1:9" ht="33" customHeight="1" x14ac:dyDescent="0.25">
      <c r="A144" s="455"/>
      <c r="B144" s="302" t="s">
        <v>1472</v>
      </c>
      <c r="C144" s="355">
        <v>2100.6</v>
      </c>
      <c r="D144" s="355">
        <v>487.1</v>
      </c>
      <c r="E144" s="329">
        <f t="shared" si="16"/>
        <v>23.188612777301724</v>
      </c>
      <c r="F144" s="200"/>
      <c r="G144" s="200"/>
      <c r="H144" s="200"/>
      <c r="I144" s="200"/>
    </row>
    <row r="145" spans="1:10" ht="33" customHeight="1" x14ac:dyDescent="0.25">
      <c r="A145" s="456"/>
      <c r="B145" s="302" t="s">
        <v>1473</v>
      </c>
      <c r="C145" s="355">
        <v>813.5</v>
      </c>
      <c r="D145" s="355">
        <v>117.349</v>
      </c>
      <c r="E145" s="329">
        <f t="shared" si="16"/>
        <v>14.425199754148741</v>
      </c>
      <c r="F145" s="200"/>
      <c r="G145" s="200"/>
      <c r="H145" s="200"/>
      <c r="I145" s="200"/>
    </row>
    <row r="146" spans="1:10" ht="55.15" hidden="1" customHeight="1" x14ac:dyDescent="0.25">
      <c r="A146" s="137" t="s">
        <v>1177</v>
      </c>
      <c r="B146" s="206" t="s">
        <v>1179</v>
      </c>
      <c r="C146" s="356">
        <f>C147</f>
        <v>0</v>
      </c>
      <c r="D146" s="356">
        <f>D147</f>
        <v>0</v>
      </c>
      <c r="E146" s="329" t="e">
        <f t="shared" si="16"/>
        <v>#DIV/0!</v>
      </c>
      <c r="F146" s="200"/>
      <c r="G146" s="200"/>
      <c r="H146" s="200"/>
      <c r="I146" s="200"/>
    </row>
    <row r="147" spans="1:10" ht="54" hidden="1" customHeight="1" x14ac:dyDescent="0.25">
      <c r="A147" s="201" t="s">
        <v>1178</v>
      </c>
      <c r="B147" s="98" t="s">
        <v>1179</v>
      </c>
      <c r="C147" s="352">
        <v>0</v>
      </c>
      <c r="D147" s="352">
        <v>0</v>
      </c>
      <c r="E147" s="329" t="e">
        <f t="shared" si="16"/>
        <v>#DIV/0!</v>
      </c>
      <c r="F147" s="200"/>
      <c r="G147" s="200"/>
      <c r="H147" s="200"/>
      <c r="I147" s="200"/>
    </row>
    <row r="148" spans="1:10" ht="31.5" x14ac:dyDescent="0.25">
      <c r="A148" s="137" t="s">
        <v>1517</v>
      </c>
      <c r="B148" s="206" t="s">
        <v>1518</v>
      </c>
      <c r="C148" s="356">
        <f>C149</f>
        <v>105.9</v>
      </c>
      <c r="D148" s="356">
        <f>D149</f>
        <v>0</v>
      </c>
      <c r="E148" s="320">
        <f t="shared" si="16"/>
        <v>0</v>
      </c>
      <c r="F148" s="200"/>
      <c r="G148" s="200"/>
      <c r="H148" s="200"/>
      <c r="I148" s="200"/>
    </row>
    <row r="149" spans="1:10" ht="31.5" x14ac:dyDescent="0.25">
      <c r="A149" s="201" t="s">
        <v>1519</v>
      </c>
      <c r="B149" s="98" t="s">
        <v>1520</v>
      </c>
      <c r="C149" s="352">
        <v>105.9</v>
      </c>
      <c r="D149" s="352">
        <v>0</v>
      </c>
      <c r="E149" s="329">
        <f t="shared" si="16"/>
        <v>0</v>
      </c>
      <c r="F149" s="200"/>
      <c r="G149" s="200"/>
      <c r="H149" s="200"/>
      <c r="I149" s="200"/>
    </row>
    <row r="150" spans="1:10" ht="31.5" x14ac:dyDescent="0.25">
      <c r="A150" s="137" t="s">
        <v>816</v>
      </c>
      <c r="B150" s="146" t="s">
        <v>110</v>
      </c>
      <c r="C150" s="320">
        <f t="shared" ref="C150:D150" si="17">C151</f>
        <v>499.29999999999995</v>
      </c>
      <c r="D150" s="320">
        <f t="shared" si="17"/>
        <v>137.26499999999999</v>
      </c>
      <c r="E150" s="320">
        <f t="shared" si="16"/>
        <v>27.491488083316646</v>
      </c>
    </row>
    <row r="151" spans="1:10" ht="31.5" x14ac:dyDescent="0.25">
      <c r="A151" s="201" t="s">
        <v>815</v>
      </c>
      <c r="B151" s="139" t="s">
        <v>111</v>
      </c>
      <c r="C151" s="329">
        <f>555.9-56.6</f>
        <v>499.29999999999995</v>
      </c>
      <c r="D151" s="329">
        <v>137.26499999999999</v>
      </c>
      <c r="E151" s="329">
        <f t="shared" si="16"/>
        <v>27.491488083316646</v>
      </c>
      <c r="J151" s="128" t="s">
        <v>1583</v>
      </c>
    </row>
    <row r="152" spans="1:10" ht="18.75" x14ac:dyDescent="0.25">
      <c r="A152" s="137" t="s">
        <v>814</v>
      </c>
      <c r="B152" s="146" t="s">
        <v>112</v>
      </c>
      <c r="C152" s="320">
        <f>C153</f>
        <v>7226.1</v>
      </c>
      <c r="D152" s="320">
        <f>D153</f>
        <v>1204.3499999999999</v>
      </c>
      <c r="E152" s="320">
        <f t="shared" si="16"/>
        <v>16.666666666666664</v>
      </c>
    </row>
    <row r="153" spans="1:10" ht="48.2" customHeight="1" x14ac:dyDescent="0.25">
      <c r="A153" s="287" t="s">
        <v>1405</v>
      </c>
      <c r="B153" s="293" t="s">
        <v>1403</v>
      </c>
      <c r="C153" s="320">
        <f>C154</f>
        <v>7226.1</v>
      </c>
      <c r="D153" s="320">
        <f>D154</f>
        <v>1204.3499999999999</v>
      </c>
      <c r="E153" s="320">
        <f t="shared" si="16"/>
        <v>16.666666666666664</v>
      </c>
    </row>
    <row r="154" spans="1:10" ht="46.9" customHeight="1" x14ac:dyDescent="0.25">
      <c r="A154" s="257" t="s">
        <v>1406</v>
      </c>
      <c r="B154" s="153" t="s">
        <v>1404</v>
      </c>
      <c r="C154" s="329">
        <v>7226.1</v>
      </c>
      <c r="D154" s="329">
        <v>1204.3499999999999</v>
      </c>
      <c r="E154" s="329">
        <f t="shared" si="16"/>
        <v>16.666666666666664</v>
      </c>
    </row>
    <row r="155" spans="1:10" ht="31.5" x14ac:dyDescent="0.25">
      <c r="A155" s="137" t="s">
        <v>1626</v>
      </c>
      <c r="B155" s="146" t="s">
        <v>1627</v>
      </c>
      <c r="C155" s="320">
        <f>C156</f>
        <v>0</v>
      </c>
      <c r="D155" s="320">
        <f>D156</f>
        <v>2996.0705600000001</v>
      </c>
      <c r="E155" s="329" t="s">
        <v>1623</v>
      </c>
    </row>
    <row r="156" spans="1:10" ht="31.5" x14ac:dyDescent="0.25">
      <c r="A156" s="201" t="s">
        <v>1628</v>
      </c>
      <c r="B156" s="139" t="s">
        <v>1629</v>
      </c>
      <c r="C156" s="355">
        <f>SUM(C157:C159)</f>
        <v>0</v>
      </c>
      <c r="D156" s="355">
        <f>SUM(D157:D159)</f>
        <v>2996.0705600000001</v>
      </c>
      <c r="E156" s="329" t="s">
        <v>1623</v>
      </c>
    </row>
    <row r="157" spans="1:10" ht="18.75" customHeight="1" x14ac:dyDescent="0.25">
      <c r="A157" s="451" t="s">
        <v>1630</v>
      </c>
      <c r="B157" s="457" t="s">
        <v>1631</v>
      </c>
      <c r="C157" s="460">
        <v>0</v>
      </c>
      <c r="D157" s="460">
        <v>2996.0705600000001</v>
      </c>
      <c r="E157" s="460" t="s">
        <v>1623</v>
      </c>
    </row>
    <row r="158" spans="1:10" ht="14.25" customHeight="1" x14ac:dyDescent="0.25">
      <c r="A158" s="452"/>
      <c r="B158" s="458"/>
      <c r="C158" s="461"/>
      <c r="D158" s="461"/>
      <c r="E158" s="461"/>
    </row>
    <row r="159" spans="1:10" ht="18.75" hidden="1" customHeight="1" x14ac:dyDescent="0.25">
      <c r="A159" s="453"/>
      <c r="B159" s="459"/>
      <c r="C159" s="355"/>
      <c r="D159" s="355"/>
      <c r="E159" s="329" t="e">
        <f t="shared" si="16"/>
        <v>#DIV/0!</v>
      </c>
    </row>
    <row r="160" spans="1:10" ht="18.75" hidden="1" x14ac:dyDescent="0.25">
      <c r="A160" s="19" t="s">
        <v>793</v>
      </c>
      <c r="B160" s="189" t="s">
        <v>794</v>
      </c>
      <c r="C160" s="357">
        <f>SUM(C161)</f>
        <v>0</v>
      </c>
      <c r="D160" s="357">
        <f>SUM(D161)</f>
        <v>0</v>
      </c>
      <c r="E160" s="329" t="e">
        <f t="shared" si="16"/>
        <v>#DIV/0!</v>
      </c>
    </row>
    <row r="161" spans="1:12" ht="18.75" hidden="1" x14ac:dyDescent="0.25">
      <c r="A161" s="19" t="s">
        <v>795</v>
      </c>
      <c r="B161" s="189" t="s">
        <v>796</v>
      </c>
      <c r="C161" s="357">
        <f>SUM(C162)</f>
        <v>0</v>
      </c>
      <c r="D161" s="357">
        <f>SUM(D162)</f>
        <v>0</v>
      </c>
      <c r="E161" s="329" t="e">
        <f t="shared" si="16"/>
        <v>#DIV/0!</v>
      </c>
    </row>
    <row r="162" spans="1:12" ht="18.75" hidden="1" x14ac:dyDescent="0.25">
      <c r="A162" s="448" t="s">
        <v>844</v>
      </c>
      <c r="B162" s="192" t="s">
        <v>796</v>
      </c>
      <c r="C162" s="357">
        <f>SUM(C164:C165)</f>
        <v>0</v>
      </c>
      <c r="D162" s="357">
        <f>SUM(D164:D165)</f>
        <v>0</v>
      </c>
      <c r="E162" s="329" t="e">
        <f t="shared" si="16"/>
        <v>#DIV/0!</v>
      </c>
    </row>
    <row r="163" spans="1:12" ht="18.75" hidden="1" x14ac:dyDescent="0.25">
      <c r="A163" s="449"/>
      <c r="B163" s="192" t="s">
        <v>105</v>
      </c>
      <c r="C163" s="357"/>
      <c r="D163" s="357"/>
      <c r="E163" s="329" t="e">
        <f t="shared" si="16"/>
        <v>#DIV/0!</v>
      </c>
    </row>
    <row r="164" spans="1:12" ht="22.7" hidden="1" customHeight="1" x14ac:dyDescent="0.25">
      <c r="A164" s="449"/>
      <c r="B164" s="190"/>
      <c r="C164" s="355">
        <v>0</v>
      </c>
      <c r="D164" s="355">
        <v>0</v>
      </c>
      <c r="E164" s="329" t="e">
        <f t="shared" si="16"/>
        <v>#DIV/0!</v>
      </c>
    </row>
    <row r="165" spans="1:12" ht="18.75" hidden="1" x14ac:dyDescent="0.25">
      <c r="A165" s="449"/>
      <c r="B165" s="429"/>
      <c r="C165" s="430">
        <v>0</v>
      </c>
      <c r="D165" s="430">
        <v>0</v>
      </c>
      <c r="E165" s="350" t="e">
        <f t="shared" si="16"/>
        <v>#DIV/0!</v>
      </c>
    </row>
    <row r="166" spans="1:12" s="193" customFormat="1" ht="31.5" x14ac:dyDescent="0.25">
      <c r="A166" s="19" t="s">
        <v>1632</v>
      </c>
      <c r="B166" s="431" t="s">
        <v>1633</v>
      </c>
      <c r="C166" s="320">
        <v>0</v>
      </c>
      <c r="D166" s="320">
        <f>D167+D168</f>
        <v>-5833.2190000000001</v>
      </c>
      <c r="E166" s="432" t="s">
        <v>1636</v>
      </c>
    </row>
    <row r="167" spans="1:12" ht="52.5" customHeight="1" x14ac:dyDescent="0.25">
      <c r="A167" s="16" t="s">
        <v>1634</v>
      </c>
      <c r="B167" s="190" t="s">
        <v>1637</v>
      </c>
      <c r="C167" s="329">
        <v>0</v>
      </c>
      <c r="D167" s="329">
        <v>-5831.22</v>
      </c>
      <c r="E167" s="329" t="s">
        <v>1623</v>
      </c>
    </row>
    <row r="168" spans="1:12" ht="29.25" customHeight="1" x14ac:dyDescent="0.25">
      <c r="A168" s="16" t="s">
        <v>1635</v>
      </c>
      <c r="B168" s="190" t="s">
        <v>1638</v>
      </c>
      <c r="C168" s="329">
        <v>0</v>
      </c>
      <c r="D168" s="329">
        <v>-1.9990000000000001</v>
      </c>
      <c r="E168" s="329" t="s">
        <v>1623</v>
      </c>
    </row>
    <row r="169" spans="1:12" ht="18.75" x14ac:dyDescent="0.25">
      <c r="A169" s="201"/>
      <c r="B169" s="185" t="s">
        <v>114</v>
      </c>
      <c r="C169" s="320">
        <f>SUM(C10+C79)</f>
        <v>800229.3</v>
      </c>
      <c r="D169" s="320">
        <f>SUM(D10+D79)</f>
        <v>189595.92913</v>
      </c>
      <c r="E169" s="320">
        <f t="shared" si="16"/>
        <v>23.69270022104914</v>
      </c>
      <c r="G169" s="195"/>
      <c r="H169" s="115"/>
      <c r="L169" s="115"/>
    </row>
    <row r="170" spans="1:12" x14ac:dyDescent="0.25">
      <c r="C170" s="177">
        <f>C10+C83+C85</f>
        <v>488997.7</v>
      </c>
      <c r="D170" s="177">
        <f>D10+D83+D85</f>
        <v>132985.74857</v>
      </c>
      <c r="E170" s="177">
        <f>E10+E83+E85</f>
        <v>78.795176221484553</v>
      </c>
    </row>
    <row r="171" spans="1:12" ht="21.2" customHeight="1" x14ac:dyDescent="0.25">
      <c r="C171" s="177">
        <f>C79-C83-C85</f>
        <v>311231.59999999998</v>
      </c>
      <c r="D171" s="177">
        <f>D79-D83-D85</f>
        <v>56610.180560000023</v>
      </c>
      <c r="E171" s="177">
        <f>E79-E83-E85</f>
        <v>-29.10601215469309</v>
      </c>
      <c r="I171" s="225"/>
    </row>
    <row r="172" spans="1:12" x14ac:dyDescent="0.25">
      <c r="C172" s="177">
        <v>800229.3</v>
      </c>
    </row>
  </sheetData>
  <mergeCells count="15">
    <mergeCell ref="D3:E3"/>
    <mergeCell ref="B1:C1"/>
    <mergeCell ref="B2:C2"/>
    <mergeCell ref="B3:C3"/>
    <mergeCell ref="A162:A165"/>
    <mergeCell ref="A6:C6"/>
    <mergeCell ref="A8:C8"/>
    <mergeCell ref="A157:A159"/>
    <mergeCell ref="A127:A145"/>
    <mergeCell ref="A109:A123"/>
    <mergeCell ref="A7:E7"/>
    <mergeCell ref="B157:B159"/>
    <mergeCell ref="C157:C158"/>
    <mergeCell ref="D157:D158"/>
    <mergeCell ref="E157:E158"/>
  </mergeCells>
  <hyperlinks>
    <hyperlink ref="B69" r:id="rId1" display="consultantplus://offline/ref=90DD075742B43C415054D7C57EEE35341F87E5BC1D9D1BDE3A747C0D881C15D50B24F795703DF0A84C588B73F9A8AC3C8A6AC02CDB9A5E68c4m2F"/>
    <hyperlink ref="B71" r:id="rId2" display="consultantplus://offline/ref=90DD075742B43C415054D7C57EEE35341F87E5BC1D9D1BDE3A747C0D881C15D50B24F795703DF2AD4E588B73F9A8AC3C8A6AC02CDB9A5E68c4m2F"/>
    <hyperlink ref="B73" r:id="rId3" display="consultantplus://offline/ref=90DD075742B43C415054D7C57EEE35341F87E5BC1D9D1BDE3A747C0D881C15D50B24F795703CF7A64B588B73F9A8AC3C8A6AC02CDB9A5E68c4m2F"/>
    <hyperlink ref="B72" r:id="rId4" display="consultantplus://offline/ref=90DD075742B43C415054D7C57EEE35341F87E5BC1D9D1BDE3A747C0D881C15D50B24F795703CF7A64B588B73F9A8AC3C8A6AC02CDB9A5E68c4m2F"/>
    <hyperlink ref="B68" r:id="rId5" display="consultantplus://offline/ref=90DD075742B43C415054D7C57EEE35341F87E5BC1D9D1BDE3A747C0D881C15D50B24F795703DF0A84C588B73F9A8AC3C8A6AC02CDB9A5E68c4m2F"/>
    <hyperlink ref="B70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5" fitToHeight="6" orientation="portrait" r:id="rId7"/>
  <ignoredErrors>
    <ignoredError sqref="C46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0"/>
  <sheetViews>
    <sheetView view="pageBreakPreview" topLeftCell="A851" zoomScaleNormal="100" zoomScaleSheetLayoutView="100" workbookViewId="0">
      <selection activeCell="H6" sqref="H6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3.7109375" style="115" customWidth="1"/>
    <col min="8" max="8" width="13.140625" style="203" customWidth="1"/>
    <col min="9" max="9" width="9" style="22" customWidth="1"/>
    <col min="10" max="10" width="10.7109375" customWidth="1"/>
    <col min="11" max="13" width="9" customWidth="1"/>
  </cols>
  <sheetData>
    <row r="1" spans="1:9" ht="15.75" x14ac:dyDescent="0.25">
      <c r="A1" s="203"/>
      <c r="B1" s="203"/>
      <c r="C1" s="203"/>
      <c r="D1" s="203"/>
      <c r="E1" s="203"/>
      <c r="F1" s="477"/>
      <c r="G1" s="477"/>
      <c r="H1" s="497" t="s">
        <v>115</v>
      </c>
      <c r="I1" s="497"/>
    </row>
    <row r="2" spans="1:9" ht="15.75" x14ac:dyDescent="0.25">
      <c r="A2" s="203"/>
      <c r="B2" s="203"/>
      <c r="C2" s="203"/>
      <c r="D2" s="203"/>
      <c r="E2" s="203"/>
      <c r="F2" s="477"/>
      <c r="G2" s="477"/>
      <c r="H2" s="496" t="s">
        <v>1641</v>
      </c>
      <c r="I2" s="496"/>
    </row>
    <row r="3" spans="1:9" s="202" customFormat="1" ht="15.75" x14ac:dyDescent="0.25">
      <c r="A3" s="203"/>
      <c r="B3" s="203"/>
      <c r="C3" s="203"/>
      <c r="D3" s="203"/>
      <c r="E3" s="203"/>
      <c r="F3" s="445"/>
      <c r="G3" s="445"/>
      <c r="H3" s="496" t="s">
        <v>1650</v>
      </c>
      <c r="I3" s="496"/>
    </row>
    <row r="4" spans="1:9" ht="15.75" x14ac:dyDescent="0.25">
      <c r="A4" s="203"/>
      <c r="B4" s="203"/>
      <c r="C4" s="203"/>
      <c r="D4" s="203"/>
      <c r="E4" s="203"/>
      <c r="F4" s="418"/>
      <c r="G4" s="418"/>
      <c r="H4" s="496" t="s">
        <v>1642</v>
      </c>
      <c r="I4" s="496"/>
    </row>
    <row r="5" spans="1:9" s="202" customFormat="1" ht="15.75" x14ac:dyDescent="0.25">
      <c r="A5" s="203"/>
      <c r="B5" s="203"/>
      <c r="C5" s="203"/>
      <c r="D5" s="203"/>
      <c r="E5" s="203"/>
      <c r="F5" s="62"/>
      <c r="G5" s="491" t="s">
        <v>1655</v>
      </c>
      <c r="H5" s="491"/>
      <c r="I5" s="491"/>
    </row>
    <row r="6" spans="1:9" s="202" customFormat="1" ht="15.75" x14ac:dyDescent="0.25">
      <c r="A6" s="203"/>
      <c r="B6" s="203"/>
      <c r="C6" s="203"/>
      <c r="D6" s="203"/>
      <c r="E6" s="203"/>
      <c r="F6" s="62"/>
      <c r="G6" s="413"/>
      <c r="H6" s="203"/>
      <c r="I6" s="417"/>
    </row>
    <row r="7" spans="1:9" ht="38.25" customHeight="1" x14ac:dyDescent="0.25">
      <c r="A7" s="468" t="s">
        <v>1606</v>
      </c>
      <c r="B7" s="468"/>
      <c r="C7" s="468"/>
      <c r="D7" s="468"/>
      <c r="E7" s="468"/>
      <c r="F7" s="468"/>
      <c r="G7" s="468"/>
      <c r="H7" s="468"/>
      <c r="I7" s="468"/>
    </row>
    <row r="8" spans="1:9" ht="16.5" x14ac:dyDescent="0.25">
      <c r="A8" s="237"/>
      <c r="B8" s="237"/>
      <c r="C8" s="237"/>
      <c r="D8" s="237"/>
      <c r="E8" s="237"/>
      <c r="F8" s="237"/>
    </row>
    <row r="9" spans="1:9" ht="63" x14ac:dyDescent="0.25">
      <c r="A9" s="66" t="s">
        <v>600</v>
      </c>
      <c r="B9" s="66" t="s">
        <v>625</v>
      </c>
      <c r="C9" s="66" t="s">
        <v>626</v>
      </c>
      <c r="D9" s="66" t="s">
        <v>627</v>
      </c>
      <c r="E9" s="66" t="s">
        <v>628</v>
      </c>
      <c r="F9" s="66" t="s">
        <v>629</v>
      </c>
      <c r="G9" s="384" t="s">
        <v>1602</v>
      </c>
      <c r="H9" s="384" t="s">
        <v>1615</v>
      </c>
      <c r="I9" s="442" t="s">
        <v>1604</v>
      </c>
    </row>
    <row r="10" spans="1:9" ht="47.25" x14ac:dyDescent="0.25">
      <c r="A10" s="58" t="s">
        <v>1411</v>
      </c>
      <c r="B10" s="7" t="s">
        <v>517</v>
      </c>
      <c r="C10" s="7"/>
      <c r="D10" s="7"/>
      <c r="E10" s="7"/>
      <c r="F10" s="7"/>
      <c r="G10" s="4">
        <f>G11+G18</f>
        <v>2319</v>
      </c>
      <c r="H10" s="4">
        <f>H11+H18</f>
        <v>544.15300000000002</v>
      </c>
      <c r="I10" s="441">
        <f>H10/G10*100</f>
        <v>23.464984907287626</v>
      </c>
    </row>
    <row r="11" spans="1:9" s="202" customFormat="1" ht="31.5" hidden="1" x14ac:dyDescent="0.25">
      <c r="A11" s="34" t="s">
        <v>1009</v>
      </c>
      <c r="B11" s="7" t="s">
        <v>968</v>
      </c>
      <c r="C11" s="40"/>
      <c r="D11" s="40"/>
      <c r="E11" s="40"/>
      <c r="F11" s="40"/>
      <c r="G11" s="6">
        <f>G14</f>
        <v>0</v>
      </c>
      <c r="H11" s="6">
        <f>H14</f>
        <v>0</v>
      </c>
      <c r="I11" s="443"/>
    </row>
    <row r="12" spans="1:9" ht="15.75" hidden="1" x14ac:dyDescent="0.25">
      <c r="A12" s="29" t="s">
        <v>239</v>
      </c>
      <c r="B12" s="40" t="s">
        <v>968</v>
      </c>
      <c r="C12" s="40" t="s">
        <v>157</v>
      </c>
      <c r="D12" s="40"/>
      <c r="E12" s="40"/>
      <c r="F12" s="40"/>
      <c r="G12" s="6">
        <f t="shared" ref="G12:H12" si="0">G13</f>
        <v>0</v>
      </c>
      <c r="H12" s="6">
        <f t="shared" si="0"/>
        <v>0</v>
      </c>
      <c r="I12" s="443"/>
    </row>
    <row r="13" spans="1:9" ht="15.75" hidden="1" x14ac:dyDescent="0.25">
      <c r="A13" s="29" t="s">
        <v>515</v>
      </c>
      <c r="B13" s="40" t="s">
        <v>968</v>
      </c>
      <c r="C13" s="40" t="s">
        <v>157</v>
      </c>
      <c r="D13" s="40" t="s">
        <v>226</v>
      </c>
      <c r="E13" s="40"/>
      <c r="F13" s="40"/>
      <c r="G13" s="6">
        <f t="shared" ref="G13:H15" si="1">G14</f>
        <v>0</v>
      </c>
      <c r="H13" s="6">
        <f t="shared" si="1"/>
        <v>0</v>
      </c>
      <c r="I13" s="443"/>
    </row>
    <row r="14" spans="1:9" s="202" customFormat="1" ht="15.75" hidden="1" x14ac:dyDescent="0.25">
      <c r="A14" s="29" t="s">
        <v>1011</v>
      </c>
      <c r="B14" s="40" t="s">
        <v>1010</v>
      </c>
      <c r="C14" s="40" t="s">
        <v>157</v>
      </c>
      <c r="D14" s="40" t="s">
        <v>226</v>
      </c>
      <c r="E14" s="40"/>
      <c r="F14" s="40"/>
      <c r="G14" s="6">
        <f t="shared" si="1"/>
        <v>0</v>
      </c>
      <c r="H14" s="6">
        <f t="shared" si="1"/>
        <v>0</v>
      </c>
      <c r="I14" s="443"/>
    </row>
    <row r="15" spans="1:9" s="202" customFormat="1" ht="31.5" hidden="1" x14ac:dyDescent="0.25">
      <c r="A15" s="25" t="s">
        <v>138</v>
      </c>
      <c r="B15" s="40" t="s">
        <v>1010</v>
      </c>
      <c r="C15" s="40" t="s">
        <v>157</v>
      </c>
      <c r="D15" s="40" t="s">
        <v>226</v>
      </c>
      <c r="E15" s="40" t="s">
        <v>139</v>
      </c>
      <c r="F15" s="40"/>
      <c r="G15" s="6">
        <f t="shared" si="1"/>
        <v>0</v>
      </c>
      <c r="H15" s="6">
        <f t="shared" si="1"/>
        <v>0</v>
      </c>
      <c r="I15" s="443"/>
    </row>
    <row r="16" spans="1:9" s="202" customFormat="1" ht="31.5" hidden="1" x14ac:dyDescent="0.25">
      <c r="A16" s="25" t="s">
        <v>140</v>
      </c>
      <c r="B16" s="40" t="s">
        <v>1010</v>
      </c>
      <c r="C16" s="40" t="s">
        <v>157</v>
      </c>
      <c r="D16" s="40" t="s">
        <v>226</v>
      </c>
      <c r="E16" s="40" t="s">
        <v>141</v>
      </c>
      <c r="F16" s="40"/>
      <c r="G16" s="6">
        <f>'Пр.4 ведом.21'!G853</f>
        <v>0</v>
      </c>
      <c r="H16" s="6">
        <f>'Пр.4 ведом.21'!H853</f>
        <v>0</v>
      </c>
      <c r="I16" s="443"/>
    </row>
    <row r="17" spans="1:9" s="202" customFormat="1" ht="40.700000000000003" hidden="1" customHeight="1" x14ac:dyDescent="0.25">
      <c r="A17" s="45" t="s">
        <v>631</v>
      </c>
      <c r="B17" s="40" t="s">
        <v>1010</v>
      </c>
      <c r="C17" s="40" t="s">
        <v>157</v>
      </c>
      <c r="D17" s="40" t="s">
        <v>226</v>
      </c>
      <c r="E17" s="40" t="s">
        <v>141</v>
      </c>
      <c r="F17" s="40" t="s">
        <v>632</v>
      </c>
      <c r="G17" s="6">
        <f>G16</f>
        <v>0</v>
      </c>
      <c r="H17" s="6">
        <f>H16</f>
        <v>0</v>
      </c>
      <c r="I17" s="443"/>
    </row>
    <row r="18" spans="1:9" s="202" customFormat="1" ht="31.5" x14ac:dyDescent="0.25">
      <c r="A18" s="34" t="s">
        <v>1071</v>
      </c>
      <c r="B18" s="24" t="s">
        <v>969</v>
      </c>
      <c r="C18" s="40"/>
      <c r="D18" s="40"/>
      <c r="E18" s="40"/>
      <c r="F18" s="40"/>
      <c r="G18" s="4">
        <f t="shared" ref="G18:H20" si="2">G19</f>
        <v>2319</v>
      </c>
      <c r="H18" s="4">
        <f t="shared" si="2"/>
        <v>544.15300000000002</v>
      </c>
      <c r="I18" s="441">
        <f t="shared" ref="I18:I81" si="3">H18/G18*100</f>
        <v>23.464984907287626</v>
      </c>
    </row>
    <row r="19" spans="1:9" s="202" customFormat="1" ht="15.75" x14ac:dyDescent="0.25">
      <c r="A19" s="29" t="s">
        <v>239</v>
      </c>
      <c r="B19" s="40" t="s">
        <v>969</v>
      </c>
      <c r="C19" s="40" t="s">
        <v>157</v>
      </c>
      <c r="D19" s="40"/>
      <c r="E19" s="40"/>
      <c r="F19" s="40"/>
      <c r="G19" s="6">
        <f t="shared" si="2"/>
        <v>2319</v>
      </c>
      <c r="H19" s="6">
        <f t="shared" si="2"/>
        <v>544.15300000000002</v>
      </c>
      <c r="I19" s="416">
        <f t="shared" si="3"/>
        <v>23.464984907287626</v>
      </c>
    </row>
    <row r="20" spans="1:9" s="202" customFormat="1" ht="15.75" x14ac:dyDescent="0.25">
      <c r="A20" s="29" t="s">
        <v>515</v>
      </c>
      <c r="B20" s="40" t="s">
        <v>969</v>
      </c>
      <c r="C20" s="40" t="s">
        <v>157</v>
      </c>
      <c r="D20" s="40" t="s">
        <v>226</v>
      </c>
      <c r="E20" s="40"/>
      <c r="F20" s="40"/>
      <c r="G20" s="6">
        <f t="shared" si="2"/>
        <v>2319</v>
      </c>
      <c r="H20" s="6">
        <f t="shared" si="2"/>
        <v>544.15300000000002</v>
      </c>
      <c r="I20" s="416">
        <f t="shared" si="3"/>
        <v>23.464984907287626</v>
      </c>
    </row>
    <row r="21" spans="1:9" ht="15.75" x14ac:dyDescent="0.25">
      <c r="A21" s="29" t="s">
        <v>518</v>
      </c>
      <c r="B21" s="40" t="s">
        <v>1012</v>
      </c>
      <c r="C21" s="40" t="s">
        <v>157</v>
      </c>
      <c r="D21" s="40" t="s">
        <v>226</v>
      </c>
      <c r="E21" s="40"/>
      <c r="F21" s="40"/>
      <c r="G21" s="6">
        <f>G25+G28+G23</f>
        <v>2319</v>
      </c>
      <c r="H21" s="6">
        <f>H25+H28+H23</f>
        <v>544.15300000000002</v>
      </c>
      <c r="I21" s="416">
        <f t="shared" si="3"/>
        <v>23.464984907287626</v>
      </c>
    </row>
    <row r="22" spans="1:9" s="202" customFormat="1" ht="78.75" x14ac:dyDescent="0.25">
      <c r="A22" s="25" t="s">
        <v>134</v>
      </c>
      <c r="B22" s="40" t="s">
        <v>1012</v>
      </c>
      <c r="C22" s="40" t="s">
        <v>157</v>
      </c>
      <c r="D22" s="40" t="s">
        <v>226</v>
      </c>
      <c r="E22" s="40" t="s">
        <v>135</v>
      </c>
      <c r="F22" s="40"/>
      <c r="G22" s="6">
        <f>G23</f>
        <v>1807</v>
      </c>
      <c r="H22" s="6">
        <f>H23</f>
        <v>520.15300000000002</v>
      </c>
      <c r="I22" s="416">
        <f t="shared" si="3"/>
        <v>28.785445489762036</v>
      </c>
    </row>
    <row r="23" spans="1:9" s="202" customFormat="1" ht="15.75" x14ac:dyDescent="0.25">
      <c r="A23" s="25" t="s">
        <v>349</v>
      </c>
      <c r="B23" s="40" t="s">
        <v>1012</v>
      </c>
      <c r="C23" s="40" t="s">
        <v>157</v>
      </c>
      <c r="D23" s="40" t="s">
        <v>226</v>
      </c>
      <c r="E23" s="40" t="s">
        <v>216</v>
      </c>
      <c r="F23" s="40"/>
      <c r="G23" s="6">
        <f>'Пр.4 ведом.21'!G857</f>
        <v>1807</v>
      </c>
      <c r="H23" s="6">
        <f>'Пр.4 ведом.21'!H857</f>
        <v>520.15300000000002</v>
      </c>
      <c r="I23" s="416">
        <f t="shared" si="3"/>
        <v>28.785445489762036</v>
      </c>
    </row>
    <row r="24" spans="1:9" s="202" customFormat="1" ht="31.5" x14ac:dyDescent="0.25">
      <c r="A24" s="45" t="s">
        <v>631</v>
      </c>
      <c r="B24" s="40" t="s">
        <v>1012</v>
      </c>
      <c r="C24" s="40" t="s">
        <v>157</v>
      </c>
      <c r="D24" s="40" t="s">
        <v>226</v>
      </c>
      <c r="E24" s="40" t="s">
        <v>216</v>
      </c>
      <c r="F24" s="40" t="s">
        <v>632</v>
      </c>
      <c r="G24" s="6">
        <f>G23</f>
        <v>1807</v>
      </c>
      <c r="H24" s="6">
        <f>H23</f>
        <v>520.15300000000002</v>
      </c>
      <c r="I24" s="416">
        <f t="shared" si="3"/>
        <v>28.785445489762036</v>
      </c>
    </row>
    <row r="25" spans="1:9" ht="31.5" x14ac:dyDescent="0.25">
      <c r="A25" s="29" t="s">
        <v>138</v>
      </c>
      <c r="B25" s="40" t="s">
        <v>1012</v>
      </c>
      <c r="C25" s="40" t="s">
        <v>157</v>
      </c>
      <c r="D25" s="40" t="s">
        <v>226</v>
      </c>
      <c r="E25" s="40" t="s">
        <v>139</v>
      </c>
      <c r="F25" s="40"/>
      <c r="G25" s="6">
        <f t="shared" ref="G25:H25" si="4">G26</f>
        <v>512</v>
      </c>
      <c r="H25" s="6">
        <f t="shared" si="4"/>
        <v>24</v>
      </c>
      <c r="I25" s="416">
        <f t="shared" si="3"/>
        <v>4.6875</v>
      </c>
    </row>
    <row r="26" spans="1:9" ht="31.5" x14ac:dyDescent="0.25">
      <c r="A26" s="29" t="s">
        <v>140</v>
      </c>
      <c r="B26" s="40" t="s">
        <v>1012</v>
      </c>
      <c r="C26" s="40" t="s">
        <v>157</v>
      </c>
      <c r="D26" s="40" t="s">
        <v>226</v>
      </c>
      <c r="E26" s="40" t="s">
        <v>141</v>
      </c>
      <c r="F26" s="40"/>
      <c r="G26" s="6">
        <f>'Пр.4 ведом.21'!G859</f>
        <v>512</v>
      </c>
      <c r="H26" s="6">
        <f>'Пр.4 ведом.21'!H859</f>
        <v>24</v>
      </c>
      <c r="I26" s="416">
        <f t="shared" si="3"/>
        <v>4.6875</v>
      </c>
    </row>
    <row r="27" spans="1:9" s="202" customFormat="1" ht="31.5" x14ac:dyDescent="0.25">
      <c r="A27" s="45" t="s">
        <v>631</v>
      </c>
      <c r="B27" s="40" t="s">
        <v>1012</v>
      </c>
      <c r="C27" s="40" t="s">
        <v>157</v>
      </c>
      <c r="D27" s="40" t="s">
        <v>226</v>
      </c>
      <c r="E27" s="40" t="s">
        <v>141</v>
      </c>
      <c r="F27" s="40" t="s">
        <v>632</v>
      </c>
      <c r="G27" s="6">
        <f>G26</f>
        <v>512</v>
      </c>
      <c r="H27" s="6">
        <f>H26</f>
        <v>24</v>
      </c>
      <c r="I27" s="416">
        <f t="shared" si="3"/>
        <v>4.6875</v>
      </c>
    </row>
    <row r="28" spans="1:9" ht="15.75" hidden="1" x14ac:dyDescent="0.25">
      <c r="A28" s="25" t="s">
        <v>142</v>
      </c>
      <c r="B28" s="40" t="s">
        <v>1012</v>
      </c>
      <c r="C28" s="40" t="s">
        <v>157</v>
      </c>
      <c r="D28" s="40" t="s">
        <v>226</v>
      </c>
      <c r="E28" s="40" t="s">
        <v>152</v>
      </c>
      <c r="F28" s="40"/>
      <c r="G28" s="6">
        <f t="shared" ref="G28:H28" si="5">G29</f>
        <v>0</v>
      </c>
      <c r="H28" s="6">
        <f t="shared" si="5"/>
        <v>0</v>
      </c>
      <c r="I28" s="416" t="e">
        <f t="shared" si="3"/>
        <v>#DIV/0!</v>
      </c>
    </row>
    <row r="29" spans="1:9" ht="15.75" hidden="1" x14ac:dyDescent="0.25">
      <c r="A29" s="25" t="s">
        <v>144</v>
      </c>
      <c r="B29" s="40" t="s">
        <v>1012</v>
      </c>
      <c r="C29" s="40" t="s">
        <v>157</v>
      </c>
      <c r="D29" s="40" t="s">
        <v>226</v>
      </c>
      <c r="E29" s="40" t="s">
        <v>145</v>
      </c>
      <c r="F29" s="40"/>
      <c r="G29" s="6">
        <f>'Пр.4 ведом.21'!G861</f>
        <v>0</v>
      </c>
      <c r="H29" s="6">
        <f>'Пр.4 ведом.21'!H861</f>
        <v>0</v>
      </c>
      <c r="I29" s="416" t="e">
        <f t="shared" si="3"/>
        <v>#DIV/0!</v>
      </c>
    </row>
    <row r="30" spans="1:9" ht="31.5" hidden="1" x14ac:dyDescent="0.25">
      <c r="A30" s="45" t="s">
        <v>631</v>
      </c>
      <c r="B30" s="40" t="s">
        <v>1012</v>
      </c>
      <c r="C30" s="40" t="s">
        <v>157</v>
      </c>
      <c r="D30" s="40" t="s">
        <v>226</v>
      </c>
      <c r="E30" s="40" t="s">
        <v>145</v>
      </c>
      <c r="F30" s="40" t="s">
        <v>632</v>
      </c>
      <c r="G30" s="6">
        <f>G29</f>
        <v>0</v>
      </c>
      <c r="H30" s="6">
        <f>H29</f>
        <v>0</v>
      </c>
      <c r="I30" s="416" t="e">
        <f t="shared" si="3"/>
        <v>#DIV/0!</v>
      </c>
    </row>
    <row r="31" spans="1:9" ht="47.25" x14ac:dyDescent="0.25">
      <c r="A31" s="58" t="s">
        <v>1412</v>
      </c>
      <c r="B31" s="7" t="s">
        <v>351</v>
      </c>
      <c r="C31" s="7"/>
      <c r="D31" s="7"/>
      <c r="E31" s="7"/>
      <c r="F31" s="7"/>
      <c r="G31" s="59">
        <f>G32+G61+G69+G98+G106</f>
        <v>3075.6</v>
      </c>
      <c r="H31" s="59">
        <f>H32+H61+H69+H98+H106</f>
        <v>419.709</v>
      </c>
      <c r="I31" s="441">
        <f t="shared" si="3"/>
        <v>13.646410456496294</v>
      </c>
    </row>
    <row r="32" spans="1:9" ht="31.5" x14ac:dyDescent="0.25">
      <c r="A32" s="58" t="s">
        <v>633</v>
      </c>
      <c r="B32" s="7" t="s">
        <v>353</v>
      </c>
      <c r="C32" s="7"/>
      <c r="D32" s="7"/>
      <c r="E32" s="7"/>
      <c r="F32" s="7"/>
      <c r="G32" s="59">
        <f>G34+G44+G54</f>
        <v>760</v>
      </c>
      <c r="H32" s="59">
        <f>H34+H44+H54</f>
        <v>148.316</v>
      </c>
      <c r="I32" s="441">
        <f t="shared" si="3"/>
        <v>19.51526315789474</v>
      </c>
    </row>
    <row r="33" spans="1:9" s="202" customFormat="1" ht="47.25" x14ac:dyDescent="0.25">
      <c r="A33" s="206" t="s">
        <v>1039</v>
      </c>
      <c r="B33" s="24" t="s">
        <v>902</v>
      </c>
      <c r="C33" s="7"/>
      <c r="D33" s="7"/>
      <c r="E33" s="40"/>
      <c r="F33" s="40"/>
      <c r="G33" s="59">
        <f>G34</f>
        <v>280</v>
      </c>
      <c r="H33" s="59">
        <f>H34</f>
        <v>0</v>
      </c>
      <c r="I33" s="441">
        <f t="shared" si="3"/>
        <v>0</v>
      </c>
    </row>
    <row r="34" spans="1:9" ht="15.75" x14ac:dyDescent="0.25">
      <c r="A34" s="45" t="s">
        <v>270</v>
      </c>
      <c r="B34" s="40" t="s">
        <v>902</v>
      </c>
      <c r="C34" s="40" t="s">
        <v>271</v>
      </c>
      <c r="D34" s="40"/>
      <c r="E34" s="40"/>
      <c r="F34" s="40"/>
      <c r="G34" s="10">
        <f t="shared" ref="G34:H34" si="6">G35</f>
        <v>280</v>
      </c>
      <c r="H34" s="10">
        <f t="shared" si="6"/>
        <v>0</v>
      </c>
      <c r="I34" s="416">
        <f t="shared" si="3"/>
        <v>0</v>
      </c>
    </row>
    <row r="35" spans="1:9" ht="15.75" x14ac:dyDescent="0.25">
      <c r="A35" s="45" t="s">
        <v>473</v>
      </c>
      <c r="B35" s="40" t="s">
        <v>902</v>
      </c>
      <c r="C35" s="40" t="s">
        <v>271</v>
      </c>
      <c r="D35" s="40" t="s">
        <v>271</v>
      </c>
      <c r="E35" s="40"/>
      <c r="F35" s="40"/>
      <c r="G35" s="10">
        <f>G36+G40</f>
        <v>280</v>
      </c>
      <c r="H35" s="10">
        <f>H36+H40</f>
        <v>0</v>
      </c>
      <c r="I35" s="416">
        <f t="shared" si="3"/>
        <v>0</v>
      </c>
    </row>
    <row r="36" spans="1:9" s="202" customFormat="1" ht="31.5" x14ac:dyDescent="0.25">
      <c r="A36" s="98" t="s">
        <v>1045</v>
      </c>
      <c r="B36" s="20" t="s">
        <v>903</v>
      </c>
      <c r="C36" s="40" t="s">
        <v>271</v>
      </c>
      <c r="D36" s="40" t="s">
        <v>271</v>
      </c>
      <c r="E36" s="40"/>
      <c r="F36" s="40"/>
      <c r="G36" s="10">
        <f>G37</f>
        <v>280</v>
      </c>
      <c r="H36" s="10">
        <f>H37</f>
        <v>0</v>
      </c>
      <c r="I36" s="416">
        <f t="shared" si="3"/>
        <v>0</v>
      </c>
    </row>
    <row r="37" spans="1:9" s="202" customFormat="1" ht="78.75" x14ac:dyDescent="0.25">
      <c r="A37" s="25" t="s">
        <v>134</v>
      </c>
      <c r="B37" s="20" t="s">
        <v>903</v>
      </c>
      <c r="C37" s="40" t="s">
        <v>271</v>
      </c>
      <c r="D37" s="40" t="s">
        <v>271</v>
      </c>
      <c r="E37" s="40" t="s">
        <v>135</v>
      </c>
      <c r="F37" s="40"/>
      <c r="G37" s="10">
        <f>G38</f>
        <v>280</v>
      </c>
      <c r="H37" s="10">
        <f>H38</f>
        <v>0</v>
      </c>
      <c r="I37" s="416">
        <f t="shared" si="3"/>
        <v>0</v>
      </c>
    </row>
    <row r="38" spans="1:9" s="202" customFormat="1" ht="15.75" x14ac:dyDescent="0.25">
      <c r="A38" s="25" t="s">
        <v>349</v>
      </c>
      <c r="B38" s="20" t="s">
        <v>903</v>
      </c>
      <c r="C38" s="40" t="s">
        <v>271</v>
      </c>
      <c r="D38" s="40" t="s">
        <v>271</v>
      </c>
      <c r="E38" s="40" t="s">
        <v>216</v>
      </c>
      <c r="F38" s="40"/>
      <c r="G38" s="10">
        <f>'Пр.4 ведом.21'!G332</f>
        <v>280</v>
      </c>
      <c r="H38" s="10">
        <f>'Пр.4 ведом.21'!H332</f>
        <v>0</v>
      </c>
      <c r="I38" s="416">
        <f t="shared" si="3"/>
        <v>0</v>
      </c>
    </row>
    <row r="39" spans="1:9" s="202" customFormat="1" ht="47.25" x14ac:dyDescent="0.25">
      <c r="A39" s="45" t="s">
        <v>268</v>
      </c>
      <c r="B39" s="20" t="s">
        <v>903</v>
      </c>
      <c r="C39" s="40" t="s">
        <v>271</v>
      </c>
      <c r="D39" s="40" t="s">
        <v>271</v>
      </c>
      <c r="E39" s="40" t="s">
        <v>216</v>
      </c>
      <c r="F39" s="40" t="s">
        <v>635</v>
      </c>
      <c r="G39" s="6">
        <f>G38</f>
        <v>280</v>
      </c>
      <c r="H39" s="6">
        <f>H38</f>
        <v>0</v>
      </c>
      <c r="I39" s="416">
        <f t="shared" si="3"/>
        <v>0</v>
      </c>
    </row>
    <row r="40" spans="1:9" s="202" customFormat="1" ht="15.75" hidden="1" x14ac:dyDescent="0.25">
      <c r="A40" s="25" t="s">
        <v>1040</v>
      </c>
      <c r="B40" s="20" t="s">
        <v>1057</v>
      </c>
      <c r="C40" s="40" t="s">
        <v>271</v>
      </c>
      <c r="D40" s="40" t="s">
        <v>271</v>
      </c>
      <c r="E40" s="40"/>
      <c r="F40" s="40"/>
      <c r="G40" s="10">
        <f>G41</f>
        <v>0</v>
      </c>
      <c r="H40" s="10">
        <f>H41</f>
        <v>0</v>
      </c>
      <c r="I40" s="416" t="e">
        <f t="shared" si="3"/>
        <v>#DIV/0!</v>
      </c>
    </row>
    <row r="41" spans="1:9" s="202" customFormat="1" ht="31.5" hidden="1" x14ac:dyDescent="0.25">
      <c r="A41" s="25" t="s">
        <v>138</v>
      </c>
      <c r="B41" s="20" t="s">
        <v>1057</v>
      </c>
      <c r="C41" s="40" t="s">
        <v>271</v>
      </c>
      <c r="D41" s="40" t="s">
        <v>271</v>
      </c>
      <c r="E41" s="40" t="s">
        <v>139</v>
      </c>
      <c r="F41" s="40"/>
      <c r="G41" s="10">
        <f>G42</f>
        <v>0</v>
      </c>
      <c r="H41" s="10">
        <f>H42</f>
        <v>0</v>
      </c>
      <c r="I41" s="416" t="e">
        <f t="shared" si="3"/>
        <v>#DIV/0!</v>
      </c>
    </row>
    <row r="42" spans="1:9" s="202" customFormat="1" ht="31.5" hidden="1" x14ac:dyDescent="0.25">
      <c r="A42" s="25" t="s">
        <v>140</v>
      </c>
      <c r="B42" s="20" t="s">
        <v>1057</v>
      </c>
      <c r="C42" s="40" t="s">
        <v>271</v>
      </c>
      <c r="D42" s="40" t="s">
        <v>271</v>
      </c>
      <c r="E42" s="40" t="s">
        <v>141</v>
      </c>
      <c r="F42" s="40"/>
      <c r="G42" s="10">
        <f>'Пр.3 Рд,пр, ЦС,ВР 21'!F696</f>
        <v>0</v>
      </c>
      <c r="H42" s="10">
        <f>'Пр.3 Рд,пр, ЦС,ВР 21'!G696</f>
        <v>0</v>
      </c>
      <c r="I42" s="416" t="e">
        <f t="shared" si="3"/>
        <v>#DIV/0!</v>
      </c>
    </row>
    <row r="43" spans="1:9" s="202" customFormat="1" ht="47.25" hidden="1" x14ac:dyDescent="0.25">
      <c r="A43" s="45" t="s">
        <v>268</v>
      </c>
      <c r="B43" s="20" t="s">
        <v>1057</v>
      </c>
      <c r="C43" s="40" t="s">
        <v>271</v>
      </c>
      <c r="D43" s="40" t="s">
        <v>271</v>
      </c>
      <c r="E43" s="40" t="s">
        <v>141</v>
      </c>
      <c r="F43" s="40" t="s">
        <v>635</v>
      </c>
      <c r="G43" s="6">
        <f>G42</f>
        <v>0</v>
      </c>
      <c r="H43" s="6">
        <f>H42</f>
        <v>0</v>
      </c>
      <c r="I43" s="416" t="e">
        <f t="shared" si="3"/>
        <v>#DIV/0!</v>
      </c>
    </row>
    <row r="44" spans="1:9" s="202" customFormat="1" ht="63" x14ac:dyDescent="0.25">
      <c r="A44" s="23" t="s">
        <v>1041</v>
      </c>
      <c r="B44" s="24" t="s">
        <v>904</v>
      </c>
      <c r="C44" s="40"/>
      <c r="D44" s="40"/>
      <c r="E44" s="40"/>
      <c r="F44" s="40"/>
      <c r="G44" s="59">
        <f>G45</f>
        <v>455</v>
      </c>
      <c r="H44" s="59">
        <f>H45</f>
        <v>123.316</v>
      </c>
      <c r="I44" s="441">
        <f t="shared" si="3"/>
        <v>27.10241758241758</v>
      </c>
    </row>
    <row r="45" spans="1:9" s="202" customFormat="1" ht="15.75" x14ac:dyDescent="0.25">
      <c r="A45" s="45" t="s">
        <v>270</v>
      </c>
      <c r="B45" s="40" t="s">
        <v>904</v>
      </c>
      <c r="C45" s="40" t="s">
        <v>271</v>
      </c>
      <c r="D45" s="40"/>
      <c r="E45" s="40"/>
      <c r="F45" s="40"/>
      <c r="G45" s="10">
        <f>G46</f>
        <v>455</v>
      </c>
      <c r="H45" s="10">
        <f>H46</f>
        <v>123.316</v>
      </c>
      <c r="I45" s="416">
        <f t="shared" si="3"/>
        <v>27.10241758241758</v>
      </c>
    </row>
    <row r="46" spans="1:9" s="202" customFormat="1" ht="15.75" x14ac:dyDescent="0.25">
      <c r="A46" s="45" t="s">
        <v>473</v>
      </c>
      <c r="B46" s="40" t="s">
        <v>904</v>
      </c>
      <c r="C46" s="40" t="s">
        <v>271</v>
      </c>
      <c r="D46" s="40" t="s">
        <v>271</v>
      </c>
      <c r="E46" s="40"/>
      <c r="F46" s="40"/>
      <c r="G46" s="10">
        <f>G47+G51</f>
        <v>455</v>
      </c>
      <c r="H46" s="10">
        <f>H47+H51</f>
        <v>123.316</v>
      </c>
      <c r="I46" s="416">
        <f t="shared" si="3"/>
        <v>27.10241758241758</v>
      </c>
    </row>
    <row r="47" spans="1:9" ht="15.75" x14ac:dyDescent="0.25">
      <c r="A47" s="25" t="s">
        <v>1042</v>
      </c>
      <c r="B47" s="20" t="s">
        <v>911</v>
      </c>
      <c r="C47" s="40" t="s">
        <v>271</v>
      </c>
      <c r="D47" s="40" t="s">
        <v>271</v>
      </c>
      <c r="E47" s="40"/>
      <c r="F47" s="40"/>
      <c r="G47" s="10">
        <f>G48</f>
        <v>40</v>
      </c>
      <c r="H47" s="10">
        <f>H48</f>
        <v>0</v>
      </c>
      <c r="I47" s="416">
        <f t="shared" si="3"/>
        <v>0</v>
      </c>
    </row>
    <row r="48" spans="1:9" ht="78.75" x14ac:dyDescent="0.25">
      <c r="A48" s="25" t="s">
        <v>134</v>
      </c>
      <c r="B48" s="20" t="s">
        <v>911</v>
      </c>
      <c r="C48" s="40" t="s">
        <v>271</v>
      </c>
      <c r="D48" s="40" t="s">
        <v>271</v>
      </c>
      <c r="E48" s="40" t="s">
        <v>135</v>
      </c>
      <c r="F48" s="40"/>
      <c r="G48" s="10">
        <f t="shared" ref="G48:H48" si="7">G49</f>
        <v>40</v>
      </c>
      <c r="H48" s="10">
        <f t="shared" si="7"/>
        <v>0</v>
      </c>
      <c r="I48" s="416">
        <f t="shared" si="3"/>
        <v>0</v>
      </c>
    </row>
    <row r="49" spans="1:9" ht="15.75" x14ac:dyDescent="0.25">
      <c r="A49" s="25" t="s">
        <v>349</v>
      </c>
      <c r="B49" s="20" t="s">
        <v>911</v>
      </c>
      <c r="C49" s="40" t="s">
        <v>271</v>
      </c>
      <c r="D49" s="40" t="s">
        <v>271</v>
      </c>
      <c r="E49" s="40" t="s">
        <v>216</v>
      </c>
      <c r="F49" s="40"/>
      <c r="G49" s="10">
        <f>'Пр.4 ведом.21'!G339</f>
        <v>40</v>
      </c>
      <c r="H49" s="10">
        <f>'Пр.4 ведом.21'!H339</f>
        <v>0</v>
      </c>
      <c r="I49" s="416">
        <f t="shared" si="3"/>
        <v>0</v>
      </c>
    </row>
    <row r="50" spans="1:9" s="202" customFormat="1" ht="47.25" x14ac:dyDescent="0.25">
      <c r="A50" s="45" t="s">
        <v>268</v>
      </c>
      <c r="B50" s="20" t="s">
        <v>911</v>
      </c>
      <c r="C50" s="40" t="s">
        <v>271</v>
      </c>
      <c r="D50" s="40" t="s">
        <v>271</v>
      </c>
      <c r="E50" s="40" t="s">
        <v>216</v>
      </c>
      <c r="F50" s="40" t="s">
        <v>635</v>
      </c>
      <c r="G50" s="6">
        <f>G49</f>
        <v>40</v>
      </c>
      <c r="H50" s="6">
        <f>H49</f>
        <v>0</v>
      </c>
      <c r="I50" s="416">
        <f t="shared" si="3"/>
        <v>0</v>
      </c>
    </row>
    <row r="51" spans="1:9" ht="31.5" x14ac:dyDescent="0.25">
      <c r="A51" s="25" t="s">
        <v>138</v>
      </c>
      <c r="B51" s="20" t="s">
        <v>911</v>
      </c>
      <c r="C51" s="40" t="s">
        <v>271</v>
      </c>
      <c r="D51" s="40" t="s">
        <v>271</v>
      </c>
      <c r="E51" s="40" t="s">
        <v>139</v>
      </c>
      <c r="F51" s="40"/>
      <c r="G51" s="10">
        <f t="shared" ref="G51:H51" si="8">G52</f>
        <v>415</v>
      </c>
      <c r="H51" s="10">
        <f t="shared" si="8"/>
        <v>123.316</v>
      </c>
      <c r="I51" s="416">
        <f t="shared" si="3"/>
        <v>29.714698795180723</v>
      </c>
    </row>
    <row r="52" spans="1:9" ht="31.5" x14ac:dyDescent="0.25">
      <c r="A52" s="25" t="s">
        <v>140</v>
      </c>
      <c r="B52" s="20" t="s">
        <v>911</v>
      </c>
      <c r="C52" s="40" t="s">
        <v>271</v>
      </c>
      <c r="D52" s="40" t="s">
        <v>271</v>
      </c>
      <c r="E52" s="40" t="s">
        <v>141</v>
      </c>
      <c r="F52" s="40"/>
      <c r="G52" s="6">
        <f>'Пр.4 ведом.21'!G341</f>
        <v>415</v>
      </c>
      <c r="H52" s="6">
        <f>'Пр.4 ведом.21'!H341</f>
        <v>123.316</v>
      </c>
      <c r="I52" s="416">
        <f t="shared" si="3"/>
        <v>29.714698795180723</v>
      </c>
    </row>
    <row r="53" spans="1:9" s="202" customFormat="1" ht="47.25" x14ac:dyDescent="0.25">
      <c r="A53" s="45" t="s">
        <v>268</v>
      </c>
      <c r="B53" s="20" t="s">
        <v>911</v>
      </c>
      <c r="C53" s="40" t="s">
        <v>271</v>
      </c>
      <c r="D53" s="40" t="s">
        <v>271</v>
      </c>
      <c r="E53" s="40" t="s">
        <v>141</v>
      </c>
      <c r="F53" s="40" t="s">
        <v>635</v>
      </c>
      <c r="G53" s="6">
        <f>G52</f>
        <v>415</v>
      </c>
      <c r="H53" s="6">
        <f>H52</f>
        <v>123.316</v>
      </c>
      <c r="I53" s="416">
        <f t="shared" si="3"/>
        <v>29.714698795180723</v>
      </c>
    </row>
    <row r="54" spans="1:9" ht="33" customHeight="1" x14ac:dyDescent="0.25">
      <c r="A54" s="23" t="s">
        <v>1047</v>
      </c>
      <c r="B54" s="24" t="s">
        <v>1043</v>
      </c>
      <c r="C54" s="40"/>
      <c r="D54" s="40"/>
      <c r="E54" s="40"/>
      <c r="F54" s="40"/>
      <c r="G54" s="4">
        <f>G57</f>
        <v>25</v>
      </c>
      <c r="H54" s="4">
        <f>H57</f>
        <v>25</v>
      </c>
      <c r="I54" s="441">
        <f t="shared" si="3"/>
        <v>100</v>
      </c>
    </row>
    <row r="55" spans="1:9" s="202" customFormat="1" ht="16.5" customHeight="1" x14ac:dyDescent="0.25">
      <c r="A55" s="45" t="s">
        <v>270</v>
      </c>
      <c r="B55" s="40" t="s">
        <v>1043</v>
      </c>
      <c r="C55" s="40" t="s">
        <v>271</v>
      </c>
      <c r="D55" s="40"/>
      <c r="E55" s="40"/>
      <c r="F55" s="40"/>
      <c r="G55" s="10">
        <f>G56</f>
        <v>25</v>
      </c>
      <c r="H55" s="10">
        <f>H56</f>
        <v>25</v>
      </c>
      <c r="I55" s="416">
        <f t="shared" si="3"/>
        <v>100</v>
      </c>
    </row>
    <row r="56" spans="1:9" s="202" customFormat="1" ht="18.75" customHeight="1" x14ac:dyDescent="0.25">
      <c r="A56" s="45" t="s">
        <v>473</v>
      </c>
      <c r="B56" s="40" t="s">
        <v>1043</v>
      </c>
      <c r="C56" s="40" t="s">
        <v>271</v>
      </c>
      <c r="D56" s="40" t="s">
        <v>271</v>
      </c>
      <c r="E56" s="40"/>
      <c r="F56" s="40"/>
      <c r="G56" s="10">
        <f>G57</f>
        <v>25</v>
      </c>
      <c r="H56" s="10">
        <f>H57</f>
        <v>25</v>
      </c>
      <c r="I56" s="416">
        <f t="shared" si="3"/>
        <v>100</v>
      </c>
    </row>
    <row r="57" spans="1:9" ht="47.25" x14ac:dyDescent="0.25">
      <c r="A57" s="226" t="s">
        <v>1044</v>
      </c>
      <c r="B57" s="20" t="s">
        <v>1058</v>
      </c>
      <c r="C57" s="40" t="s">
        <v>271</v>
      </c>
      <c r="D57" s="40" t="s">
        <v>271</v>
      </c>
      <c r="E57" s="20"/>
      <c r="F57" s="40"/>
      <c r="G57" s="6">
        <f t="shared" ref="G57:H57" si="9">G58</f>
        <v>25</v>
      </c>
      <c r="H57" s="6">
        <f t="shared" si="9"/>
        <v>25</v>
      </c>
      <c r="I57" s="416">
        <f t="shared" si="3"/>
        <v>100</v>
      </c>
    </row>
    <row r="58" spans="1:9" ht="15.75" x14ac:dyDescent="0.25">
      <c r="A58" s="25" t="s">
        <v>255</v>
      </c>
      <c r="B58" s="20" t="s">
        <v>1058</v>
      </c>
      <c r="C58" s="40" t="s">
        <v>271</v>
      </c>
      <c r="D58" s="40" t="s">
        <v>271</v>
      </c>
      <c r="E58" s="20" t="s">
        <v>256</v>
      </c>
      <c r="F58" s="40"/>
      <c r="G58" s="6">
        <f>G59</f>
        <v>25</v>
      </c>
      <c r="H58" s="6">
        <f>H59</f>
        <v>25</v>
      </c>
      <c r="I58" s="416">
        <f t="shared" si="3"/>
        <v>100</v>
      </c>
    </row>
    <row r="59" spans="1:9" ht="32.25" customHeight="1" x14ac:dyDescent="0.25">
      <c r="A59" s="25" t="s">
        <v>1211</v>
      </c>
      <c r="B59" s="20" t="s">
        <v>1058</v>
      </c>
      <c r="C59" s="40" t="s">
        <v>271</v>
      </c>
      <c r="D59" s="40" t="s">
        <v>271</v>
      </c>
      <c r="E59" s="20" t="s">
        <v>1210</v>
      </c>
      <c r="F59" s="40"/>
      <c r="G59" s="10">
        <f>'Пр.4 ведом.21'!G345</f>
        <v>25</v>
      </c>
      <c r="H59" s="10">
        <f>'Пр.4 ведом.21'!H345</f>
        <v>25</v>
      </c>
      <c r="I59" s="416">
        <f t="shared" si="3"/>
        <v>100</v>
      </c>
    </row>
    <row r="60" spans="1:9" s="202" customFormat="1" ht="47.25" x14ac:dyDescent="0.25">
      <c r="A60" s="45" t="s">
        <v>268</v>
      </c>
      <c r="B60" s="20" t="s">
        <v>1058</v>
      </c>
      <c r="C60" s="40" t="s">
        <v>271</v>
      </c>
      <c r="D60" s="40" t="s">
        <v>271</v>
      </c>
      <c r="E60" s="40" t="s">
        <v>1210</v>
      </c>
      <c r="F60" s="40" t="s">
        <v>635</v>
      </c>
      <c r="G60" s="6">
        <f>G59</f>
        <v>25</v>
      </c>
      <c r="H60" s="6">
        <f>H59</f>
        <v>25</v>
      </c>
      <c r="I60" s="416">
        <f t="shared" si="3"/>
        <v>100</v>
      </c>
    </row>
    <row r="61" spans="1:9" ht="31.5" hidden="1" x14ac:dyDescent="0.25">
      <c r="A61" s="58" t="s">
        <v>1413</v>
      </c>
      <c r="B61" s="7" t="s">
        <v>360</v>
      </c>
      <c r="C61" s="7"/>
      <c r="D61" s="7"/>
      <c r="E61" s="7"/>
      <c r="F61" s="7"/>
      <c r="G61" s="59">
        <f>G62</f>
        <v>0</v>
      </c>
      <c r="H61" s="59">
        <f>H62</f>
        <v>0</v>
      </c>
      <c r="I61" s="416" t="e">
        <f t="shared" si="3"/>
        <v>#DIV/0!</v>
      </c>
    </row>
    <row r="62" spans="1:9" s="202" customFormat="1" ht="31.5" hidden="1" x14ac:dyDescent="0.25">
      <c r="A62" s="23" t="s">
        <v>915</v>
      </c>
      <c r="B62" s="24" t="s">
        <v>914</v>
      </c>
      <c r="C62" s="7"/>
      <c r="D62" s="7"/>
      <c r="E62" s="7"/>
      <c r="F62" s="7"/>
      <c r="G62" s="59">
        <f>G63</f>
        <v>0</v>
      </c>
      <c r="H62" s="59">
        <f>H63</f>
        <v>0</v>
      </c>
      <c r="I62" s="416" t="e">
        <f t="shared" si="3"/>
        <v>#DIV/0!</v>
      </c>
    </row>
    <row r="63" spans="1:9" ht="15.75" hidden="1" x14ac:dyDescent="0.25">
      <c r="A63" s="45" t="s">
        <v>250</v>
      </c>
      <c r="B63" s="40" t="s">
        <v>914</v>
      </c>
      <c r="C63" s="40" t="s">
        <v>251</v>
      </c>
      <c r="D63" s="40"/>
      <c r="E63" s="40"/>
      <c r="F63" s="40"/>
      <c r="G63" s="10">
        <f t="shared" ref="G63:H66" si="10">G64</f>
        <v>0</v>
      </c>
      <c r="H63" s="10">
        <f t="shared" si="10"/>
        <v>0</v>
      </c>
      <c r="I63" s="416" t="e">
        <f t="shared" si="3"/>
        <v>#DIV/0!</v>
      </c>
    </row>
    <row r="64" spans="1:9" ht="15.75" hidden="1" x14ac:dyDescent="0.25">
      <c r="A64" s="45" t="s">
        <v>259</v>
      </c>
      <c r="B64" s="40" t="s">
        <v>914</v>
      </c>
      <c r="C64" s="40" t="s">
        <v>251</v>
      </c>
      <c r="D64" s="40" t="s">
        <v>222</v>
      </c>
      <c r="E64" s="40"/>
      <c r="F64" s="40"/>
      <c r="G64" s="10">
        <f>G65</f>
        <v>0</v>
      </c>
      <c r="H64" s="10">
        <f>H65</f>
        <v>0</v>
      </c>
      <c r="I64" s="416" t="e">
        <f t="shared" si="3"/>
        <v>#DIV/0!</v>
      </c>
    </row>
    <row r="65" spans="1:9" ht="31.5" hidden="1" x14ac:dyDescent="0.25">
      <c r="A65" s="25" t="s">
        <v>834</v>
      </c>
      <c r="B65" s="20" t="s">
        <v>916</v>
      </c>
      <c r="C65" s="40" t="s">
        <v>251</v>
      </c>
      <c r="D65" s="40" t="s">
        <v>222</v>
      </c>
      <c r="E65" s="40"/>
      <c r="F65" s="40"/>
      <c r="G65" s="10">
        <f t="shared" si="10"/>
        <v>0</v>
      </c>
      <c r="H65" s="10">
        <f t="shared" si="10"/>
        <v>0</v>
      </c>
      <c r="I65" s="416" t="e">
        <f t="shared" si="3"/>
        <v>#DIV/0!</v>
      </c>
    </row>
    <row r="66" spans="1:9" ht="15.75" hidden="1" x14ac:dyDescent="0.25">
      <c r="A66" s="29" t="s">
        <v>255</v>
      </c>
      <c r="B66" s="20" t="s">
        <v>916</v>
      </c>
      <c r="C66" s="40" t="s">
        <v>251</v>
      </c>
      <c r="D66" s="40" t="s">
        <v>222</v>
      </c>
      <c r="E66" s="40" t="s">
        <v>256</v>
      </c>
      <c r="F66" s="40"/>
      <c r="G66" s="10">
        <f t="shared" si="10"/>
        <v>0</v>
      </c>
      <c r="H66" s="10">
        <f t="shared" si="10"/>
        <v>0</v>
      </c>
      <c r="I66" s="416" t="e">
        <f t="shared" si="3"/>
        <v>#DIV/0!</v>
      </c>
    </row>
    <row r="67" spans="1:9" ht="31.5" hidden="1" x14ac:dyDescent="0.25">
      <c r="A67" s="29" t="s">
        <v>257</v>
      </c>
      <c r="B67" s="20" t="s">
        <v>916</v>
      </c>
      <c r="C67" s="40" t="s">
        <v>251</v>
      </c>
      <c r="D67" s="40" t="s">
        <v>222</v>
      </c>
      <c r="E67" s="40" t="s">
        <v>258</v>
      </c>
      <c r="F67" s="40"/>
      <c r="G67" s="10">
        <f>'Пр.4 ведом.21'!G444</f>
        <v>0</v>
      </c>
      <c r="H67" s="10">
        <f>'Пр.4 ведом.21'!H444</f>
        <v>0</v>
      </c>
      <c r="I67" s="416" t="e">
        <f t="shared" si="3"/>
        <v>#DIV/0!</v>
      </c>
    </row>
    <row r="68" spans="1:9" ht="47.25" hidden="1" x14ac:dyDescent="0.25">
      <c r="A68" s="45" t="s">
        <v>268</v>
      </c>
      <c r="B68" s="20" t="s">
        <v>916</v>
      </c>
      <c r="C68" s="40" t="s">
        <v>251</v>
      </c>
      <c r="D68" s="40" t="s">
        <v>222</v>
      </c>
      <c r="E68" s="40" t="s">
        <v>258</v>
      </c>
      <c r="F68" s="40" t="s">
        <v>635</v>
      </c>
      <c r="G68" s="10">
        <f t="shared" ref="G68:H68" si="11">G61</f>
        <v>0</v>
      </c>
      <c r="H68" s="10">
        <f t="shared" si="11"/>
        <v>0</v>
      </c>
      <c r="I68" s="416" t="e">
        <f t="shared" si="3"/>
        <v>#DIV/0!</v>
      </c>
    </row>
    <row r="69" spans="1:9" s="202" customFormat="1" ht="54" customHeight="1" x14ac:dyDescent="0.25">
      <c r="A69" s="41" t="s">
        <v>1414</v>
      </c>
      <c r="B69" s="7" t="s">
        <v>363</v>
      </c>
      <c r="C69" s="7"/>
      <c r="D69" s="7"/>
      <c r="E69" s="7"/>
      <c r="F69" s="7"/>
      <c r="G69" s="59">
        <f>G70+G77+G84+G91</f>
        <v>208.6</v>
      </c>
      <c r="H69" s="59">
        <f>H70+H77+H84+H91</f>
        <v>0</v>
      </c>
      <c r="I69" s="441">
        <f t="shared" si="3"/>
        <v>0</v>
      </c>
    </row>
    <row r="70" spans="1:9" s="202" customFormat="1" ht="47.25" hidden="1" x14ac:dyDescent="0.25">
      <c r="A70" s="210" t="s">
        <v>1053</v>
      </c>
      <c r="B70" s="24" t="s">
        <v>917</v>
      </c>
      <c r="C70" s="7"/>
      <c r="D70" s="7"/>
      <c r="E70" s="7"/>
      <c r="F70" s="7"/>
      <c r="G70" s="59">
        <f t="shared" ref="G70:H74" si="12">G71</f>
        <v>0</v>
      </c>
      <c r="H70" s="59">
        <f t="shared" si="12"/>
        <v>0</v>
      </c>
      <c r="I70" s="441" t="e">
        <f t="shared" si="3"/>
        <v>#DIV/0!</v>
      </c>
    </row>
    <row r="71" spans="1:9" s="202" customFormat="1" ht="15.75" hidden="1" x14ac:dyDescent="0.25">
      <c r="A71" s="45" t="s">
        <v>239</v>
      </c>
      <c r="B71" s="40" t="s">
        <v>917</v>
      </c>
      <c r="C71" s="40" t="s">
        <v>157</v>
      </c>
      <c r="D71" s="40"/>
      <c r="E71" s="40"/>
      <c r="F71" s="40"/>
      <c r="G71" s="10">
        <f t="shared" si="12"/>
        <v>0</v>
      </c>
      <c r="H71" s="10">
        <f t="shared" si="12"/>
        <v>0</v>
      </c>
      <c r="I71" s="441" t="e">
        <f t="shared" si="3"/>
        <v>#DIV/0!</v>
      </c>
    </row>
    <row r="72" spans="1:9" s="202" customFormat="1" ht="15.75" hidden="1" x14ac:dyDescent="0.25">
      <c r="A72" s="45" t="s">
        <v>244</v>
      </c>
      <c r="B72" s="40" t="s">
        <v>917</v>
      </c>
      <c r="C72" s="40" t="s">
        <v>157</v>
      </c>
      <c r="D72" s="40" t="s">
        <v>245</v>
      </c>
      <c r="E72" s="40"/>
      <c r="F72" s="40"/>
      <c r="G72" s="10">
        <f t="shared" si="12"/>
        <v>0</v>
      </c>
      <c r="H72" s="10">
        <f t="shared" si="12"/>
        <v>0</v>
      </c>
      <c r="I72" s="441" t="e">
        <f t="shared" si="3"/>
        <v>#DIV/0!</v>
      </c>
    </row>
    <row r="73" spans="1:9" s="202" customFormat="1" ht="47.25" hidden="1" x14ac:dyDescent="0.25">
      <c r="A73" s="25" t="s">
        <v>382</v>
      </c>
      <c r="B73" s="20" t="s">
        <v>1331</v>
      </c>
      <c r="C73" s="40" t="s">
        <v>157</v>
      </c>
      <c r="D73" s="40" t="s">
        <v>245</v>
      </c>
      <c r="E73" s="40"/>
      <c r="F73" s="40"/>
      <c r="G73" s="10">
        <f t="shared" si="12"/>
        <v>0</v>
      </c>
      <c r="H73" s="10">
        <f t="shared" si="12"/>
        <v>0</v>
      </c>
      <c r="I73" s="441" t="e">
        <f t="shared" si="3"/>
        <v>#DIV/0!</v>
      </c>
    </row>
    <row r="74" spans="1:9" s="202" customFormat="1" ht="15.75" hidden="1" x14ac:dyDescent="0.25">
      <c r="A74" s="25" t="s">
        <v>255</v>
      </c>
      <c r="B74" s="20" t="s">
        <v>1331</v>
      </c>
      <c r="C74" s="40" t="s">
        <v>157</v>
      </c>
      <c r="D74" s="40" t="s">
        <v>245</v>
      </c>
      <c r="E74" s="40" t="s">
        <v>256</v>
      </c>
      <c r="F74" s="40"/>
      <c r="G74" s="10">
        <f t="shared" si="12"/>
        <v>0</v>
      </c>
      <c r="H74" s="10">
        <f t="shared" si="12"/>
        <v>0</v>
      </c>
      <c r="I74" s="441" t="e">
        <f t="shared" si="3"/>
        <v>#DIV/0!</v>
      </c>
    </row>
    <row r="75" spans="1:9" s="202" customFormat="1" ht="31.5" hidden="1" x14ac:dyDescent="0.25">
      <c r="A75" s="25" t="s">
        <v>257</v>
      </c>
      <c r="B75" s="20" t="s">
        <v>1331</v>
      </c>
      <c r="C75" s="40" t="s">
        <v>157</v>
      </c>
      <c r="D75" s="40" t="s">
        <v>245</v>
      </c>
      <c r="E75" s="40" t="s">
        <v>258</v>
      </c>
      <c r="F75" s="40"/>
      <c r="G75" s="10">
        <f>'Пр.4 ведом.21'!G266</f>
        <v>0</v>
      </c>
      <c r="H75" s="10">
        <f>'Пр.4 ведом.21'!H266</f>
        <v>0</v>
      </c>
      <c r="I75" s="441" t="e">
        <f t="shared" si="3"/>
        <v>#DIV/0!</v>
      </c>
    </row>
    <row r="76" spans="1:9" s="202" customFormat="1" ht="47.25" hidden="1" x14ac:dyDescent="0.25">
      <c r="A76" s="45" t="s">
        <v>268</v>
      </c>
      <c r="B76" s="20" t="s">
        <v>1331</v>
      </c>
      <c r="C76" s="40" t="s">
        <v>157</v>
      </c>
      <c r="D76" s="40" t="s">
        <v>245</v>
      </c>
      <c r="E76" s="40" t="s">
        <v>258</v>
      </c>
      <c r="F76" s="40" t="s">
        <v>635</v>
      </c>
      <c r="G76" s="10">
        <f>G75</f>
        <v>0</v>
      </c>
      <c r="H76" s="10">
        <f>H75</f>
        <v>0</v>
      </c>
      <c r="I76" s="441" t="e">
        <f t="shared" si="3"/>
        <v>#DIV/0!</v>
      </c>
    </row>
    <row r="77" spans="1:9" s="202" customFormat="1" ht="31.5" x14ac:dyDescent="0.25">
      <c r="A77" s="23" t="s">
        <v>1051</v>
      </c>
      <c r="B77" s="7" t="s">
        <v>1214</v>
      </c>
      <c r="C77" s="7"/>
      <c r="D77" s="7"/>
      <c r="E77" s="7"/>
      <c r="F77" s="7"/>
      <c r="G77" s="59">
        <f t="shared" ref="G77:H81" si="13">G78</f>
        <v>208.6</v>
      </c>
      <c r="H77" s="59">
        <f t="shared" si="13"/>
        <v>0</v>
      </c>
      <c r="I77" s="441">
        <f t="shared" si="3"/>
        <v>0</v>
      </c>
    </row>
    <row r="78" spans="1:9" s="202" customFormat="1" ht="15.75" x14ac:dyDescent="0.25">
      <c r="A78" s="45" t="s">
        <v>239</v>
      </c>
      <c r="B78" s="40" t="s">
        <v>1214</v>
      </c>
      <c r="C78" s="40" t="s">
        <v>157</v>
      </c>
      <c r="D78" s="40"/>
      <c r="E78" s="40"/>
      <c r="F78" s="40"/>
      <c r="G78" s="10">
        <f t="shared" si="13"/>
        <v>208.6</v>
      </c>
      <c r="H78" s="10">
        <f t="shared" si="13"/>
        <v>0</v>
      </c>
      <c r="I78" s="416">
        <f t="shared" si="3"/>
        <v>0</v>
      </c>
    </row>
    <row r="79" spans="1:9" s="202" customFormat="1" ht="15.75" x14ac:dyDescent="0.25">
      <c r="A79" s="45" t="s">
        <v>244</v>
      </c>
      <c r="B79" s="40" t="s">
        <v>1214</v>
      </c>
      <c r="C79" s="40" t="s">
        <v>157</v>
      </c>
      <c r="D79" s="40" t="s">
        <v>245</v>
      </c>
      <c r="E79" s="40"/>
      <c r="F79" s="40"/>
      <c r="G79" s="10">
        <f t="shared" si="13"/>
        <v>208.6</v>
      </c>
      <c r="H79" s="10">
        <f t="shared" si="13"/>
        <v>0</v>
      </c>
      <c r="I79" s="416">
        <f t="shared" si="3"/>
        <v>0</v>
      </c>
    </row>
    <row r="80" spans="1:9" s="202" customFormat="1" ht="110.25" x14ac:dyDescent="0.25">
      <c r="A80" s="25" t="s">
        <v>1549</v>
      </c>
      <c r="B80" s="20" t="s">
        <v>1215</v>
      </c>
      <c r="C80" s="40" t="s">
        <v>157</v>
      </c>
      <c r="D80" s="40" t="s">
        <v>245</v>
      </c>
      <c r="E80" s="40"/>
      <c r="F80" s="40"/>
      <c r="G80" s="10">
        <f t="shared" si="13"/>
        <v>208.6</v>
      </c>
      <c r="H80" s="10">
        <f t="shared" si="13"/>
        <v>0</v>
      </c>
      <c r="I80" s="416">
        <f t="shared" si="3"/>
        <v>0</v>
      </c>
    </row>
    <row r="81" spans="1:9" s="202" customFormat="1" ht="31.5" x14ac:dyDescent="0.25">
      <c r="A81" s="25" t="s">
        <v>279</v>
      </c>
      <c r="B81" s="20" t="s">
        <v>1215</v>
      </c>
      <c r="C81" s="40" t="s">
        <v>157</v>
      </c>
      <c r="D81" s="40" t="s">
        <v>245</v>
      </c>
      <c r="E81" s="40" t="s">
        <v>280</v>
      </c>
      <c r="F81" s="40"/>
      <c r="G81" s="10">
        <f t="shared" si="13"/>
        <v>208.6</v>
      </c>
      <c r="H81" s="10">
        <f t="shared" si="13"/>
        <v>0</v>
      </c>
      <c r="I81" s="416">
        <f t="shared" si="3"/>
        <v>0</v>
      </c>
    </row>
    <row r="82" spans="1:9" s="202" customFormat="1" ht="63" x14ac:dyDescent="0.25">
      <c r="A82" s="25" t="s">
        <v>1100</v>
      </c>
      <c r="B82" s="20" t="s">
        <v>1215</v>
      </c>
      <c r="C82" s="40" t="s">
        <v>157</v>
      </c>
      <c r="D82" s="40" t="s">
        <v>245</v>
      </c>
      <c r="E82" s="40" t="s">
        <v>379</v>
      </c>
      <c r="F82" s="40"/>
      <c r="G82" s="10">
        <f>'Пр.4 ведом.21'!G270</f>
        <v>208.6</v>
      </c>
      <c r="H82" s="10">
        <f>'Пр.4 ведом.21'!H270</f>
        <v>0</v>
      </c>
      <c r="I82" s="416">
        <f t="shared" ref="I82:I145" si="14">H82/G82*100</f>
        <v>0</v>
      </c>
    </row>
    <row r="83" spans="1:9" s="202" customFormat="1" ht="47.25" x14ac:dyDescent="0.25">
      <c r="A83" s="45" t="s">
        <v>268</v>
      </c>
      <c r="B83" s="20" t="s">
        <v>1215</v>
      </c>
      <c r="C83" s="40" t="s">
        <v>157</v>
      </c>
      <c r="D83" s="40" t="s">
        <v>245</v>
      </c>
      <c r="E83" s="40" t="s">
        <v>379</v>
      </c>
      <c r="F83" s="40" t="s">
        <v>635</v>
      </c>
      <c r="G83" s="10">
        <f>G82</f>
        <v>208.6</v>
      </c>
      <c r="H83" s="10">
        <f>H82</f>
        <v>0</v>
      </c>
      <c r="I83" s="416">
        <f t="shared" si="14"/>
        <v>0</v>
      </c>
    </row>
    <row r="84" spans="1:9" s="202" customFormat="1" ht="31.5" hidden="1" x14ac:dyDescent="0.25">
      <c r="A84" s="23" t="s">
        <v>1005</v>
      </c>
      <c r="B84" s="24" t="s">
        <v>1324</v>
      </c>
      <c r="C84" s="7"/>
      <c r="D84" s="7"/>
      <c r="E84" s="7"/>
      <c r="F84" s="7"/>
      <c r="G84" s="59">
        <f t="shared" ref="G84:H88" si="15">G85</f>
        <v>0</v>
      </c>
      <c r="H84" s="59">
        <f t="shared" si="15"/>
        <v>0</v>
      </c>
      <c r="I84" s="416" t="e">
        <f t="shared" si="14"/>
        <v>#DIV/0!</v>
      </c>
    </row>
    <row r="85" spans="1:9" s="202" customFormat="1" ht="15.75" hidden="1" x14ac:dyDescent="0.25">
      <c r="A85" s="45" t="s">
        <v>239</v>
      </c>
      <c r="B85" s="40" t="s">
        <v>1324</v>
      </c>
      <c r="C85" s="40" t="s">
        <v>157</v>
      </c>
      <c r="D85" s="40"/>
      <c r="E85" s="40"/>
      <c r="F85" s="40"/>
      <c r="G85" s="10">
        <f t="shared" si="15"/>
        <v>0</v>
      </c>
      <c r="H85" s="10">
        <f t="shared" si="15"/>
        <v>0</v>
      </c>
      <c r="I85" s="416" t="e">
        <f t="shared" si="14"/>
        <v>#DIV/0!</v>
      </c>
    </row>
    <row r="86" spans="1:9" s="202" customFormat="1" ht="15.75" hidden="1" x14ac:dyDescent="0.25">
      <c r="A86" s="45" t="s">
        <v>244</v>
      </c>
      <c r="B86" s="40" t="s">
        <v>1324</v>
      </c>
      <c r="C86" s="40" t="s">
        <v>157</v>
      </c>
      <c r="D86" s="40" t="s">
        <v>245</v>
      </c>
      <c r="E86" s="40"/>
      <c r="F86" s="40"/>
      <c r="G86" s="10">
        <f t="shared" si="15"/>
        <v>0</v>
      </c>
      <c r="H86" s="10">
        <f t="shared" si="15"/>
        <v>0</v>
      </c>
      <c r="I86" s="416" t="e">
        <f t="shared" si="14"/>
        <v>#DIV/0!</v>
      </c>
    </row>
    <row r="87" spans="1:9" s="202" customFormat="1" ht="31.5" hidden="1" x14ac:dyDescent="0.25">
      <c r="A87" s="247" t="s">
        <v>1054</v>
      </c>
      <c r="B87" s="20" t="s">
        <v>1325</v>
      </c>
      <c r="C87" s="40" t="s">
        <v>157</v>
      </c>
      <c r="D87" s="40" t="s">
        <v>245</v>
      </c>
      <c r="E87" s="40"/>
      <c r="F87" s="40"/>
      <c r="G87" s="10">
        <f t="shared" si="15"/>
        <v>0</v>
      </c>
      <c r="H87" s="10">
        <f t="shared" si="15"/>
        <v>0</v>
      </c>
      <c r="I87" s="416" t="e">
        <f t="shared" si="14"/>
        <v>#DIV/0!</v>
      </c>
    </row>
    <row r="88" spans="1:9" s="202" customFormat="1" ht="31.5" hidden="1" x14ac:dyDescent="0.25">
      <c r="A88" s="25" t="s">
        <v>138</v>
      </c>
      <c r="B88" s="20" t="s">
        <v>1325</v>
      </c>
      <c r="C88" s="40" t="s">
        <v>157</v>
      </c>
      <c r="D88" s="40" t="s">
        <v>245</v>
      </c>
      <c r="E88" s="40" t="s">
        <v>139</v>
      </c>
      <c r="F88" s="40"/>
      <c r="G88" s="10">
        <f t="shared" si="15"/>
        <v>0</v>
      </c>
      <c r="H88" s="10">
        <f t="shared" si="15"/>
        <v>0</v>
      </c>
      <c r="I88" s="416" t="e">
        <f t="shared" si="14"/>
        <v>#DIV/0!</v>
      </c>
    </row>
    <row r="89" spans="1:9" s="202" customFormat="1" ht="31.5" hidden="1" x14ac:dyDescent="0.25">
      <c r="A89" s="25" t="s">
        <v>140</v>
      </c>
      <c r="B89" s="20" t="s">
        <v>1325</v>
      </c>
      <c r="C89" s="40" t="s">
        <v>157</v>
      </c>
      <c r="D89" s="40" t="s">
        <v>245</v>
      </c>
      <c r="E89" s="40" t="s">
        <v>141</v>
      </c>
      <c r="F89" s="40"/>
      <c r="G89" s="10">
        <f>'Пр.4 ведом.21'!G274</f>
        <v>0</v>
      </c>
      <c r="H89" s="10">
        <f>'Пр.4 ведом.21'!H274</f>
        <v>0</v>
      </c>
      <c r="I89" s="416" t="e">
        <f t="shared" si="14"/>
        <v>#DIV/0!</v>
      </c>
    </row>
    <row r="90" spans="1:9" s="202" customFormat="1" ht="47.25" hidden="1" x14ac:dyDescent="0.25">
      <c r="A90" s="45" t="s">
        <v>268</v>
      </c>
      <c r="B90" s="20" t="s">
        <v>1325</v>
      </c>
      <c r="C90" s="40" t="s">
        <v>157</v>
      </c>
      <c r="D90" s="40" t="s">
        <v>245</v>
      </c>
      <c r="E90" s="40" t="s">
        <v>141</v>
      </c>
      <c r="F90" s="9" t="s">
        <v>635</v>
      </c>
      <c r="G90" s="10">
        <f>G89</f>
        <v>0</v>
      </c>
      <c r="H90" s="10">
        <f>H89</f>
        <v>0</v>
      </c>
      <c r="I90" s="416" t="e">
        <f t="shared" si="14"/>
        <v>#DIV/0!</v>
      </c>
    </row>
    <row r="91" spans="1:9" s="202" customFormat="1" ht="31.5" hidden="1" x14ac:dyDescent="0.25">
      <c r="A91" s="207" t="s">
        <v>1113</v>
      </c>
      <c r="B91" s="24" t="s">
        <v>1216</v>
      </c>
      <c r="C91" s="7"/>
      <c r="D91" s="7"/>
      <c r="E91" s="7"/>
      <c r="F91" s="7"/>
      <c r="G91" s="59">
        <f t="shared" ref="G91:H95" si="16">G92</f>
        <v>0</v>
      </c>
      <c r="H91" s="59">
        <f t="shared" si="16"/>
        <v>0</v>
      </c>
      <c r="I91" s="416" t="e">
        <f t="shared" si="14"/>
        <v>#DIV/0!</v>
      </c>
    </row>
    <row r="92" spans="1:9" s="202" customFormat="1" ht="15.75" hidden="1" x14ac:dyDescent="0.25">
      <c r="A92" s="45" t="s">
        <v>239</v>
      </c>
      <c r="B92" s="40" t="s">
        <v>1216</v>
      </c>
      <c r="C92" s="40" t="s">
        <v>157</v>
      </c>
      <c r="D92" s="40"/>
      <c r="E92" s="40"/>
      <c r="F92" s="40"/>
      <c r="G92" s="10">
        <f t="shared" si="16"/>
        <v>0</v>
      </c>
      <c r="H92" s="10">
        <f t="shared" si="16"/>
        <v>0</v>
      </c>
      <c r="I92" s="416" t="e">
        <f t="shared" si="14"/>
        <v>#DIV/0!</v>
      </c>
    </row>
    <row r="93" spans="1:9" s="202" customFormat="1" ht="15.75" hidden="1" x14ac:dyDescent="0.25">
      <c r="A93" s="45" t="s">
        <v>244</v>
      </c>
      <c r="B93" s="40" t="s">
        <v>1216</v>
      </c>
      <c r="C93" s="40" t="s">
        <v>157</v>
      </c>
      <c r="D93" s="40" t="s">
        <v>245</v>
      </c>
      <c r="E93" s="40"/>
      <c r="F93" s="40"/>
      <c r="G93" s="10">
        <f t="shared" si="16"/>
        <v>0</v>
      </c>
      <c r="H93" s="10">
        <f t="shared" si="16"/>
        <v>0</v>
      </c>
      <c r="I93" s="416" t="e">
        <f t="shared" si="14"/>
        <v>#DIV/0!</v>
      </c>
    </row>
    <row r="94" spans="1:9" s="202" customFormat="1" ht="31.5" hidden="1" x14ac:dyDescent="0.25">
      <c r="A94" s="226" t="s">
        <v>1415</v>
      </c>
      <c r="B94" s="20" t="s">
        <v>1217</v>
      </c>
      <c r="C94" s="40" t="s">
        <v>157</v>
      </c>
      <c r="D94" s="40" t="s">
        <v>245</v>
      </c>
      <c r="E94" s="40"/>
      <c r="F94" s="40"/>
      <c r="G94" s="10">
        <f t="shared" si="16"/>
        <v>0</v>
      </c>
      <c r="H94" s="10">
        <f t="shared" si="16"/>
        <v>0</v>
      </c>
      <c r="I94" s="416" t="e">
        <f t="shared" si="14"/>
        <v>#DIV/0!</v>
      </c>
    </row>
    <row r="95" spans="1:9" s="202" customFormat="1" ht="31.5" hidden="1" x14ac:dyDescent="0.25">
      <c r="A95" s="25" t="s">
        <v>138</v>
      </c>
      <c r="B95" s="20" t="s">
        <v>1217</v>
      </c>
      <c r="C95" s="40" t="s">
        <v>157</v>
      </c>
      <c r="D95" s="40" t="s">
        <v>245</v>
      </c>
      <c r="E95" s="40" t="s">
        <v>139</v>
      </c>
      <c r="F95" s="40"/>
      <c r="G95" s="10">
        <f t="shared" si="16"/>
        <v>0</v>
      </c>
      <c r="H95" s="10">
        <f t="shared" si="16"/>
        <v>0</v>
      </c>
      <c r="I95" s="416" t="e">
        <f t="shared" si="14"/>
        <v>#DIV/0!</v>
      </c>
    </row>
    <row r="96" spans="1:9" s="202" customFormat="1" ht="31.5" hidden="1" x14ac:dyDescent="0.25">
      <c r="A96" s="25" t="s">
        <v>140</v>
      </c>
      <c r="B96" s="20" t="s">
        <v>1217</v>
      </c>
      <c r="C96" s="40" t="s">
        <v>157</v>
      </c>
      <c r="D96" s="40" t="s">
        <v>245</v>
      </c>
      <c r="E96" s="40" t="s">
        <v>141</v>
      </c>
      <c r="F96" s="40"/>
      <c r="G96" s="10">
        <f>'Пр.4 ведом.21'!G278</f>
        <v>0</v>
      </c>
      <c r="H96" s="10">
        <f>'Пр.4 ведом.21'!H278</f>
        <v>0</v>
      </c>
      <c r="I96" s="416" t="e">
        <f t="shared" si="14"/>
        <v>#DIV/0!</v>
      </c>
    </row>
    <row r="97" spans="1:9" s="202" customFormat="1" ht="47.25" hidden="1" x14ac:dyDescent="0.25">
      <c r="A97" s="45" t="s">
        <v>268</v>
      </c>
      <c r="B97" s="20" t="s">
        <v>1217</v>
      </c>
      <c r="C97" s="40" t="s">
        <v>157</v>
      </c>
      <c r="D97" s="40" t="s">
        <v>245</v>
      </c>
      <c r="E97" s="40" t="s">
        <v>141</v>
      </c>
      <c r="F97" s="9" t="s">
        <v>635</v>
      </c>
      <c r="G97" s="10">
        <f>G96</f>
        <v>0</v>
      </c>
      <c r="H97" s="10">
        <f>H96</f>
        <v>0</v>
      </c>
      <c r="I97" s="416" t="e">
        <f t="shared" si="14"/>
        <v>#DIV/0!</v>
      </c>
    </row>
    <row r="98" spans="1:9" s="202" customFormat="1" ht="78.75" x14ac:dyDescent="0.25">
      <c r="A98" s="41" t="s">
        <v>1365</v>
      </c>
      <c r="B98" s="7" t="s">
        <v>366</v>
      </c>
      <c r="C98" s="7"/>
      <c r="D98" s="7"/>
      <c r="E98" s="7"/>
      <c r="F98" s="8"/>
      <c r="G98" s="59">
        <f>G99</f>
        <v>200</v>
      </c>
      <c r="H98" s="59">
        <f>H99</f>
        <v>62.5</v>
      </c>
      <c r="I98" s="441">
        <f t="shared" si="14"/>
        <v>31.25</v>
      </c>
    </row>
    <row r="99" spans="1:9" s="202" customFormat="1" ht="47.25" x14ac:dyDescent="0.25">
      <c r="A99" s="245" t="s">
        <v>1055</v>
      </c>
      <c r="B99" s="7" t="s">
        <v>919</v>
      </c>
      <c r="C99" s="7"/>
      <c r="D99" s="7"/>
      <c r="E99" s="7"/>
      <c r="F99" s="8"/>
      <c r="G99" s="59">
        <f>G100</f>
        <v>200</v>
      </c>
      <c r="H99" s="59">
        <f>H100</f>
        <v>62.5</v>
      </c>
      <c r="I99" s="441">
        <f t="shared" si="14"/>
        <v>31.25</v>
      </c>
    </row>
    <row r="100" spans="1:9" s="202" customFormat="1" ht="15.75" x14ac:dyDescent="0.25">
      <c r="A100" s="45" t="s">
        <v>124</v>
      </c>
      <c r="B100" s="40" t="s">
        <v>919</v>
      </c>
      <c r="C100" s="40" t="s">
        <v>125</v>
      </c>
      <c r="D100" s="40"/>
      <c r="E100" s="40"/>
      <c r="F100" s="9"/>
      <c r="G100" s="10">
        <f t="shared" ref="G100:H103" si="17">G101</f>
        <v>200</v>
      </c>
      <c r="H100" s="10">
        <f t="shared" si="17"/>
        <v>62.5</v>
      </c>
      <c r="I100" s="416">
        <f t="shared" si="14"/>
        <v>31.25</v>
      </c>
    </row>
    <row r="101" spans="1:9" s="202" customFormat="1" ht="15.75" x14ac:dyDescent="0.25">
      <c r="A101" s="45" t="s">
        <v>146</v>
      </c>
      <c r="B101" s="40" t="s">
        <v>919</v>
      </c>
      <c r="C101" s="40" t="s">
        <v>125</v>
      </c>
      <c r="D101" s="40" t="s">
        <v>147</v>
      </c>
      <c r="E101" s="40"/>
      <c r="F101" s="9"/>
      <c r="G101" s="10">
        <f>G102</f>
        <v>200</v>
      </c>
      <c r="H101" s="10">
        <f>H102</f>
        <v>62.5</v>
      </c>
      <c r="I101" s="416">
        <f t="shared" si="14"/>
        <v>31.25</v>
      </c>
    </row>
    <row r="102" spans="1:9" s="202" customFormat="1" ht="31.5" x14ac:dyDescent="0.25">
      <c r="A102" s="98" t="s">
        <v>1106</v>
      </c>
      <c r="B102" s="40" t="s">
        <v>1213</v>
      </c>
      <c r="C102" s="40" t="s">
        <v>125</v>
      </c>
      <c r="D102" s="40" t="s">
        <v>147</v>
      </c>
      <c r="E102" s="40"/>
      <c r="F102" s="9"/>
      <c r="G102" s="10">
        <f t="shared" si="17"/>
        <v>200</v>
      </c>
      <c r="H102" s="10">
        <f t="shared" si="17"/>
        <v>62.5</v>
      </c>
      <c r="I102" s="416">
        <f t="shared" si="14"/>
        <v>31.25</v>
      </c>
    </row>
    <row r="103" spans="1:9" s="202" customFormat="1" ht="31.5" x14ac:dyDescent="0.25">
      <c r="A103" s="29" t="s">
        <v>138</v>
      </c>
      <c r="B103" s="40" t="s">
        <v>1213</v>
      </c>
      <c r="C103" s="40" t="s">
        <v>125</v>
      </c>
      <c r="D103" s="40" t="s">
        <v>147</v>
      </c>
      <c r="E103" s="40" t="s">
        <v>139</v>
      </c>
      <c r="F103" s="9"/>
      <c r="G103" s="10">
        <f t="shared" si="17"/>
        <v>200</v>
      </c>
      <c r="H103" s="10">
        <f t="shared" si="17"/>
        <v>62.5</v>
      </c>
      <c r="I103" s="416">
        <f t="shared" si="14"/>
        <v>31.25</v>
      </c>
    </row>
    <row r="104" spans="1:9" s="202" customFormat="1" ht="31.5" x14ac:dyDescent="0.25">
      <c r="A104" s="29" t="s">
        <v>140</v>
      </c>
      <c r="B104" s="40" t="s">
        <v>1213</v>
      </c>
      <c r="C104" s="40" t="s">
        <v>125</v>
      </c>
      <c r="D104" s="40" t="s">
        <v>147</v>
      </c>
      <c r="E104" s="40" t="s">
        <v>141</v>
      </c>
      <c r="F104" s="9"/>
      <c r="G104" s="10">
        <f>'Пр.4 ведом.21'!G236</f>
        <v>200</v>
      </c>
      <c r="H104" s="10">
        <f>'Пр.4 ведом.21'!H236</f>
        <v>62.5</v>
      </c>
      <c r="I104" s="416">
        <f t="shared" si="14"/>
        <v>31.25</v>
      </c>
    </row>
    <row r="105" spans="1:9" s="202" customFormat="1" ht="47.25" x14ac:dyDescent="0.25">
      <c r="A105" s="45" t="s">
        <v>268</v>
      </c>
      <c r="B105" s="40" t="s">
        <v>1213</v>
      </c>
      <c r="C105" s="40" t="s">
        <v>125</v>
      </c>
      <c r="D105" s="40" t="s">
        <v>147</v>
      </c>
      <c r="E105" s="40" t="s">
        <v>141</v>
      </c>
      <c r="F105" s="9" t="s">
        <v>635</v>
      </c>
      <c r="G105" s="10">
        <f>G104</f>
        <v>200</v>
      </c>
      <c r="H105" s="10">
        <f>H104</f>
        <v>62.5</v>
      </c>
      <c r="I105" s="416">
        <f t="shared" si="14"/>
        <v>31.25</v>
      </c>
    </row>
    <row r="106" spans="1:9" ht="39.200000000000003" customHeight="1" x14ac:dyDescent="0.25">
      <c r="A106" s="58" t="s">
        <v>637</v>
      </c>
      <c r="B106" s="7" t="s">
        <v>369</v>
      </c>
      <c r="C106" s="7"/>
      <c r="D106" s="7"/>
      <c r="E106" s="7"/>
      <c r="F106" s="7"/>
      <c r="G106" s="59">
        <f>G107+G114+G124</f>
        <v>1907</v>
      </c>
      <c r="H106" s="59">
        <f>H107+H114+H124</f>
        <v>208.893</v>
      </c>
      <c r="I106" s="441">
        <f t="shared" si="14"/>
        <v>10.954011536444677</v>
      </c>
    </row>
    <row r="107" spans="1:9" s="202" customFormat="1" ht="31.5" x14ac:dyDescent="0.25">
      <c r="A107" s="23" t="s">
        <v>1048</v>
      </c>
      <c r="B107" s="24" t="s">
        <v>923</v>
      </c>
      <c r="C107" s="40"/>
      <c r="D107" s="40"/>
      <c r="E107" s="40"/>
      <c r="F107" s="40"/>
      <c r="G107" s="59">
        <f>G108</f>
        <v>630</v>
      </c>
      <c r="H107" s="59">
        <f>H108</f>
        <v>128.893</v>
      </c>
      <c r="I107" s="441">
        <f t="shared" si="14"/>
        <v>20.459206349206347</v>
      </c>
    </row>
    <row r="108" spans="1:9" ht="15.75" x14ac:dyDescent="0.25">
      <c r="A108" s="45" t="s">
        <v>250</v>
      </c>
      <c r="B108" s="40" t="s">
        <v>923</v>
      </c>
      <c r="C108" s="40" t="s">
        <v>251</v>
      </c>
      <c r="D108" s="40"/>
      <c r="E108" s="40"/>
      <c r="F108" s="40"/>
      <c r="G108" s="10">
        <f t="shared" ref="G108:H111" si="18">G109</f>
        <v>630</v>
      </c>
      <c r="H108" s="10">
        <f t="shared" si="18"/>
        <v>128.893</v>
      </c>
      <c r="I108" s="416">
        <f t="shared" si="14"/>
        <v>20.459206349206347</v>
      </c>
    </row>
    <row r="109" spans="1:9" ht="15.75" x14ac:dyDescent="0.25">
      <c r="A109" s="45" t="s">
        <v>259</v>
      </c>
      <c r="B109" s="40" t="s">
        <v>923</v>
      </c>
      <c r="C109" s="40" t="s">
        <v>251</v>
      </c>
      <c r="D109" s="40" t="s">
        <v>222</v>
      </c>
      <c r="E109" s="40"/>
      <c r="F109" s="40"/>
      <c r="G109" s="10">
        <f>G110</f>
        <v>630</v>
      </c>
      <c r="H109" s="10">
        <f>H110</f>
        <v>128.893</v>
      </c>
      <c r="I109" s="416">
        <f t="shared" si="14"/>
        <v>20.459206349206347</v>
      </c>
    </row>
    <row r="110" spans="1:9" ht="47.25" x14ac:dyDescent="0.25">
      <c r="A110" s="98" t="s">
        <v>1049</v>
      </c>
      <c r="B110" s="20" t="s">
        <v>1239</v>
      </c>
      <c r="C110" s="40" t="s">
        <v>251</v>
      </c>
      <c r="D110" s="40" t="s">
        <v>222</v>
      </c>
      <c r="E110" s="40"/>
      <c r="F110" s="40"/>
      <c r="G110" s="10">
        <f t="shared" si="18"/>
        <v>630</v>
      </c>
      <c r="H110" s="10">
        <f t="shared" si="18"/>
        <v>128.893</v>
      </c>
      <c r="I110" s="416">
        <f t="shared" si="14"/>
        <v>20.459206349206347</v>
      </c>
    </row>
    <row r="111" spans="1:9" ht="15.75" x14ac:dyDescent="0.25">
      <c r="A111" s="25" t="s">
        <v>255</v>
      </c>
      <c r="B111" s="20" t="s">
        <v>1239</v>
      </c>
      <c r="C111" s="40" t="s">
        <v>251</v>
      </c>
      <c r="D111" s="40" t="s">
        <v>222</v>
      </c>
      <c r="E111" s="40" t="s">
        <v>256</v>
      </c>
      <c r="F111" s="40"/>
      <c r="G111" s="10">
        <f t="shared" si="18"/>
        <v>630</v>
      </c>
      <c r="H111" s="10">
        <f t="shared" si="18"/>
        <v>128.893</v>
      </c>
      <c r="I111" s="416">
        <f t="shared" si="14"/>
        <v>20.459206349206347</v>
      </c>
    </row>
    <row r="112" spans="1:9" ht="31.5" x14ac:dyDescent="0.25">
      <c r="A112" s="25" t="s">
        <v>355</v>
      </c>
      <c r="B112" s="20" t="s">
        <v>1239</v>
      </c>
      <c r="C112" s="40" t="s">
        <v>251</v>
      </c>
      <c r="D112" s="40" t="s">
        <v>222</v>
      </c>
      <c r="E112" s="40" t="s">
        <v>356</v>
      </c>
      <c r="F112" s="40"/>
      <c r="G112" s="10">
        <f>'Пр.4 ведом.21'!G449</f>
        <v>630</v>
      </c>
      <c r="H112" s="10">
        <f>'Пр.4 ведом.21'!H449</f>
        <v>128.893</v>
      </c>
      <c r="I112" s="416">
        <f t="shared" si="14"/>
        <v>20.459206349206347</v>
      </c>
    </row>
    <row r="113" spans="1:9" ht="47.25" x14ac:dyDescent="0.25">
      <c r="A113" s="45" t="s">
        <v>268</v>
      </c>
      <c r="B113" s="20" t="s">
        <v>1239</v>
      </c>
      <c r="C113" s="40" t="s">
        <v>251</v>
      </c>
      <c r="D113" s="40" t="s">
        <v>222</v>
      </c>
      <c r="E113" s="40" t="s">
        <v>356</v>
      </c>
      <c r="F113" s="40" t="s">
        <v>635</v>
      </c>
      <c r="G113" s="10">
        <f>G112</f>
        <v>630</v>
      </c>
      <c r="H113" s="10">
        <f>H112</f>
        <v>128.893</v>
      </c>
      <c r="I113" s="416">
        <f t="shared" si="14"/>
        <v>20.459206349206347</v>
      </c>
    </row>
    <row r="114" spans="1:9" s="202" customFormat="1" ht="31.5" x14ac:dyDescent="0.25">
      <c r="A114" s="23" t="s">
        <v>1416</v>
      </c>
      <c r="B114" s="24" t="s">
        <v>1241</v>
      </c>
      <c r="C114" s="7"/>
      <c r="D114" s="7"/>
      <c r="E114" s="7"/>
      <c r="F114" s="7"/>
      <c r="G114" s="59">
        <f>G115</f>
        <v>657</v>
      </c>
      <c r="H114" s="59">
        <f>H115</f>
        <v>40</v>
      </c>
      <c r="I114" s="441">
        <f t="shared" si="14"/>
        <v>6.0882800608828003</v>
      </c>
    </row>
    <row r="115" spans="1:9" s="202" customFormat="1" ht="15.75" x14ac:dyDescent="0.25">
      <c r="A115" s="45" t="s">
        <v>250</v>
      </c>
      <c r="B115" s="40" t="s">
        <v>1241</v>
      </c>
      <c r="C115" s="40" t="s">
        <v>251</v>
      </c>
      <c r="D115" s="40"/>
      <c r="E115" s="40"/>
      <c r="F115" s="40"/>
      <c r="G115" s="10">
        <f t="shared" ref="G115:H115" si="19">G116</f>
        <v>657</v>
      </c>
      <c r="H115" s="10">
        <f t="shared" si="19"/>
        <v>40</v>
      </c>
      <c r="I115" s="416">
        <f t="shared" si="14"/>
        <v>6.0882800608828003</v>
      </c>
    </row>
    <row r="116" spans="1:9" s="202" customFormat="1" ht="15.75" x14ac:dyDescent="0.25">
      <c r="A116" s="45" t="s">
        <v>259</v>
      </c>
      <c r="B116" s="40" t="s">
        <v>1241</v>
      </c>
      <c r="C116" s="40" t="s">
        <v>251</v>
      </c>
      <c r="D116" s="40" t="s">
        <v>222</v>
      </c>
      <c r="E116" s="40"/>
      <c r="F116" s="40"/>
      <c r="G116" s="10">
        <f>G117</f>
        <v>657</v>
      </c>
      <c r="H116" s="10">
        <f>H117</f>
        <v>40</v>
      </c>
      <c r="I116" s="416">
        <f t="shared" si="14"/>
        <v>6.0882800608828003</v>
      </c>
    </row>
    <row r="117" spans="1:9" s="202" customFormat="1" ht="31.5" x14ac:dyDescent="0.25">
      <c r="A117" s="25" t="s">
        <v>1240</v>
      </c>
      <c r="B117" s="20" t="s">
        <v>1242</v>
      </c>
      <c r="C117" s="40" t="s">
        <v>251</v>
      </c>
      <c r="D117" s="40" t="s">
        <v>222</v>
      </c>
      <c r="E117" s="40"/>
      <c r="F117" s="40"/>
      <c r="G117" s="10">
        <f>G118+G121</f>
        <v>657</v>
      </c>
      <c r="H117" s="10">
        <f>H118+H121</f>
        <v>40</v>
      </c>
      <c r="I117" s="416">
        <f t="shared" si="14"/>
        <v>6.0882800608828003</v>
      </c>
    </row>
    <row r="118" spans="1:9" s="202" customFormat="1" ht="31.5" x14ac:dyDescent="0.25">
      <c r="A118" s="25" t="s">
        <v>138</v>
      </c>
      <c r="B118" s="20" t="s">
        <v>1242</v>
      </c>
      <c r="C118" s="40" t="s">
        <v>251</v>
      </c>
      <c r="D118" s="40" t="s">
        <v>222</v>
      </c>
      <c r="E118" s="40" t="s">
        <v>139</v>
      </c>
      <c r="F118" s="40"/>
      <c r="G118" s="10">
        <f>G119</f>
        <v>400</v>
      </c>
      <c r="H118" s="10">
        <f>H119</f>
        <v>0</v>
      </c>
      <c r="I118" s="416">
        <f t="shared" si="14"/>
        <v>0</v>
      </c>
    </row>
    <row r="119" spans="1:9" s="202" customFormat="1" ht="31.5" x14ac:dyDescent="0.25">
      <c r="A119" s="25" t="s">
        <v>140</v>
      </c>
      <c r="B119" s="20" t="s">
        <v>1242</v>
      </c>
      <c r="C119" s="40" t="s">
        <v>251</v>
      </c>
      <c r="D119" s="40" t="s">
        <v>222</v>
      </c>
      <c r="E119" s="40" t="s">
        <v>141</v>
      </c>
      <c r="F119" s="40"/>
      <c r="G119" s="10">
        <f>'Пр.4 ведом.21'!G453</f>
        <v>400</v>
      </c>
      <c r="H119" s="10">
        <f>'Пр.4 ведом.21'!H453</f>
        <v>0</v>
      </c>
      <c r="I119" s="416">
        <f t="shared" si="14"/>
        <v>0</v>
      </c>
    </row>
    <row r="120" spans="1:9" s="202" customFormat="1" ht="47.25" x14ac:dyDescent="0.25">
      <c r="A120" s="45" t="s">
        <v>268</v>
      </c>
      <c r="B120" s="20" t="s">
        <v>1242</v>
      </c>
      <c r="C120" s="40" t="s">
        <v>251</v>
      </c>
      <c r="D120" s="40" t="s">
        <v>222</v>
      </c>
      <c r="E120" s="40" t="s">
        <v>141</v>
      </c>
      <c r="F120" s="40" t="s">
        <v>635</v>
      </c>
      <c r="G120" s="10">
        <f>G119</f>
        <v>400</v>
      </c>
      <c r="H120" s="10">
        <f>H119</f>
        <v>0</v>
      </c>
      <c r="I120" s="416">
        <f t="shared" si="14"/>
        <v>0</v>
      </c>
    </row>
    <row r="121" spans="1:9" s="202" customFormat="1" ht="15.75" x14ac:dyDescent="0.25">
      <c r="A121" s="25" t="s">
        <v>255</v>
      </c>
      <c r="B121" s="20" t="s">
        <v>1242</v>
      </c>
      <c r="C121" s="40" t="s">
        <v>251</v>
      </c>
      <c r="D121" s="40" t="s">
        <v>222</v>
      </c>
      <c r="E121" s="40" t="s">
        <v>256</v>
      </c>
      <c r="F121" s="40"/>
      <c r="G121" s="10">
        <f>G122</f>
        <v>257</v>
      </c>
      <c r="H121" s="10">
        <f>H122</f>
        <v>40</v>
      </c>
      <c r="I121" s="416">
        <f t="shared" si="14"/>
        <v>15.56420233463035</v>
      </c>
    </row>
    <row r="122" spans="1:9" s="202" customFormat="1" ht="31.5" x14ac:dyDescent="0.25">
      <c r="A122" s="25" t="s">
        <v>355</v>
      </c>
      <c r="B122" s="20" t="s">
        <v>1242</v>
      </c>
      <c r="C122" s="40" t="s">
        <v>251</v>
      </c>
      <c r="D122" s="40" t="s">
        <v>222</v>
      </c>
      <c r="E122" s="40" t="s">
        <v>356</v>
      </c>
      <c r="F122" s="40"/>
      <c r="G122" s="10">
        <f>'Пр.4 ведом.21'!G455</f>
        <v>257</v>
      </c>
      <c r="H122" s="10">
        <f>'Пр.4 ведом.21'!H455</f>
        <v>40</v>
      </c>
      <c r="I122" s="416">
        <f t="shared" si="14"/>
        <v>15.56420233463035</v>
      </c>
    </row>
    <row r="123" spans="1:9" s="202" customFormat="1" ht="47.25" x14ac:dyDescent="0.25">
      <c r="A123" s="45" t="s">
        <v>268</v>
      </c>
      <c r="B123" s="20" t="s">
        <v>1242</v>
      </c>
      <c r="C123" s="40" t="s">
        <v>251</v>
      </c>
      <c r="D123" s="40" t="s">
        <v>222</v>
      </c>
      <c r="E123" s="40" t="s">
        <v>356</v>
      </c>
      <c r="F123" s="40" t="s">
        <v>635</v>
      </c>
      <c r="G123" s="10">
        <f>G122</f>
        <v>257</v>
      </c>
      <c r="H123" s="10">
        <f>H122</f>
        <v>40</v>
      </c>
      <c r="I123" s="416">
        <f t="shared" si="14"/>
        <v>15.56420233463035</v>
      </c>
    </row>
    <row r="124" spans="1:9" s="202" customFormat="1" ht="31.5" x14ac:dyDescent="0.25">
      <c r="A124" s="23" t="s">
        <v>1007</v>
      </c>
      <c r="B124" s="24" t="s">
        <v>1236</v>
      </c>
      <c r="C124" s="7"/>
      <c r="D124" s="7"/>
      <c r="E124" s="7"/>
      <c r="F124" s="7"/>
      <c r="G124" s="59">
        <f>G131+G125</f>
        <v>620</v>
      </c>
      <c r="H124" s="59">
        <f>H131+H125</f>
        <v>40</v>
      </c>
      <c r="I124" s="441">
        <f t="shared" si="14"/>
        <v>6.4516129032258061</v>
      </c>
    </row>
    <row r="125" spans="1:9" s="202" customFormat="1" ht="15.75" x14ac:dyDescent="0.25">
      <c r="A125" s="25" t="s">
        <v>305</v>
      </c>
      <c r="B125" s="20" t="s">
        <v>1236</v>
      </c>
      <c r="C125" s="40" t="s">
        <v>306</v>
      </c>
      <c r="D125" s="40"/>
      <c r="E125" s="7"/>
      <c r="F125" s="7"/>
      <c r="G125" s="10">
        <f t="shared" ref="G125:H128" si="20">G126</f>
        <v>200</v>
      </c>
      <c r="H125" s="10">
        <f t="shared" si="20"/>
        <v>0</v>
      </c>
      <c r="I125" s="416">
        <f t="shared" si="14"/>
        <v>0</v>
      </c>
    </row>
    <row r="126" spans="1:9" s="202" customFormat="1" ht="15.75" x14ac:dyDescent="0.25">
      <c r="A126" s="25" t="s">
        <v>307</v>
      </c>
      <c r="B126" s="20" t="s">
        <v>1236</v>
      </c>
      <c r="C126" s="40" t="s">
        <v>306</v>
      </c>
      <c r="D126" s="40" t="s">
        <v>157</v>
      </c>
      <c r="E126" s="7"/>
      <c r="F126" s="7"/>
      <c r="G126" s="10">
        <f t="shared" si="20"/>
        <v>200</v>
      </c>
      <c r="H126" s="10">
        <f t="shared" si="20"/>
        <v>0</v>
      </c>
      <c r="I126" s="416">
        <f t="shared" si="14"/>
        <v>0</v>
      </c>
    </row>
    <row r="127" spans="1:9" s="202" customFormat="1" ht="31.5" x14ac:dyDescent="0.25">
      <c r="A127" s="25" t="s">
        <v>1006</v>
      </c>
      <c r="B127" s="20" t="s">
        <v>1237</v>
      </c>
      <c r="C127" s="40" t="s">
        <v>306</v>
      </c>
      <c r="D127" s="40" t="s">
        <v>157</v>
      </c>
      <c r="E127" s="7"/>
      <c r="F127" s="7"/>
      <c r="G127" s="10">
        <f t="shared" si="20"/>
        <v>200</v>
      </c>
      <c r="H127" s="10">
        <f t="shared" si="20"/>
        <v>0</v>
      </c>
      <c r="I127" s="416">
        <f t="shared" si="14"/>
        <v>0</v>
      </c>
    </row>
    <row r="128" spans="1:9" s="202" customFormat="1" ht="31.5" x14ac:dyDescent="0.25">
      <c r="A128" s="25" t="s">
        <v>138</v>
      </c>
      <c r="B128" s="20" t="s">
        <v>1237</v>
      </c>
      <c r="C128" s="40" t="s">
        <v>306</v>
      </c>
      <c r="D128" s="40" t="s">
        <v>157</v>
      </c>
      <c r="E128" s="40" t="s">
        <v>139</v>
      </c>
      <c r="F128" s="40"/>
      <c r="G128" s="10">
        <f t="shared" si="20"/>
        <v>200</v>
      </c>
      <c r="H128" s="10">
        <f t="shared" si="20"/>
        <v>0</v>
      </c>
      <c r="I128" s="416">
        <f t="shared" si="14"/>
        <v>0</v>
      </c>
    </row>
    <row r="129" spans="1:11" s="202" customFormat="1" ht="31.5" x14ac:dyDescent="0.25">
      <c r="A129" s="25" t="s">
        <v>140</v>
      </c>
      <c r="B129" s="20" t="s">
        <v>1237</v>
      </c>
      <c r="C129" s="40" t="s">
        <v>306</v>
      </c>
      <c r="D129" s="40" t="s">
        <v>157</v>
      </c>
      <c r="E129" s="40" t="s">
        <v>141</v>
      </c>
      <c r="F129" s="40"/>
      <c r="G129" s="10">
        <f>'Пр.4 ведом.21'!G431</f>
        <v>200</v>
      </c>
      <c r="H129" s="10">
        <f>'Пр.4 ведом.21'!H431</f>
        <v>0</v>
      </c>
      <c r="I129" s="416">
        <f t="shared" si="14"/>
        <v>0</v>
      </c>
    </row>
    <row r="130" spans="1:11" s="202" customFormat="1" ht="47.25" x14ac:dyDescent="0.25">
      <c r="A130" s="45" t="s">
        <v>268</v>
      </c>
      <c r="B130" s="20" t="s">
        <v>1237</v>
      </c>
      <c r="C130" s="40" t="s">
        <v>306</v>
      </c>
      <c r="D130" s="40" t="s">
        <v>157</v>
      </c>
      <c r="E130" s="40" t="s">
        <v>141</v>
      </c>
      <c r="F130" s="40" t="s">
        <v>635</v>
      </c>
      <c r="G130" s="10">
        <f>G129</f>
        <v>200</v>
      </c>
      <c r="H130" s="10">
        <f>H129</f>
        <v>0</v>
      </c>
      <c r="I130" s="416">
        <f t="shared" si="14"/>
        <v>0</v>
      </c>
    </row>
    <row r="131" spans="1:11" s="202" customFormat="1" ht="15.75" x14ac:dyDescent="0.25">
      <c r="A131" s="45" t="s">
        <v>250</v>
      </c>
      <c r="B131" s="20" t="s">
        <v>1236</v>
      </c>
      <c r="C131" s="40" t="s">
        <v>251</v>
      </c>
      <c r="D131" s="40"/>
      <c r="E131" s="40"/>
      <c r="F131" s="40"/>
      <c r="G131" s="10">
        <f t="shared" ref="G131:H134" si="21">G132</f>
        <v>420</v>
      </c>
      <c r="H131" s="10">
        <f t="shared" si="21"/>
        <v>40</v>
      </c>
      <c r="I131" s="416">
        <f t="shared" si="14"/>
        <v>9.5238095238095237</v>
      </c>
    </row>
    <row r="132" spans="1:11" s="202" customFormat="1" ht="15.75" x14ac:dyDescent="0.25">
      <c r="A132" s="45" t="s">
        <v>259</v>
      </c>
      <c r="B132" s="20" t="s">
        <v>1236</v>
      </c>
      <c r="C132" s="40" t="s">
        <v>251</v>
      </c>
      <c r="D132" s="40" t="s">
        <v>222</v>
      </c>
      <c r="E132" s="40"/>
      <c r="F132" s="40"/>
      <c r="G132" s="10">
        <f t="shared" si="21"/>
        <v>420</v>
      </c>
      <c r="H132" s="10">
        <f t="shared" si="21"/>
        <v>40</v>
      </c>
      <c r="I132" s="416">
        <f t="shared" si="14"/>
        <v>9.5238095238095237</v>
      </c>
    </row>
    <row r="133" spans="1:11" s="202" customFormat="1" ht="15.75" x14ac:dyDescent="0.25">
      <c r="A133" s="25" t="s">
        <v>1046</v>
      </c>
      <c r="B133" s="20" t="s">
        <v>1238</v>
      </c>
      <c r="C133" s="40" t="s">
        <v>251</v>
      </c>
      <c r="D133" s="40" t="s">
        <v>222</v>
      </c>
      <c r="E133" s="40"/>
      <c r="F133" s="40"/>
      <c r="G133" s="10">
        <f t="shared" si="21"/>
        <v>420</v>
      </c>
      <c r="H133" s="10">
        <f t="shared" si="21"/>
        <v>40</v>
      </c>
      <c r="I133" s="416">
        <f t="shared" si="14"/>
        <v>9.5238095238095237</v>
      </c>
    </row>
    <row r="134" spans="1:11" s="202" customFormat="1" ht="15.75" x14ac:dyDescent="0.25">
      <c r="A134" s="25" t="s">
        <v>255</v>
      </c>
      <c r="B134" s="20" t="s">
        <v>1238</v>
      </c>
      <c r="C134" s="40" t="s">
        <v>251</v>
      </c>
      <c r="D134" s="40" t="s">
        <v>222</v>
      </c>
      <c r="E134" s="40" t="s">
        <v>256</v>
      </c>
      <c r="F134" s="40"/>
      <c r="G134" s="10">
        <f t="shared" si="21"/>
        <v>420</v>
      </c>
      <c r="H134" s="10">
        <f t="shared" si="21"/>
        <v>40</v>
      </c>
      <c r="I134" s="416">
        <f t="shared" si="14"/>
        <v>9.5238095238095237</v>
      </c>
    </row>
    <row r="135" spans="1:11" s="202" customFormat="1" ht="31.5" x14ac:dyDescent="0.25">
      <c r="A135" s="25" t="s">
        <v>355</v>
      </c>
      <c r="B135" s="20" t="s">
        <v>1238</v>
      </c>
      <c r="C135" s="40" t="s">
        <v>251</v>
      </c>
      <c r="D135" s="40" t="s">
        <v>222</v>
      </c>
      <c r="E135" s="40" t="s">
        <v>356</v>
      </c>
      <c r="F135" s="40"/>
      <c r="G135" s="10">
        <f>'Пр.4 ведом.21'!G459</f>
        <v>420</v>
      </c>
      <c r="H135" s="10">
        <f>'Пр.4 ведом.21'!H459</f>
        <v>40</v>
      </c>
      <c r="I135" s="416">
        <f t="shared" si="14"/>
        <v>9.5238095238095237</v>
      </c>
    </row>
    <row r="136" spans="1:11" s="202" customFormat="1" ht="47.25" x14ac:dyDescent="0.25">
      <c r="A136" s="45" t="s">
        <v>268</v>
      </c>
      <c r="B136" s="20" t="s">
        <v>1238</v>
      </c>
      <c r="C136" s="40" t="s">
        <v>251</v>
      </c>
      <c r="D136" s="40" t="s">
        <v>222</v>
      </c>
      <c r="E136" s="40" t="s">
        <v>356</v>
      </c>
      <c r="F136" s="40" t="s">
        <v>635</v>
      </c>
      <c r="G136" s="10">
        <f>G135</f>
        <v>420</v>
      </c>
      <c r="H136" s="10">
        <f>H135</f>
        <v>40</v>
      </c>
      <c r="I136" s="416">
        <f t="shared" si="14"/>
        <v>9.5238095238095237</v>
      </c>
    </row>
    <row r="137" spans="1:11" ht="31.5" x14ac:dyDescent="0.25">
      <c r="A137" s="58" t="s">
        <v>1375</v>
      </c>
      <c r="B137" s="7" t="s">
        <v>413</v>
      </c>
      <c r="C137" s="7"/>
      <c r="D137" s="7"/>
      <c r="E137" s="7"/>
      <c r="F137" s="7"/>
      <c r="G137" s="59">
        <f>G138+G159+G216+G249+G256+G285+G292+G299+G306+G313+G334+G320+G327+G341</f>
        <v>365921.14999999991</v>
      </c>
      <c r="H137" s="59">
        <f>H138+H159+H216+H249+H256+H285+H292+H299+H306+H313+H334+H320+H327+H341</f>
        <v>84031.47600000001</v>
      </c>
      <c r="I137" s="441">
        <f t="shared" si="14"/>
        <v>22.964367050114493</v>
      </c>
      <c r="K137" s="227"/>
    </row>
    <row r="138" spans="1:11" s="202" customFormat="1" ht="31.5" x14ac:dyDescent="0.25">
      <c r="A138" s="23" t="s">
        <v>947</v>
      </c>
      <c r="B138" s="24" t="s">
        <v>1245</v>
      </c>
      <c r="C138" s="7"/>
      <c r="D138" s="7"/>
      <c r="E138" s="7"/>
      <c r="F138" s="7"/>
      <c r="G138" s="59">
        <f>G139+G146+G151+G155</f>
        <v>82138.950000000012</v>
      </c>
      <c r="H138" s="59">
        <f>H139+H146+H151+H155</f>
        <v>18297.375</v>
      </c>
      <c r="I138" s="441">
        <f t="shared" si="14"/>
        <v>22.276124786109389</v>
      </c>
    </row>
    <row r="139" spans="1:11" ht="15.75" x14ac:dyDescent="0.25">
      <c r="A139" s="29" t="s">
        <v>270</v>
      </c>
      <c r="B139" s="40" t="s">
        <v>1245</v>
      </c>
      <c r="C139" s="40" t="s">
        <v>271</v>
      </c>
      <c r="D139" s="40"/>
      <c r="E139" s="40"/>
      <c r="F139" s="40"/>
      <c r="G139" s="10">
        <f>G140</f>
        <v>14795.6</v>
      </c>
      <c r="H139" s="10">
        <f>H140</f>
        <v>3897.848</v>
      </c>
      <c r="I139" s="416">
        <f t="shared" si="14"/>
        <v>26.344643001973562</v>
      </c>
    </row>
    <row r="140" spans="1:11" ht="15.75" x14ac:dyDescent="0.25">
      <c r="A140" s="45" t="s">
        <v>411</v>
      </c>
      <c r="B140" s="40" t="s">
        <v>1245</v>
      </c>
      <c r="C140" s="40" t="s">
        <v>271</v>
      </c>
      <c r="D140" s="40" t="s">
        <v>125</v>
      </c>
      <c r="E140" s="40"/>
      <c r="F140" s="40"/>
      <c r="G140" s="10">
        <f>G141</f>
        <v>14795.6</v>
      </c>
      <c r="H140" s="10">
        <f>H141</f>
        <v>3897.848</v>
      </c>
      <c r="I140" s="416">
        <f t="shared" si="14"/>
        <v>26.344643001973562</v>
      </c>
    </row>
    <row r="141" spans="1:11" ht="31.5" x14ac:dyDescent="0.25">
      <c r="A141" s="25" t="s">
        <v>1244</v>
      </c>
      <c r="B141" s="20" t="s">
        <v>1246</v>
      </c>
      <c r="C141" s="40" t="s">
        <v>271</v>
      </c>
      <c r="D141" s="40" t="s">
        <v>125</v>
      </c>
      <c r="E141" s="40"/>
      <c r="F141" s="40"/>
      <c r="G141" s="10">
        <f t="shared" ref="G141:H142" si="22">G142</f>
        <v>14795.6</v>
      </c>
      <c r="H141" s="10">
        <f t="shared" si="22"/>
        <v>3897.848</v>
      </c>
      <c r="I141" s="416">
        <f t="shared" si="14"/>
        <v>26.344643001973562</v>
      </c>
    </row>
    <row r="142" spans="1:11" ht="31.5" x14ac:dyDescent="0.25">
      <c r="A142" s="25" t="s">
        <v>279</v>
      </c>
      <c r="B142" s="20" t="s">
        <v>1246</v>
      </c>
      <c r="C142" s="40" t="s">
        <v>271</v>
      </c>
      <c r="D142" s="40" t="s">
        <v>125</v>
      </c>
      <c r="E142" s="40" t="s">
        <v>280</v>
      </c>
      <c r="F142" s="40"/>
      <c r="G142" s="10">
        <f t="shared" si="22"/>
        <v>14795.6</v>
      </c>
      <c r="H142" s="10">
        <f t="shared" si="22"/>
        <v>3897.848</v>
      </c>
      <c r="I142" s="416">
        <f t="shared" si="14"/>
        <v>26.344643001973562</v>
      </c>
    </row>
    <row r="143" spans="1:11" ht="15.75" x14ac:dyDescent="0.25">
      <c r="A143" s="25" t="s">
        <v>281</v>
      </c>
      <c r="B143" s="20" t="s">
        <v>1246</v>
      </c>
      <c r="C143" s="40" t="s">
        <v>271</v>
      </c>
      <c r="D143" s="40" t="s">
        <v>125</v>
      </c>
      <c r="E143" s="40" t="s">
        <v>282</v>
      </c>
      <c r="F143" s="40"/>
      <c r="G143" s="6">
        <f>'Пр.4 ведом.21'!G543</f>
        <v>14795.6</v>
      </c>
      <c r="H143" s="6">
        <f>'Пр.4 ведом.21'!H543</f>
        <v>3897.848</v>
      </c>
      <c r="I143" s="416">
        <f t="shared" si="14"/>
        <v>26.344643001973562</v>
      </c>
    </row>
    <row r="144" spans="1:11" s="202" customFormat="1" ht="31.5" x14ac:dyDescent="0.25">
      <c r="A144" s="29" t="s">
        <v>410</v>
      </c>
      <c r="B144" s="20" t="s">
        <v>1246</v>
      </c>
      <c r="C144" s="40" t="s">
        <v>271</v>
      </c>
      <c r="D144" s="40" t="s">
        <v>125</v>
      </c>
      <c r="E144" s="40" t="s">
        <v>282</v>
      </c>
      <c r="F144" s="40" t="s">
        <v>644</v>
      </c>
      <c r="G144" s="10">
        <f>G143</f>
        <v>14795.6</v>
      </c>
      <c r="H144" s="10">
        <f>H143</f>
        <v>3897.848</v>
      </c>
      <c r="I144" s="416">
        <f t="shared" si="14"/>
        <v>26.344643001973562</v>
      </c>
    </row>
    <row r="145" spans="1:9" s="202" customFormat="1" ht="15.75" x14ac:dyDescent="0.25">
      <c r="A145" s="29" t="s">
        <v>432</v>
      </c>
      <c r="B145" s="40" t="s">
        <v>1245</v>
      </c>
      <c r="C145" s="40" t="s">
        <v>271</v>
      </c>
      <c r="D145" s="40" t="s">
        <v>220</v>
      </c>
      <c r="E145" s="40"/>
      <c r="F145" s="40"/>
      <c r="G145" s="10">
        <f t="shared" ref="G145:H147" si="23">G146</f>
        <v>28690.799999999999</v>
      </c>
      <c r="H145" s="10">
        <f t="shared" si="23"/>
        <v>6887.625</v>
      </c>
      <c r="I145" s="416">
        <f t="shared" si="14"/>
        <v>24.006388807562008</v>
      </c>
    </row>
    <row r="146" spans="1:9" s="202" customFormat="1" ht="31.5" x14ac:dyDescent="0.25">
      <c r="A146" s="25" t="s">
        <v>434</v>
      </c>
      <c r="B146" s="20" t="s">
        <v>1264</v>
      </c>
      <c r="C146" s="40" t="s">
        <v>271</v>
      </c>
      <c r="D146" s="40" t="s">
        <v>220</v>
      </c>
      <c r="E146" s="40"/>
      <c r="F146" s="40"/>
      <c r="G146" s="6">
        <f t="shared" si="23"/>
        <v>28690.799999999999</v>
      </c>
      <c r="H146" s="6">
        <f t="shared" si="23"/>
        <v>6887.625</v>
      </c>
      <c r="I146" s="416">
        <f t="shared" ref="I146:I209" si="24">H146/G146*100</f>
        <v>24.006388807562008</v>
      </c>
    </row>
    <row r="147" spans="1:9" s="202" customFormat="1" ht="31.5" x14ac:dyDescent="0.25">
      <c r="A147" s="25" t="s">
        <v>279</v>
      </c>
      <c r="B147" s="20" t="s">
        <v>1264</v>
      </c>
      <c r="C147" s="40" t="s">
        <v>271</v>
      </c>
      <c r="D147" s="40" t="s">
        <v>220</v>
      </c>
      <c r="E147" s="40" t="s">
        <v>280</v>
      </c>
      <c r="F147" s="40"/>
      <c r="G147" s="6">
        <f t="shared" si="23"/>
        <v>28690.799999999999</v>
      </c>
      <c r="H147" s="6">
        <f t="shared" si="23"/>
        <v>6887.625</v>
      </c>
      <c r="I147" s="416">
        <f t="shared" si="24"/>
        <v>24.006388807562008</v>
      </c>
    </row>
    <row r="148" spans="1:9" s="202" customFormat="1" ht="15.75" x14ac:dyDescent="0.25">
      <c r="A148" s="25" t="s">
        <v>281</v>
      </c>
      <c r="B148" s="20" t="s">
        <v>1264</v>
      </c>
      <c r="C148" s="40" t="s">
        <v>271</v>
      </c>
      <c r="D148" s="40" t="s">
        <v>220</v>
      </c>
      <c r="E148" s="40" t="s">
        <v>282</v>
      </c>
      <c r="F148" s="40"/>
      <c r="G148" s="6">
        <f>'Пр.4 ведом.21'!G603</f>
        <v>28690.799999999999</v>
      </c>
      <c r="H148" s="6">
        <f>'Пр.4 ведом.21'!H603</f>
        <v>6887.625</v>
      </c>
      <c r="I148" s="416">
        <f t="shared" si="24"/>
        <v>24.006388807562008</v>
      </c>
    </row>
    <row r="149" spans="1:9" s="202" customFormat="1" ht="31.5" x14ac:dyDescent="0.25">
      <c r="A149" s="29" t="s">
        <v>410</v>
      </c>
      <c r="B149" s="20" t="s">
        <v>1264</v>
      </c>
      <c r="C149" s="40" t="s">
        <v>271</v>
      </c>
      <c r="D149" s="40" t="s">
        <v>220</v>
      </c>
      <c r="E149" s="40" t="s">
        <v>282</v>
      </c>
      <c r="F149" s="40" t="s">
        <v>644</v>
      </c>
      <c r="G149" s="10">
        <f>G148</f>
        <v>28690.799999999999</v>
      </c>
      <c r="H149" s="10">
        <f>H148</f>
        <v>6887.625</v>
      </c>
      <c r="I149" s="416">
        <f t="shared" si="24"/>
        <v>24.006388807562008</v>
      </c>
    </row>
    <row r="150" spans="1:9" s="202" customFormat="1" ht="15.75" x14ac:dyDescent="0.25">
      <c r="A150" s="29" t="s">
        <v>272</v>
      </c>
      <c r="B150" s="40" t="s">
        <v>1245</v>
      </c>
      <c r="C150" s="40" t="s">
        <v>271</v>
      </c>
      <c r="D150" s="40" t="s">
        <v>222</v>
      </c>
      <c r="E150" s="40"/>
      <c r="F150" s="40"/>
      <c r="G150" s="6">
        <f>G151+G155</f>
        <v>38652.550000000003</v>
      </c>
      <c r="H150" s="6">
        <f>H151+H155</f>
        <v>7511.902</v>
      </c>
      <c r="I150" s="416">
        <f t="shared" si="24"/>
        <v>19.434428000222496</v>
      </c>
    </row>
    <row r="151" spans="1:9" s="202" customFormat="1" ht="47.25" x14ac:dyDescent="0.25">
      <c r="A151" s="29" t="s">
        <v>277</v>
      </c>
      <c r="B151" s="20" t="s">
        <v>1275</v>
      </c>
      <c r="C151" s="40" t="s">
        <v>271</v>
      </c>
      <c r="D151" s="40" t="s">
        <v>222</v>
      </c>
      <c r="E151" s="7"/>
      <c r="F151" s="7"/>
      <c r="G151" s="10">
        <f t="shared" ref="G151:H152" si="25">G152</f>
        <v>14834.95</v>
      </c>
      <c r="H151" s="10">
        <f t="shared" si="25"/>
        <v>3464.902</v>
      </c>
      <c r="I151" s="416">
        <f t="shared" si="24"/>
        <v>23.356344308541651</v>
      </c>
    </row>
    <row r="152" spans="1:9" s="202" customFormat="1" ht="31.5" x14ac:dyDescent="0.25">
      <c r="A152" s="29" t="s">
        <v>279</v>
      </c>
      <c r="B152" s="20" t="s">
        <v>1275</v>
      </c>
      <c r="C152" s="40" t="s">
        <v>271</v>
      </c>
      <c r="D152" s="40" t="s">
        <v>222</v>
      </c>
      <c r="E152" s="40" t="s">
        <v>280</v>
      </c>
      <c r="F152" s="40"/>
      <c r="G152" s="10">
        <f t="shared" si="25"/>
        <v>14834.95</v>
      </c>
      <c r="H152" s="10">
        <f t="shared" si="25"/>
        <v>3464.902</v>
      </c>
      <c r="I152" s="416">
        <f t="shared" si="24"/>
        <v>23.356344308541651</v>
      </c>
    </row>
    <row r="153" spans="1:9" s="202" customFormat="1" ht="15.75" x14ac:dyDescent="0.25">
      <c r="A153" s="29" t="s">
        <v>281</v>
      </c>
      <c r="B153" s="20" t="s">
        <v>1275</v>
      </c>
      <c r="C153" s="40" t="s">
        <v>271</v>
      </c>
      <c r="D153" s="40" t="s">
        <v>222</v>
      </c>
      <c r="E153" s="40" t="s">
        <v>282</v>
      </c>
      <c r="F153" s="40"/>
      <c r="G153" s="6">
        <f>'Пр.4 ведом.21'!G686</f>
        <v>14834.95</v>
      </c>
      <c r="H153" s="6">
        <f>'Пр.4 ведом.21'!H686</f>
        <v>3464.902</v>
      </c>
      <c r="I153" s="416">
        <f t="shared" si="24"/>
        <v>23.356344308541651</v>
      </c>
    </row>
    <row r="154" spans="1:9" s="202" customFormat="1" ht="31.5" x14ac:dyDescent="0.25">
      <c r="A154" s="29" t="s">
        <v>410</v>
      </c>
      <c r="B154" s="20" t="s">
        <v>1275</v>
      </c>
      <c r="C154" s="40" t="s">
        <v>271</v>
      </c>
      <c r="D154" s="40" t="s">
        <v>222</v>
      </c>
      <c r="E154" s="40" t="s">
        <v>282</v>
      </c>
      <c r="F154" s="40" t="s">
        <v>644</v>
      </c>
      <c r="G154" s="10">
        <f>G153</f>
        <v>14834.95</v>
      </c>
      <c r="H154" s="10">
        <f>H153</f>
        <v>3464.902</v>
      </c>
      <c r="I154" s="416">
        <f t="shared" si="24"/>
        <v>23.356344308541651</v>
      </c>
    </row>
    <row r="155" spans="1:9" s="202" customFormat="1" ht="31.5" x14ac:dyDescent="0.25">
      <c r="A155" s="31" t="s">
        <v>1554</v>
      </c>
      <c r="B155" s="20" t="s">
        <v>1553</v>
      </c>
      <c r="C155" s="20" t="s">
        <v>271</v>
      </c>
      <c r="D155" s="20" t="s">
        <v>222</v>
      </c>
      <c r="E155" s="20"/>
      <c r="F155" s="40"/>
      <c r="G155" s="10">
        <f>G156</f>
        <v>23817.600000000002</v>
      </c>
      <c r="H155" s="10">
        <f>H156</f>
        <v>4047</v>
      </c>
      <c r="I155" s="416">
        <f t="shared" si="24"/>
        <v>16.991636436920597</v>
      </c>
    </row>
    <row r="156" spans="1:9" s="202" customFormat="1" ht="31.5" x14ac:dyDescent="0.25">
      <c r="A156" s="25" t="s">
        <v>279</v>
      </c>
      <c r="B156" s="20" t="s">
        <v>1553</v>
      </c>
      <c r="C156" s="20" t="s">
        <v>271</v>
      </c>
      <c r="D156" s="20" t="s">
        <v>222</v>
      </c>
      <c r="E156" s="20" t="s">
        <v>280</v>
      </c>
      <c r="F156" s="40"/>
      <c r="G156" s="10">
        <f>G157</f>
        <v>23817.600000000002</v>
      </c>
      <c r="H156" s="10">
        <f>H157</f>
        <v>4047</v>
      </c>
      <c r="I156" s="416">
        <f t="shared" si="24"/>
        <v>16.991636436920597</v>
      </c>
    </row>
    <row r="157" spans="1:9" s="202" customFormat="1" ht="15.75" x14ac:dyDescent="0.25">
      <c r="A157" s="31" t="s">
        <v>281</v>
      </c>
      <c r="B157" s="20" t="s">
        <v>1553</v>
      </c>
      <c r="C157" s="20" t="s">
        <v>271</v>
      </c>
      <c r="D157" s="20" t="s">
        <v>222</v>
      </c>
      <c r="E157" s="20" t="s">
        <v>282</v>
      </c>
      <c r="F157" s="40"/>
      <c r="G157" s="10">
        <f>'Пр.4 ведом.21'!G689</f>
        <v>23817.600000000002</v>
      </c>
      <c r="H157" s="10">
        <f>'Пр.4 ведом.21'!H689</f>
        <v>4047</v>
      </c>
      <c r="I157" s="416">
        <f t="shared" si="24"/>
        <v>16.991636436920597</v>
      </c>
    </row>
    <row r="158" spans="1:9" s="202" customFormat="1" ht="31.5" x14ac:dyDescent="0.25">
      <c r="A158" s="184" t="s">
        <v>410</v>
      </c>
      <c r="B158" s="20" t="s">
        <v>1553</v>
      </c>
      <c r="C158" s="20" t="s">
        <v>271</v>
      </c>
      <c r="D158" s="20" t="s">
        <v>222</v>
      </c>
      <c r="E158" s="20" t="s">
        <v>282</v>
      </c>
      <c r="F158" s="40" t="s">
        <v>644</v>
      </c>
      <c r="G158" s="10">
        <f>G155</f>
        <v>23817.600000000002</v>
      </c>
      <c r="H158" s="10">
        <f>H155</f>
        <v>4047</v>
      </c>
      <c r="I158" s="416">
        <f t="shared" si="24"/>
        <v>16.991636436920597</v>
      </c>
    </row>
    <row r="159" spans="1:9" s="202" customFormat="1" ht="47.25" x14ac:dyDescent="0.25">
      <c r="A159" s="23" t="s">
        <v>910</v>
      </c>
      <c r="B159" s="24" t="s">
        <v>1247</v>
      </c>
      <c r="C159" s="7"/>
      <c r="D159" s="7"/>
      <c r="E159" s="7"/>
      <c r="F159" s="7"/>
      <c r="G159" s="4">
        <f>G160</f>
        <v>246448.7</v>
      </c>
      <c r="H159" s="4">
        <f>H160</f>
        <v>53717.400999999998</v>
      </c>
      <c r="I159" s="441">
        <f t="shared" si="24"/>
        <v>21.796585252833552</v>
      </c>
    </row>
    <row r="160" spans="1:9" s="202" customFormat="1" ht="15.75" x14ac:dyDescent="0.25">
      <c r="A160" s="29" t="s">
        <v>270</v>
      </c>
      <c r="B160" s="40" t="s">
        <v>1247</v>
      </c>
      <c r="C160" s="40" t="s">
        <v>271</v>
      </c>
      <c r="D160" s="40"/>
      <c r="E160" s="40"/>
      <c r="F160" s="40"/>
      <c r="G160" s="10">
        <f>G161+G178+G203</f>
        <v>246448.7</v>
      </c>
      <c r="H160" s="10">
        <f>H161+H178+H203</f>
        <v>53717.400999999998</v>
      </c>
      <c r="I160" s="416">
        <f t="shared" si="24"/>
        <v>21.796585252833552</v>
      </c>
    </row>
    <row r="161" spans="1:10" s="202" customFormat="1" ht="15.75" x14ac:dyDescent="0.25">
      <c r="A161" s="45" t="s">
        <v>411</v>
      </c>
      <c r="B161" s="40" t="s">
        <v>1247</v>
      </c>
      <c r="C161" s="40" t="s">
        <v>271</v>
      </c>
      <c r="D161" s="40" t="s">
        <v>125</v>
      </c>
      <c r="E161" s="40"/>
      <c r="F161" s="40"/>
      <c r="G161" s="10">
        <f>G166+G170+G174+G162</f>
        <v>96405.6</v>
      </c>
      <c r="H161" s="10">
        <f>H166+H170+H174+H162</f>
        <v>20854.251</v>
      </c>
      <c r="I161" s="416">
        <f t="shared" si="24"/>
        <v>21.631783838283251</v>
      </c>
    </row>
    <row r="162" spans="1:10" s="202" customFormat="1" ht="94.5" x14ac:dyDescent="0.25">
      <c r="A162" s="31" t="s">
        <v>300</v>
      </c>
      <c r="B162" s="20" t="s">
        <v>1407</v>
      </c>
      <c r="C162" s="40" t="s">
        <v>271</v>
      </c>
      <c r="D162" s="40" t="s">
        <v>125</v>
      </c>
      <c r="E162" s="40"/>
      <c r="F162" s="40"/>
      <c r="G162" s="6">
        <f>G163</f>
        <v>3230</v>
      </c>
      <c r="H162" s="6">
        <f>H163</f>
        <v>828</v>
      </c>
      <c r="I162" s="416">
        <f t="shared" si="24"/>
        <v>25.63467492260062</v>
      </c>
      <c r="J162" s="227"/>
    </row>
    <row r="163" spans="1:10" s="202" customFormat="1" ht="31.5" x14ac:dyDescent="0.25">
      <c r="A163" s="25" t="s">
        <v>279</v>
      </c>
      <c r="B163" s="20" t="s">
        <v>1407</v>
      </c>
      <c r="C163" s="40" t="s">
        <v>271</v>
      </c>
      <c r="D163" s="40" t="s">
        <v>125</v>
      </c>
      <c r="E163" s="40" t="s">
        <v>280</v>
      </c>
      <c r="F163" s="40"/>
      <c r="G163" s="6">
        <f>G164</f>
        <v>3230</v>
      </c>
      <c r="H163" s="6">
        <f>H164</f>
        <v>828</v>
      </c>
      <c r="I163" s="416">
        <f t="shared" si="24"/>
        <v>25.63467492260062</v>
      </c>
    </row>
    <row r="164" spans="1:10" s="202" customFormat="1" ht="15.75" x14ac:dyDescent="0.25">
      <c r="A164" s="25" t="s">
        <v>281</v>
      </c>
      <c r="B164" s="20" t="s">
        <v>1407</v>
      </c>
      <c r="C164" s="40" t="s">
        <v>271</v>
      </c>
      <c r="D164" s="40" t="s">
        <v>125</v>
      </c>
      <c r="E164" s="40" t="s">
        <v>282</v>
      </c>
      <c r="F164" s="40"/>
      <c r="G164" s="6">
        <f>'Пр.3 Рд,пр, ЦС,ВР 21'!F481</f>
        <v>3230</v>
      </c>
      <c r="H164" s="6">
        <f>'Пр.3 Рд,пр, ЦС,ВР 21'!G481</f>
        <v>828</v>
      </c>
      <c r="I164" s="416">
        <f t="shared" si="24"/>
        <v>25.63467492260062</v>
      </c>
    </row>
    <row r="165" spans="1:10" s="202" customFormat="1" ht="31.5" x14ac:dyDescent="0.25">
      <c r="A165" s="29" t="s">
        <v>410</v>
      </c>
      <c r="B165" s="20" t="s">
        <v>1407</v>
      </c>
      <c r="C165" s="40" t="s">
        <v>271</v>
      </c>
      <c r="D165" s="40" t="s">
        <v>125</v>
      </c>
      <c r="E165" s="40" t="s">
        <v>282</v>
      </c>
      <c r="F165" s="40" t="s">
        <v>644</v>
      </c>
      <c r="G165" s="10">
        <f>G164</f>
        <v>3230</v>
      </c>
      <c r="H165" s="10">
        <f>H164</f>
        <v>828</v>
      </c>
      <c r="I165" s="416">
        <f t="shared" si="24"/>
        <v>25.63467492260062</v>
      </c>
    </row>
    <row r="166" spans="1:10" s="202" customFormat="1" ht="63" x14ac:dyDescent="0.25">
      <c r="A166" s="31" t="s">
        <v>296</v>
      </c>
      <c r="B166" s="20" t="s">
        <v>1248</v>
      </c>
      <c r="C166" s="40" t="s">
        <v>271</v>
      </c>
      <c r="D166" s="40" t="s">
        <v>125</v>
      </c>
      <c r="E166" s="40"/>
      <c r="F166" s="40"/>
      <c r="G166" s="6">
        <f>G167</f>
        <v>589</v>
      </c>
      <c r="H166" s="6">
        <f>H167</f>
        <v>150</v>
      </c>
      <c r="I166" s="416">
        <f t="shared" si="24"/>
        <v>25.466893039049239</v>
      </c>
      <c r="J166" s="227"/>
    </row>
    <row r="167" spans="1:10" s="202" customFormat="1" ht="31.5" x14ac:dyDescent="0.25">
      <c r="A167" s="25" t="s">
        <v>279</v>
      </c>
      <c r="B167" s="20" t="s">
        <v>1248</v>
      </c>
      <c r="C167" s="40" t="s">
        <v>271</v>
      </c>
      <c r="D167" s="40" t="s">
        <v>125</v>
      </c>
      <c r="E167" s="40" t="s">
        <v>280</v>
      </c>
      <c r="F167" s="40"/>
      <c r="G167" s="6">
        <f>G168</f>
        <v>589</v>
      </c>
      <c r="H167" s="6">
        <f>H168</f>
        <v>150</v>
      </c>
      <c r="I167" s="416">
        <f t="shared" si="24"/>
        <v>25.466893039049239</v>
      </c>
      <c r="J167" s="227"/>
    </row>
    <row r="168" spans="1:10" s="202" customFormat="1" ht="15.75" x14ac:dyDescent="0.25">
      <c r="A168" s="25" t="s">
        <v>281</v>
      </c>
      <c r="B168" s="20" t="s">
        <v>1248</v>
      </c>
      <c r="C168" s="40" t="s">
        <v>271</v>
      </c>
      <c r="D168" s="40" t="s">
        <v>125</v>
      </c>
      <c r="E168" s="40" t="s">
        <v>282</v>
      </c>
      <c r="F168" s="40"/>
      <c r="G168" s="6">
        <f>'Пр.3 Рд,пр, ЦС,ВР 21'!F484</f>
        <v>589</v>
      </c>
      <c r="H168" s="6">
        <f>'Пр.3 Рд,пр, ЦС,ВР 21'!G484</f>
        <v>150</v>
      </c>
      <c r="I168" s="416">
        <f t="shared" si="24"/>
        <v>25.466893039049239</v>
      </c>
    </row>
    <row r="169" spans="1:10" s="202" customFormat="1" ht="31.5" x14ac:dyDescent="0.25">
      <c r="A169" s="29" t="s">
        <v>410</v>
      </c>
      <c r="B169" s="20" t="s">
        <v>1248</v>
      </c>
      <c r="C169" s="40" t="s">
        <v>271</v>
      </c>
      <c r="D169" s="40" t="s">
        <v>125</v>
      </c>
      <c r="E169" s="40" t="s">
        <v>282</v>
      </c>
      <c r="F169" s="40" t="s">
        <v>644</v>
      </c>
      <c r="G169" s="10">
        <f>G168</f>
        <v>589</v>
      </c>
      <c r="H169" s="10">
        <f>H168</f>
        <v>150</v>
      </c>
      <c r="I169" s="416">
        <f t="shared" si="24"/>
        <v>25.466893039049239</v>
      </c>
    </row>
    <row r="170" spans="1:10" s="202" customFormat="1" ht="63" x14ac:dyDescent="0.25">
      <c r="A170" s="31" t="s">
        <v>298</v>
      </c>
      <c r="B170" s="20" t="s">
        <v>1249</v>
      </c>
      <c r="C170" s="40" t="s">
        <v>271</v>
      </c>
      <c r="D170" s="40" t="s">
        <v>125</v>
      </c>
      <c r="E170" s="40"/>
      <c r="F170" s="40"/>
      <c r="G170" s="6">
        <f>G171</f>
        <v>1629.3</v>
      </c>
      <c r="H170" s="6">
        <f>H171</f>
        <v>359.28</v>
      </c>
      <c r="I170" s="416">
        <f t="shared" si="24"/>
        <v>22.051187626588103</v>
      </c>
    </row>
    <row r="171" spans="1:10" s="202" customFormat="1" ht="31.5" x14ac:dyDescent="0.25">
      <c r="A171" s="25" t="s">
        <v>279</v>
      </c>
      <c r="B171" s="20" t="s">
        <v>1249</v>
      </c>
      <c r="C171" s="40" t="s">
        <v>271</v>
      </c>
      <c r="D171" s="40" t="s">
        <v>125</v>
      </c>
      <c r="E171" s="40" t="s">
        <v>280</v>
      </c>
      <c r="F171" s="40"/>
      <c r="G171" s="6">
        <f>G172</f>
        <v>1629.3</v>
      </c>
      <c r="H171" s="6">
        <f>H172</f>
        <v>359.28</v>
      </c>
      <c r="I171" s="416">
        <f t="shared" si="24"/>
        <v>22.051187626588103</v>
      </c>
    </row>
    <row r="172" spans="1:10" s="202" customFormat="1" ht="15.75" x14ac:dyDescent="0.25">
      <c r="A172" s="25" t="s">
        <v>281</v>
      </c>
      <c r="B172" s="20" t="s">
        <v>1249</v>
      </c>
      <c r="C172" s="40" t="s">
        <v>271</v>
      </c>
      <c r="D172" s="40" t="s">
        <v>125</v>
      </c>
      <c r="E172" s="40" t="s">
        <v>282</v>
      </c>
      <c r="F172" s="40"/>
      <c r="G172" s="6">
        <f>'Пр.3 Рд,пр, ЦС,ВР 21'!F487</f>
        <v>1629.3</v>
      </c>
      <c r="H172" s="6">
        <f>'Пр.3 Рд,пр, ЦС,ВР 21'!G487</f>
        <v>359.28</v>
      </c>
      <c r="I172" s="416">
        <f t="shared" si="24"/>
        <v>22.051187626588103</v>
      </c>
    </row>
    <row r="173" spans="1:10" s="202" customFormat="1" ht="31.5" x14ac:dyDescent="0.25">
      <c r="A173" s="29" t="s">
        <v>410</v>
      </c>
      <c r="B173" s="20" t="s">
        <v>1249</v>
      </c>
      <c r="C173" s="40" t="s">
        <v>271</v>
      </c>
      <c r="D173" s="40" t="s">
        <v>125</v>
      </c>
      <c r="E173" s="40" t="s">
        <v>282</v>
      </c>
      <c r="F173" s="40" t="s">
        <v>644</v>
      </c>
      <c r="G173" s="10">
        <f>G172</f>
        <v>1629.3</v>
      </c>
      <c r="H173" s="10">
        <f>H172</f>
        <v>359.28</v>
      </c>
      <c r="I173" s="416">
        <f t="shared" si="24"/>
        <v>22.051187626588103</v>
      </c>
    </row>
    <row r="174" spans="1:10" s="202" customFormat="1" ht="94.5" x14ac:dyDescent="0.25">
      <c r="A174" s="31" t="s">
        <v>1197</v>
      </c>
      <c r="B174" s="20" t="s">
        <v>1250</v>
      </c>
      <c r="C174" s="40" t="s">
        <v>271</v>
      </c>
      <c r="D174" s="40" t="s">
        <v>125</v>
      </c>
      <c r="E174" s="40"/>
      <c r="F174" s="40"/>
      <c r="G174" s="6">
        <f>G175</f>
        <v>90957.3</v>
      </c>
      <c r="H174" s="6">
        <f>H175</f>
        <v>19516.971000000001</v>
      </c>
      <c r="I174" s="416">
        <f t="shared" si="24"/>
        <v>21.457289299484483</v>
      </c>
    </row>
    <row r="175" spans="1:10" s="202" customFormat="1" ht="31.5" x14ac:dyDescent="0.25">
      <c r="A175" s="25" t="s">
        <v>279</v>
      </c>
      <c r="B175" s="20" t="s">
        <v>1250</v>
      </c>
      <c r="C175" s="40" t="s">
        <v>271</v>
      </c>
      <c r="D175" s="40" t="s">
        <v>125</v>
      </c>
      <c r="E175" s="40" t="s">
        <v>280</v>
      </c>
      <c r="F175" s="40"/>
      <c r="G175" s="6">
        <f>G176</f>
        <v>90957.3</v>
      </c>
      <c r="H175" s="6">
        <f>H176</f>
        <v>19516.971000000001</v>
      </c>
      <c r="I175" s="416">
        <f t="shared" si="24"/>
        <v>21.457289299484483</v>
      </c>
    </row>
    <row r="176" spans="1:10" s="202" customFormat="1" ht="15.75" x14ac:dyDescent="0.25">
      <c r="A176" s="25" t="s">
        <v>281</v>
      </c>
      <c r="B176" s="20" t="s">
        <v>1250</v>
      </c>
      <c r="C176" s="40" t="s">
        <v>271</v>
      </c>
      <c r="D176" s="40" t="s">
        <v>125</v>
      </c>
      <c r="E176" s="40" t="s">
        <v>282</v>
      </c>
      <c r="F176" s="40"/>
      <c r="G176" s="6">
        <f>'Пр.3 Рд,пр, ЦС,ВР 21'!F490</f>
        <v>90957.3</v>
      </c>
      <c r="H176" s="6">
        <f>'Пр.3 Рд,пр, ЦС,ВР 21'!G490</f>
        <v>19516.971000000001</v>
      </c>
      <c r="I176" s="416">
        <f t="shared" si="24"/>
        <v>21.457289299484483</v>
      </c>
    </row>
    <row r="177" spans="1:9" s="202" customFormat="1" ht="31.5" x14ac:dyDescent="0.25">
      <c r="A177" s="29" t="s">
        <v>410</v>
      </c>
      <c r="B177" s="20" t="s">
        <v>1250</v>
      </c>
      <c r="C177" s="40" t="s">
        <v>271</v>
      </c>
      <c r="D177" s="40" t="s">
        <v>125</v>
      </c>
      <c r="E177" s="40" t="s">
        <v>282</v>
      </c>
      <c r="F177" s="40" t="s">
        <v>644</v>
      </c>
      <c r="G177" s="10">
        <f>G176</f>
        <v>90957.3</v>
      </c>
      <c r="H177" s="10">
        <f>H176</f>
        <v>19516.971000000001</v>
      </c>
      <c r="I177" s="416">
        <f t="shared" si="24"/>
        <v>21.457289299484483</v>
      </c>
    </row>
    <row r="178" spans="1:9" ht="15.75" x14ac:dyDescent="0.25">
      <c r="A178" s="29" t="s">
        <v>432</v>
      </c>
      <c r="B178" s="40" t="s">
        <v>1247</v>
      </c>
      <c r="C178" s="40" t="s">
        <v>271</v>
      </c>
      <c r="D178" s="40" t="s">
        <v>220</v>
      </c>
      <c r="E178" s="40"/>
      <c r="F178" s="40"/>
      <c r="G178" s="10">
        <f>G187+G191+G195+G199+G183+G179</f>
        <v>147914.6</v>
      </c>
      <c r="H178" s="10">
        <f>H187+H191+H195+H199+H183+H179</f>
        <v>32282.95</v>
      </c>
      <c r="I178" s="416">
        <f t="shared" si="24"/>
        <v>21.825397898517117</v>
      </c>
    </row>
    <row r="179" spans="1:9" s="202" customFormat="1" ht="63" x14ac:dyDescent="0.25">
      <c r="A179" s="25" t="s">
        <v>1409</v>
      </c>
      <c r="B179" s="20" t="s">
        <v>1410</v>
      </c>
      <c r="C179" s="40" t="s">
        <v>271</v>
      </c>
      <c r="D179" s="40" t="s">
        <v>220</v>
      </c>
      <c r="E179" s="40"/>
      <c r="F179" s="40"/>
      <c r="G179" s="10">
        <f>G180</f>
        <v>7226.1</v>
      </c>
      <c r="H179" s="10">
        <f>H180</f>
        <v>1204.3499999999999</v>
      </c>
      <c r="I179" s="416">
        <f t="shared" si="24"/>
        <v>16.666666666666664</v>
      </c>
    </row>
    <row r="180" spans="1:9" s="202" customFormat="1" ht="31.5" x14ac:dyDescent="0.25">
      <c r="A180" s="25" t="s">
        <v>279</v>
      </c>
      <c r="B180" s="20" t="s">
        <v>1410</v>
      </c>
      <c r="C180" s="40" t="s">
        <v>271</v>
      </c>
      <c r="D180" s="40" t="s">
        <v>220</v>
      </c>
      <c r="E180" s="40" t="s">
        <v>280</v>
      </c>
      <c r="F180" s="40"/>
      <c r="G180" s="10">
        <f>G181</f>
        <v>7226.1</v>
      </c>
      <c r="H180" s="10">
        <f>H181</f>
        <v>1204.3499999999999</v>
      </c>
      <c r="I180" s="416">
        <f t="shared" si="24"/>
        <v>16.666666666666664</v>
      </c>
    </row>
    <row r="181" spans="1:9" s="202" customFormat="1" ht="15.75" x14ac:dyDescent="0.25">
      <c r="A181" s="25" t="s">
        <v>281</v>
      </c>
      <c r="B181" s="20" t="s">
        <v>1410</v>
      </c>
      <c r="C181" s="40" t="s">
        <v>271</v>
      </c>
      <c r="D181" s="40" t="s">
        <v>220</v>
      </c>
      <c r="E181" s="40" t="s">
        <v>282</v>
      </c>
      <c r="F181" s="40"/>
      <c r="G181" s="10">
        <f>'Пр.4 ведом.21'!G607</f>
        <v>7226.1</v>
      </c>
      <c r="H181" s="10">
        <f>'Пр.4 ведом.21'!H607</f>
        <v>1204.3499999999999</v>
      </c>
      <c r="I181" s="416">
        <f t="shared" si="24"/>
        <v>16.666666666666664</v>
      </c>
    </row>
    <row r="182" spans="1:9" s="202" customFormat="1" ht="31.5" x14ac:dyDescent="0.25">
      <c r="A182" s="45" t="s">
        <v>410</v>
      </c>
      <c r="B182" s="20" t="s">
        <v>1410</v>
      </c>
      <c r="C182" s="40" t="s">
        <v>271</v>
      </c>
      <c r="D182" s="40" t="s">
        <v>220</v>
      </c>
      <c r="E182" s="40" t="s">
        <v>282</v>
      </c>
      <c r="F182" s="40" t="s">
        <v>644</v>
      </c>
      <c r="G182" s="10">
        <f>G179</f>
        <v>7226.1</v>
      </c>
      <c r="H182" s="10">
        <f>H179</f>
        <v>1204.3499999999999</v>
      </c>
      <c r="I182" s="416">
        <f t="shared" si="24"/>
        <v>16.666666666666664</v>
      </c>
    </row>
    <row r="183" spans="1:9" s="202" customFormat="1" ht="94.5" x14ac:dyDescent="0.25">
      <c r="A183" s="31" t="s">
        <v>471</v>
      </c>
      <c r="B183" s="20" t="s">
        <v>1407</v>
      </c>
      <c r="C183" s="40" t="s">
        <v>271</v>
      </c>
      <c r="D183" s="40" t="s">
        <v>220</v>
      </c>
      <c r="E183" s="40"/>
      <c r="F183" s="40"/>
      <c r="G183" s="6">
        <f>G184</f>
        <v>4610</v>
      </c>
      <c r="H183" s="6">
        <f>H184</f>
        <v>1166.4000000000001</v>
      </c>
      <c r="I183" s="416">
        <f t="shared" si="24"/>
        <v>25.301518438177879</v>
      </c>
    </row>
    <row r="184" spans="1:9" s="202" customFormat="1" ht="31.5" x14ac:dyDescent="0.25">
      <c r="A184" s="25" t="s">
        <v>279</v>
      </c>
      <c r="B184" s="20" t="s">
        <v>1407</v>
      </c>
      <c r="C184" s="40" t="s">
        <v>271</v>
      </c>
      <c r="D184" s="40" t="s">
        <v>220</v>
      </c>
      <c r="E184" s="40" t="s">
        <v>280</v>
      </c>
      <c r="F184" s="40"/>
      <c r="G184" s="6">
        <f>G185</f>
        <v>4610</v>
      </c>
      <c r="H184" s="6">
        <f>H185</f>
        <v>1166.4000000000001</v>
      </c>
      <c r="I184" s="416">
        <f t="shared" si="24"/>
        <v>25.301518438177879</v>
      </c>
    </row>
    <row r="185" spans="1:9" s="202" customFormat="1" ht="15.75" x14ac:dyDescent="0.25">
      <c r="A185" s="25" t="s">
        <v>281</v>
      </c>
      <c r="B185" s="20" t="s">
        <v>1407</v>
      </c>
      <c r="C185" s="40" t="s">
        <v>271</v>
      </c>
      <c r="D185" s="40" t="s">
        <v>220</v>
      </c>
      <c r="E185" s="40" t="s">
        <v>282</v>
      </c>
      <c r="F185" s="40"/>
      <c r="G185" s="6">
        <f>'Пр.3 Рд,пр, ЦС,ВР 21'!F541</f>
        <v>4610</v>
      </c>
      <c r="H185" s="6">
        <f>'Пр.3 Рд,пр, ЦС,ВР 21'!G541</f>
        <v>1166.4000000000001</v>
      </c>
      <c r="I185" s="416">
        <f t="shared" si="24"/>
        <v>25.301518438177879</v>
      </c>
    </row>
    <row r="186" spans="1:9" s="202" customFormat="1" ht="31.5" x14ac:dyDescent="0.25">
      <c r="A186" s="29" t="s">
        <v>410</v>
      </c>
      <c r="B186" s="20" t="s">
        <v>1407</v>
      </c>
      <c r="C186" s="40" t="s">
        <v>271</v>
      </c>
      <c r="D186" s="40" t="s">
        <v>220</v>
      </c>
      <c r="E186" s="40" t="s">
        <v>282</v>
      </c>
      <c r="F186" s="40" t="s">
        <v>644</v>
      </c>
      <c r="G186" s="10">
        <f>G185</f>
        <v>4610</v>
      </c>
      <c r="H186" s="10">
        <f>H185</f>
        <v>1166.4000000000001</v>
      </c>
      <c r="I186" s="416">
        <f t="shared" si="24"/>
        <v>25.301518438177879</v>
      </c>
    </row>
    <row r="187" spans="1:9" s="202" customFormat="1" ht="78.75" x14ac:dyDescent="0.25">
      <c r="A187" s="31" t="s">
        <v>1198</v>
      </c>
      <c r="B187" s="20" t="s">
        <v>1265</v>
      </c>
      <c r="C187" s="40" t="s">
        <v>271</v>
      </c>
      <c r="D187" s="40" t="s">
        <v>220</v>
      </c>
      <c r="E187" s="40"/>
      <c r="F187" s="40"/>
      <c r="G187" s="6">
        <f>G188</f>
        <v>131567.20000000001</v>
      </c>
      <c r="H187" s="6">
        <f>H188</f>
        <v>28805.4</v>
      </c>
      <c r="I187" s="416">
        <f t="shared" si="24"/>
        <v>21.894058701560876</v>
      </c>
    </row>
    <row r="188" spans="1:9" s="202" customFormat="1" ht="31.5" x14ac:dyDescent="0.25">
      <c r="A188" s="25" t="s">
        <v>279</v>
      </c>
      <c r="B188" s="20" t="s">
        <v>1265</v>
      </c>
      <c r="C188" s="40" t="s">
        <v>271</v>
      </c>
      <c r="D188" s="40" t="s">
        <v>220</v>
      </c>
      <c r="E188" s="40" t="s">
        <v>280</v>
      </c>
      <c r="F188" s="40"/>
      <c r="G188" s="6">
        <f>G189</f>
        <v>131567.20000000001</v>
      </c>
      <c r="H188" s="6">
        <f>H189</f>
        <v>28805.4</v>
      </c>
      <c r="I188" s="416">
        <f t="shared" si="24"/>
        <v>21.894058701560876</v>
      </c>
    </row>
    <row r="189" spans="1:9" s="202" customFormat="1" ht="15.75" x14ac:dyDescent="0.25">
      <c r="A189" s="25" t="s">
        <v>281</v>
      </c>
      <c r="B189" s="20" t="s">
        <v>1265</v>
      </c>
      <c r="C189" s="40" t="s">
        <v>271</v>
      </c>
      <c r="D189" s="40" t="s">
        <v>220</v>
      </c>
      <c r="E189" s="40" t="s">
        <v>282</v>
      </c>
      <c r="F189" s="40"/>
      <c r="G189" s="6">
        <f>'Пр.3 Рд,пр, ЦС,ВР 21'!F544</f>
        <v>131567.20000000001</v>
      </c>
      <c r="H189" s="6">
        <f>'Пр.3 Рд,пр, ЦС,ВР 21'!G544</f>
        <v>28805.4</v>
      </c>
      <c r="I189" s="416">
        <f t="shared" si="24"/>
        <v>21.894058701560876</v>
      </c>
    </row>
    <row r="190" spans="1:9" s="202" customFormat="1" ht="31.5" x14ac:dyDescent="0.25">
      <c r="A190" s="29" t="s">
        <v>410</v>
      </c>
      <c r="B190" s="20" t="s">
        <v>1265</v>
      </c>
      <c r="C190" s="40" t="s">
        <v>271</v>
      </c>
      <c r="D190" s="40" t="s">
        <v>220</v>
      </c>
      <c r="E190" s="40" t="s">
        <v>282</v>
      </c>
      <c r="F190" s="40" t="s">
        <v>644</v>
      </c>
      <c r="G190" s="10">
        <f>G189</f>
        <v>131567.20000000001</v>
      </c>
      <c r="H190" s="10">
        <f>H189</f>
        <v>28805.4</v>
      </c>
      <c r="I190" s="416">
        <f t="shared" si="24"/>
        <v>21.894058701560876</v>
      </c>
    </row>
    <row r="191" spans="1:9" s="202" customFormat="1" ht="63" x14ac:dyDescent="0.25">
      <c r="A191" s="31" t="s">
        <v>296</v>
      </c>
      <c r="B191" s="20" t="s">
        <v>1248</v>
      </c>
      <c r="C191" s="40" t="s">
        <v>271</v>
      </c>
      <c r="D191" s="40" t="s">
        <v>220</v>
      </c>
      <c r="E191" s="40"/>
      <c r="F191" s="40"/>
      <c r="G191" s="6">
        <f>G192</f>
        <v>1311</v>
      </c>
      <c r="H191" s="6">
        <f>H192</f>
        <v>266.8</v>
      </c>
      <c r="I191" s="416">
        <f t="shared" si="24"/>
        <v>20.350877192982459</v>
      </c>
    </row>
    <row r="192" spans="1:9" s="202" customFormat="1" ht="31.5" x14ac:dyDescent="0.25">
      <c r="A192" s="25" t="s">
        <v>279</v>
      </c>
      <c r="B192" s="20" t="s">
        <v>1248</v>
      </c>
      <c r="C192" s="40" t="s">
        <v>271</v>
      </c>
      <c r="D192" s="40" t="s">
        <v>220</v>
      </c>
      <c r="E192" s="40" t="s">
        <v>280</v>
      </c>
      <c r="F192" s="40"/>
      <c r="G192" s="6">
        <f>G193</f>
        <v>1311</v>
      </c>
      <c r="H192" s="6">
        <f>H193</f>
        <v>266.8</v>
      </c>
      <c r="I192" s="416">
        <f t="shared" si="24"/>
        <v>20.350877192982459</v>
      </c>
    </row>
    <row r="193" spans="1:9" s="202" customFormat="1" ht="15.75" x14ac:dyDescent="0.25">
      <c r="A193" s="25" t="s">
        <v>281</v>
      </c>
      <c r="B193" s="20" t="s">
        <v>1248</v>
      </c>
      <c r="C193" s="40" t="s">
        <v>271</v>
      </c>
      <c r="D193" s="40" t="s">
        <v>220</v>
      </c>
      <c r="E193" s="40" t="s">
        <v>282</v>
      </c>
      <c r="F193" s="40"/>
      <c r="G193" s="6">
        <f>'Пр.3 Рд,пр, ЦС,ВР 21'!F547</f>
        <v>1311</v>
      </c>
      <c r="H193" s="6">
        <f>'Пр.3 Рд,пр, ЦС,ВР 21'!G547</f>
        <v>266.8</v>
      </c>
      <c r="I193" s="416">
        <f t="shared" si="24"/>
        <v>20.350877192982459</v>
      </c>
    </row>
    <row r="194" spans="1:9" s="202" customFormat="1" ht="31.5" x14ac:dyDescent="0.25">
      <c r="A194" s="29" t="s">
        <v>410</v>
      </c>
      <c r="B194" s="20" t="s">
        <v>1248</v>
      </c>
      <c r="C194" s="40" t="s">
        <v>271</v>
      </c>
      <c r="D194" s="40" t="s">
        <v>220</v>
      </c>
      <c r="E194" s="40" t="s">
        <v>282</v>
      </c>
      <c r="F194" s="40" t="s">
        <v>644</v>
      </c>
      <c r="G194" s="10">
        <f>G193</f>
        <v>1311</v>
      </c>
      <c r="H194" s="10">
        <f>H193</f>
        <v>266.8</v>
      </c>
      <c r="I194" s="416">
        <f t="shared" si="24"/>
        <v>20.350877192982459</v>
      </c>
    </row>
    <row r="195" spans="1:9" s="202" customFormat="1" ht="63" x14ac:dyDescent="0.25">
      <c r="A195" s="31" t="s">
        <v>298</v>
      </c>
      <c r="B195" s="20" t="s">
        <v>1249</v>
      </c>
      <c r="C195" s="40" t="s">
        <v>271</v>
      </c>
      <c r="D195" s="40" t="s">
        <v>220</v>
      </c>
      <c r="E195" s="40"/>
      <c r="F195" s="40"/>
      <c r="G195" s="6">
        <f>G196</f>
        <v>2300.2999999999997</v>
      </c>
      <c r="H195" s="6">
        <f>H196</f>
        <v>565</v>
      </c>
      <c r="I195" s="416">
        <f t="shared" si="24"/>
        <v>24.562013650393428</v>
      </c>
    </row>
    <row r="196" spans="1:9" s="202" customFormat="1" ht="31.5" x14ac:dyDescent="0.25">
      <c r="A196" s="25" t="s">
        <v>279</v>
      </c>
      <c r="B196" s="20" t="s">
        <v>1249</v>
      </c>
      <c r="C196" s="40" t="s">
        <v>271</v>
      </c>
      <c r="D196" s="40" t="s">
        <v>220</v>
      </c>
      <c r="E196" s="40" t="s">
        <v>280</v>
      </c>
      <c r="F196" s="40"/>
      <c r="G196" s="6">
        <f>G197</f>
        <v>2300.2999999999997</v>
      </c>
      <c r="H196" s="6">
        <f>H197</f>
        <v>565</v>
      </c>
      <c r="I196" s="416">
        <f t="shared" si="24"/>
        <v>24.562013650393428</v>
      </c>
    </row>
    <row r="197" spans="1:9" s="202" customFormat="1" ht="15.75" x14ac:dyDescent="0.25">
      <c r="A197" s="25" t="s">
        <v>281</v>
      </c>
      <c r="B197" s="20" t="s">
        <v>1249</v>
      </c>
      <c r="C197" s="40" t="s">
        <v>271</v>
      </c>
      <c r="D197" s="40" t="s">
        <v>220</v>
      </c>
      <c r="E197" s="40" t="s">
        <v>282</v>
      </c>
      <c r="F197" s="40"/>
      <c r="G197" s="6">
        <f>'Пр.3 Рд,пр, ЦС,ВР 21'!F550</f>
        <v>2300.2999999999997</v>
      </c>
      <c r="H197" s="6">
        <f>'Пр.3 Рд,пр, ЦС,ВР 21'!G550</f>
        <v>565</v>
      </c>
      <c r="I197" s="416">
        <f t="shared" si="24"/>
        <v>24.562013650393428</v>
      </c>
    </row>
    <row r="198" spans="1:9" s="202" customFormat="1" ht="31.5" x14ac:dyDescent="0.25">
      <c r="A198" s="29" t="s">
        <v>410</v>
      </c>
      <c r="B198" s="20" t="s">
        <v>1249</v>
      </c>
      <c r="C198" s="40" t="s">
        <v>271</v>
      </c>
      <c r="D198" s="40" t="s">
        <v>220</v>
      </c>
      <c r="E198" s="40" t="s">
        <v>282</v>
      </c>
      <c r="F198" s="40" t="s">
        <v>644</v>
      </c>
      <c r="G198" s="10">
        <f>G197</f>
        <v>2300.2999999999997</v>
      </c>
      <c r="H198" s="10">
        <f>H197</f>
        <v>565</v>
      </c>
      <c r="I198" s="416">
        <f t="shared" si="24"/>
        <v>24.562013650393428</v>
      </c>
    </row>
    <row r="199" spans="1:9" s="202" customFormat="1" ht="47.25" x14ac:dyDescent="0.25">
      <c r="A199" s="31" t="s">
        <v>469</v>
      </c>
      <c r="B199" s="20" t="s">
        <v>1266</v>
      </c>
      <c r="C199" s="40" t="s">
        <v>271</v>
      </c>
      <c r="D199" s="40" t="s">
        <v>220</v>
      </c>
      <c r="E199" s="40"/>
      <c r="F199" s="40"/>
      <c r="G199" s="6">
        <f>G200</f>
        <v>900</v>
      </c>
      <c r="H199" s="6">
        <f>H200</f>
        <v>275</v>
      </c>
      <c r="I199" s="416">
        <f t="shared" si="24"/>
        <v>30.555555555555557</v>
      </c>
    </row>
    <row r="200" spans="1:9" s="202" customFormat="1" ht="31.5" x14ac:dyDescent="0.25">
      <c r="A200" s="25" t="s">
        <v>279</v>
      </c>
      <c r="B200" s="20" t="s">
        <v>1266</v>
      </c>
      <c r="C200" s="40" t="s">
        <v>271</v>
      </c>
      <c r="D200" s="40" t="s">
        <v>220</v>
      </c>
      <c r="E200" s="40" t="s">
        <v>280</v>
      </c>
      <c r="F200" s="40"/>
      <c r="G200" s="6">
        <f>G201</f>
        <v>900</v>
      </c>
      <c r="H200" s="6">
        <f>H201</f>
        <v>275</v>
      </c>
      <c r="I200" s="416">
        <f t="shared" si="24"/>
        <v>30.555555555555557</v>
      </c>
    </row>
    <row r="201" spans="1:9" s="202" customFormat="1" ht="15.75" x14ac:dyDescent="0.25">
      <c r="A201" s="25" t="s">
        <v>281</v>
      </c>
      <c r="B201" s="20" t="s">
        <v>1266</v>
      </c>
      <c r="C201" s="40" t="s">
        <v>271</v>
      </c>
      <c r="D201" s="40" t="s">
        <v>220</v>
      </c>
      <c r="E201" s="40" t="s">
        <v>282</v>
      </c>
      <c r="F201" s="40"/>
      <c r="G201" s="6">
        <f>'Пр.3 Рд,пр, ЦС,ВР 21'!F553</f>
        <v>900</v>
      </c>
      <c r="H201" s="6">
        <f>'Пр.3 Рд,пр, ЦС,ВР 21'!G553</f>
        <v>275</v>
      </c>
      <c r="I201" s="416">
        <f t="shared" si="24"/>
        <v>30.555555555555557</v>
      </c>
    </row>
    <row r="202" spans="1:9" s="202" customFormat="1" ht="31.5" x14ac:dyDescent="0.25">
      <c r="A202" s="29" t="s">
        <v>410</v>
      </c>
      <c r="B202" s="20" t="s">
        <v>1266</v>
      </c>
      <c r="C202" s="40" t="s">
        <v>271</v>
      </c>
      <c r="D202" s="40" t="s">
        <v>220</v>
      </c>
      <c r="E202" s="40" t="s">
        <v>282</v>
      </c>
      <c r="F202" s="40" t="s">
        <v>644</v>
      </c>
      <c r="G202" s="10">
        <f>G201</f>
        <v>900</v>
      </c>
      <c r="H202" s="10">
        <f>H201</f>
        <v>275</v>
      </c>
      <c r="I202" s="416">
        <f t="shared" si="24"/>
        <v>30.555555555555557</v>
      </c>
    </row>
    <row r="203" spans="1:9" ht="15.75" x14ac:dyDescent="0.25">
      <c r="A203" s="29" t="s">
        <v>272</v>
      </c>
      <c r="B203" s="40" t="s">
        <v>1247</v>
      </c>
      <c r="C203" s="40" t="s">
        <v>271</v>
      </c>
      <c r="D203" s="40" t="s">
        <v>222</v>
      </c>
      <c r="E203" s="40"/>
      <c r="F203" s="40"/>
      <c r="G203" s="6">
        <f>G208+G212+G204</f>
        <v>2128.5</v>
      </c>
      <c r="H203" s="6">
        <f>H208+H212+H204</f>
        <v>580.20000000000005</v>
      </c>
      <c r="I203" s="416">
        <f t="shared" si="24"/>
        <v>27.258632840028191</v>
      </c>
    </row>
    <row r="204" spans="1:9" s="202" customFormat="1" ht="94.5" x14ac:dyDescent="0.25">
      <c r="A204" s="31" t="s">
        <v>300</v>
      </c>
      <c r="B204" s="20" t="s">
        <v>1407</v>
      </c>
      <c r="C204" s="40" t="s">
        <v>271</v>
      </c>
      <c r="D204" s="40" t="s">
        <v>222</v>
      </c>
      <c r="E204" s="40"/>
      <c r="F204" s="40"/>
      <c r="G204" s="6">
        <f>G205</f>
        <v>1400</v>
      </c>
      <c r="H204" s="6">
        <f>H205</f>
        <v>360</v>
      </c>
      <c r="I204" s="416">
        <f t="shared" si="24"/>
        <v>25.714285714285712</v>
      </c>
    </row>
    <row r="205" spans="1:9" s="202" customFormat="1" ht="31.5" x14ac:dyDescent="0.25">
      <c r="A205" s="25" t="s">
        <v>279</v>
      </c>
      <c r="B205" s="20" t="s">
        <v>1407</v>
      </c>
      <c r="C205" s="40" t="s">
        <v>271</v>
      </c>
      <c r="D205" s="40" t="s">
        <v>222</v>
      </c>
      <c r="E205" s="40" t="s">
        <v>280</v>
      </c>
      <c r="F205" s="40"/>
      <c r="G205" s="6">
        <f>G206</f>
        <v>1400</v>
      </c>
      <c r="H205" s="6">
        <f>H206</f>
        <v>360</v>
      </c>
      <c r="I205" s="416">
        <f t="shared" si="24"/>
        <v>25.714285714285712</v>
      </c>
    </row>
    <row r="206" spans="1:9" s="202" customFormat="1" ht="15.75" x14ac:dyDescent="0.25">
      <c r="A206" s="25" t="s">
        <v>281</v>
      </c>
      <c r="B206" s="20" t="s">
        <v>1407</v>
      </c>
      <c r="C206" s="40" t="s">
        <v>271</v>
      </c>
      <c r="D206" s="40" t="s">
        <v>222</v>
      </c>
      <c r="E206" s="40" t="s">
        <v>282</v>
      </c>
      <c r="F206" s="40"/>
      <c r="G206" s="6">
        <f>'Пр.4 ведом.21'!G692</f>
        <v>1400</v>
      </c>
      <c r="H206" s="6">
        <f>'Пр.4 ведом.21'!H692</f>
        <v>360</v>
      </c>
      <c r="I206" s="416">
        <f t="shared" si="24"/>
        <v>25.714285714285712</v>
      </c>
    </row>
    <row r="207" spans="1:9" s="202" customFormat="1" ht="31.5" x14ac:dyDescent="0.25">
      <c r="A207" s="29" t="s">
        <v>410</v>
      </c>
      <c r="B207" s="20" t="s">
        <v>1407</v>
      </c>
      <c r="C207" s="40" t="s">
        <v>271</v>
      </c>
      <c r="D207" s="40" t="s">
        <v>222</v>
      </c>
      <c r="E207" s="40" t="s">
        <v>282</v>
      </c>
      <c r="F207" s="40" t="s">
        <v>644</v>
      </c>
      <c r="G207" s="10">
        <f>G206</f>
        <v>1400</v>
      </c>
      <c r="H207" s="10">
        <f>H206</f>
        <v>360</v>
      </c>
      <c r="I207" s="416">
        <f t="shared" si="24"/>
        <v>25.714285714285712</v>
      </c>
    </row>
    <row r="208" spans="1:9" s="202" customFormat="1" ht="63" x14ac:dyDescent="0.25">
      <c r="A208" s="31" t="s">
        <v>296</v>
      </c>
      <c r="B208" s="20" t="s">
        <v>1248</v>
      </c>
      <c r="C208" s="40" t="s">
        <v>271</v>
      </c>
      <c r="D208" s="40" t="s">
        <v>222</v>
      </c>
      <c r="E208" s="40"/>
      <c r="F208" s="40"/>
      <c r="G208" s="6">
        <f>G209</f>
        <v>179</v>
      </c>
      <c r="H208" s="6">
        <f>H209</f>
        <v>45</v>
      </c>
      <c r="I208" s="416">
        <f t="shared" si="24"/>
        <v>25.139664804469277</v>
      </c>
    </row>
    <row r="209" spans="1:9" s="202" customFormat="1" ht="31.5" x14ac:dyDescent="0.25">
      <c r="A209" s="25" t="s">
        <v>279</v>
      </c>
      <c r="B209" s="20" t="s">
        <v>1248</v>
      </c>
      <c r="C209" s="40" t="s">
        <v>271</v>
      </c>
      <c r="D209" s="40" t="s">
        <v>222</v>
      </c>
      <c r="E209" s="40" t="s">
        <v>280</v>
      </c>
      <c r="F209" s="40"/>
      <c r="G209" s="6">
        <f>G210</f>
        <v>179</v>
      </c>
      <c r="H209" s="6">
        <f>H210</f>
        <v>45</v>
      </c>
      <c r="I209" s="416">
        <f t="shared" si="24"/>
        <v>25.139664804469277</v>
      </c>
    </row>
    <row r="210" spans="1:9" s="202" customFormat="1" ht="15.75" x14ac:dyDescent="0.25">
      <c r="A210" s="25" t="s">
        <v>281</v>
      </c>
      <c r="B210" s="20" t="s">
        <v>1248</v>
      </c>
      <c r="C210" s="40" t="s">
        <v>271</v>
      </c>
      <c r="D210" s="40" t="s">
        <v>222</v>
      </c>
      <c r="E210" s="40" t="s">
        <v>282</v>
      </c>
      <c r="F210" s="40"/>
      <c r="G210" s="6">
        <f>'Пр.4 ведом.21'!G696</f>
        <v>179</v>
      </c>
      <c r="H210" s="6">
        <f>'Пр.4 ведом.21'!H696</f>
        <v>45</v>
      </c>
      <c r="I210" s="416">
        <f t="shared" ref="I210:I273" si="26">H210/G210*100</f>
        <v>25.139664804469277</v>
      </c>
    </row>
    <row r="211" spans="1:9" s="202" customFormat="1" ht="31.5" x14ac:dyDescent="0.25">
      <c r="A211" s="29" t="s">
        <v>410</v>
      </c>
      <c r="B211" s="20" t="s">
        <v>1248</v>
      </c>
      <c r="C211" s="40" t="s">
        <v>271</v>
      </c>
      <c r="D211" s="40" t="s">
        <v>222</v>
      </c>
      <c r="E211" s="40" t="s">
        <v>282</v>
      </c>
      <c r="F211" s="40" t="s">
        <v>644</v>
      </c>
      <c r="G211" s="10">
        <f>G210</f>
        <v>179</v>
      </c>
      <c r="H211" s="10">
        <f>H210</f>
        <v>45</v>
      </c>
      <c r="I211" s="416">
        <f t="shared" si="26"/>
        <v>25.139664804469277</v>
      </c>
    </row>
    <row r="212" spans="1:9" s="202" customFormat="1" ht="63" x14ac:dyDescent="0.25">
      <c r="A212" s="31" t="s">
        <v>298</v>
      </c>
      <c r="B212" s="20" t="s">
        <v>1249</v>
      </c>
      <c r="C212" s="40" t="s">
        <v>271</v>
      </c>
      <c r="D212" s="40" t="s">
        <v>222</v>
      </c>
      <c r="E212" s="40"/>
      <c r="F212" s="40"/>
      <c r="G212" s="6">
        <f>G213</f>
        <v>549.5</v>
      </c>
      <c r="H212" s="6">
        <f>H213</f>
        <v>175.2</v>
      </c>
      <c r="I212" s="416">
        <f t="shared" si="26"/>
        <v>31.883530482256596</v>
      </c>
    </row>
    <row r="213" spans="1:9" s="202" customFormat="1" ht="31.5" x14ac:dyDescent="0.25">
      <c r="A213" s="25" t="s">
        <v>279</v>
      </c>
      <c r="B213" s="20" t="s">
        <v>1249</v>
      </c>
      <c r="C213" s="40" t="s">
        <v>271</v>
      </c>
      <c r="D213" s="40" t="s">
        <v>222</v>
      </c>
      <c r="E213" s="40" t="s">
        <v>280</v>
      </c>
      <c r="F213" s="40"/>
      <c r="G213" s="6">
        <f>G214</f>
        <v>549.5</v>
      </c>
      <c r="H213" s="6">
        <f>H214</f>
        <v>175.2</v>
      </c>
      <c r="I213" s="416">
        <f t="shared" si="26"/>
        <v>31.883530482256596</v>
      </c>
    </row>
    <row r="214" spans="1:9" s="202" customFormat="1" ht="15.75" x14ac:dyDescent="0.25">
      <c r="A214" s="25" t="s">
        <v>281</v>
      </c>
      <c r="B214" s="20" t="s">
        <v>1249</v>
      </c>
      <c r="C214" s="40" t="s">
        <v>271</v>
      </c>
      <c r="D214" s="40" t="s">
        <v>222</v>
      </c>
      <c r="E214" s="40" t="s">
        <v>282</v>
      </c>
      <c r="F214" s="40"/>
      <c r="G214" s="6">
        <f>'Пр.4 ведом.21'!G699</f>
        <v>549.5</v>
      </c>
      <c r="H214" s="6">
        <f>'Пр.4 ведом.21'!H699</f>
        <v>175.2</v>
      </c>
      <c r="I214" s="416">
        <f t="shared" si="26"/>
        <v>31.883530482256596</v>
      </c>
    </row>
    <row r="215" spans="1:9" s="202" customFormat="1" ht="31.5" x14ac:dyDescent="0.25">
      <c r="A215" s="29" t="s">
        <v>410</v>
      </c>
      <c r="B215" s="20" t="s">
        <v>1249</v>
      </c>
      <c r="C215" s="40" t="s">
        <v>271</v>
      </c>
      <c r="D215" s="40" t="s">
        <v>222</v>
      </c>
      <c r="E215" s="40" t="s">
        <v>282</v>
      </c>
      <c r="F215" s="40" t="s">
        <v>644</v>
      </c>
      <c r="G215" s="10">
        <f>G214</f>
        <v>549.5</v>
      </c>
      <c r="H215" s="10">
        <f>H214</f>
        <v>175.2</v>
      </c>
      <c r="I215" s="416">
        <f t="shared" si="26"/>
        <v>31.883530482256596</v>
      </c>
    </row>
    <row r="216" spans="1:9" s="202" customFormat="1" ht="31.5" x14ac:dyDescent="0.25">
      <c r="A216" s="23" t="s">
        <v>1307</v>
      </c>
      <c r="B216" s="24" t="s">
        <v>1252</v>
      </c>
      <c r="C216" s="7"/>
      <c r="D216" s="7"/>
      <c r="E216" s="7"/>
      <c r="F216" s="7"/>
      <c r="G216" s="59">
        <f>G217+G231</f>
        <v>4224</v>
      </c>
      <c r="H216" s="59">
        <f>H217+H231</f>
        <v>2296.3209999999999</v>
      </c>
      <c r="I216" s="441">
        <f t="shared" si="26"/>
        <v>54.36366003787878</v>
      </c>
    </row>
    <row r="217" spans="1:9" ht="15.75" x14ac:dyDescent="0.25">
      <c r="A217" s="29" t="s">
        <v>270</v>
      </c>
      <c r="B217" s="20" t="s">
        <v>1252</v>
      </c>
      <c r="C217" s="40" t="s">
        <v>271</v>
      </c>
      <c r="D217" s="40"/>
      <c r="E217" s="40"/>
      <c r="F217" s="40"/>
      <c r="G217" s="10">
        <f t="shared" ref="G217:H217" si="27">G218</f>
        <v>4000</v>
      </c>
      <c r="H217" s="10">
        <f t="shared" si="27"/>
        <v>2225.4209999999998</v>
      </c>
      <c r="I217" s="416">
        <f t="shared" si="26"/>
        <v>55.635524999999994</v>
      </c>
    </row>
    <row r="218" spans="1:9" ht="15.75" x14ac:dyDescent="0.25">
      <c r="A218" s="45" t="s">
        <v>411</v>
      </c>
      <c r="B218" s="20" t="s">
        <v>1252</v>
      </c>
      <c r="C218" s="40" t="s">
        <v>271</v>
      </c>
      <c r="D218" s="40" t="s">
        <v>125</v>
      </c>
      <c r="E218" s="40"/>
      <c r="F218" s="40"/>
      <c r="G218" s="10">
        <f>G219+G223+G227</f>
        <v>4000</v>
      </c>
      <c r="H218" s="10">
        <f>H219+H223+H227</f>
        <v>2225.4209999999998</v>
      </c>
      <c r="I218" s="416">
        <f t="shared" si="26"/>
        <v>55.635524999999994</v>
      </c>
    </row>
    <row r="219" spans="1:9" ht="31.5" hidden="1" x14ac:dyDescent="0.25">
      <c r="A219" s="29" t="s">
        <v>285</v>
      </c>
      <c r="B219" s="20" t="s">
        <v>1333</v>
      </c>
      <c r="C219" s="40" t="s">
        <v>271</v>
      </c>
      <c r="D219" s="40" t="s">
        <v>125</v>
      </c>
      <c r="E219" s="40"/>
      <c r="F219" s="40"/>
      <c r="G219" s="10">
        <f t="shared" ref="G219:H220" si="28">G220</f>
        <v>0</v>
      </c>
      <c r="H219" s="10">
        <f t="shared" si="28"/>
        <v>0</v>
      </c>
      <c r="I219" s="416" t="e">
        <f t="shared" si="26"/>
        <v>#DIV/0!</v>
      </c>
    </row>
    <row r="220" spans="1:9" ht="31.5" hidden="1" x14ac:dyDescent="0.25">
      <c r="A220" s="29" t="s">
        <v>279</v>
      </c>
      <c r="B220" s="20" t="s">
        <v>1333</v>
      </c>
      <c r="C220" s="40" t="s">
        <v>271</v>
      </c>
      <c r="D220" s="40" t="s">
        <v>125</v>
      </c>
      <c r="E220" s="40" t="s">
        <v>280</v>
      </c>
      <c r="F220" s="40"/>
      <c r="G220" s="10">
        <f t="shared" si="28"/>
        <v>0</v>
      </c>
      <c r="H220" s="10">
        <f t="shared" si="28"/>
        <v>0</v>
      </c>
      <c r="I220" s="416" t="e">
        <f t="shared" si="26"/>
        <v>#DIV/0!</v>
      </c>
    </row>
    <row r="221" spans="1:9" ht="15.75" hidden="1" x14ac:dyDescent="0.25">
      <c r="A221" s="29" t="s">
        <v>281</v>
      </c>
      <c r="B221" s="20" t="s">
        <v>1333</v>
      </c>
      <c r="C221" s="40" t="s">
        <v>271</v>
      </c>
      <c r="D221" s="40" t="s">
        <v>125</v>
      </c>
      <c r="E221" s="40" t="s">
        <v>282</v>
      </c>
      <c r="F221" s="40"/>
      <c r="G221" s="10">
        <f>'Пр.4 ведом.21'!G560</f>
        <v>0</v>
      </c>
      <c r="H221" s="10">
        <f>'Пр.4 ведом.21'!H560</f>
        <v>0</v>
      </c>
      <c r="I221" s="416" t="e">
        <f t="shared" si="26"/>
        <v>#DIV/0!</v>
      </c>
    </row>
    <row r="222" spans="1:9" s="202" customFormat="1" ht="31.5" hidden="1" x14ac:dyDescent="0.25">
      <c r="A222" s="29" t="s">
        <v>410</v>
      </c>
      <c r="B222" s="20" t="s">
        <v>1333</v>
      </c>
      <c r="C222" s="40" t="s">
        <v>271</v>
      </c>
      <c r="D222" s="40" t="s">
        <v>125</v>
      </c>
      <c r="E222" s="40" t="s">
        <v>282</v>
      </c>
      <c r="F222" s="40" t="s">
        <v>644</v>
      </c>
      <c r="G222" s="10">
        <f>G221</f>
        <v>0</v>
      </c>
      <c r="H222" s="10">
        <f>H221</f>
        <v>0</v>
      </c>
      <c r="I222" s="416" t="e">
        <f t="shared" si="26"/>
        <v>#DIV/0!</v>
      </c>
    </row>
    <row r="223" spans="1:9" ht="31.7" hidden="1" customHeight="1" x14ac:dyDescent="0.25">
      <c r="A223" s="29" t="s">
        <v>287</v>
      </c>
      <c r="B223" s="20" t="s">
        <v>1334</v>
      </c>
      <c r="C223" s="40" t="s">
        <v>271</v>
      </c>
      <c r="D223" s="40" t="s">
        <v>125</v>
      </c>
      <c r="E223" s="40"/>
      <c r="F223" s="40"/>
      <c r="G223" s="10">
        <f t="shared" ref="G223:H224" si="29">G224</f>
        <v>0</v>
      </c>
      <c r="H223" s="10">
        <f t="shared" si="29"/>
        <v>0</v>
      </c>
      <c r="I223" s="416" t="e">
        <f t="shared" si="26"/>
        <v>#DIV/0!</v>
      </c>
    </row>
    <row r="224" spans="1:9" ht="31.7" hidden="1" customHeight="1" x14ac:dyDescent="0.25">
      <c r="A224" s="29" t="s">
        <v>279</v>
      </c>
      <c r="B224" s="20" t="s">
        <v>1334</v>
      </c>
      <c r="C224" s="40" t="s">
        <v>271</v>
      </c>
      <c r="D224" s="40" t="s">
        <v>125</v>
      </c>
      <c r="E224" s="40" t="s">
        <v>280</v>
      </c>
      <c r="F224" s="40"/>
      <c r="G224" s="10">
        <f t="shared" si="29"/>
        <v>0</v>
      </c>
      <c r="H224" s="10">
        <f t="shared" si="29"/>
        <v>0</v>
      </c>
      <c r="I224" s="416" t="e">
        <f t="shared" si="26"/>
        <v>#DIV/0!</v>
      </c>
    </row>
    <row r="225" spans="1:9" ht="15.75" hidden="1" customHeight="1" x14ac:dyDescent="0.25">
      <c r="A225" s="29" t="s">
        <v>281</v>
      </c>
      <c r="B225" s="20" t="s">
        <v>1334</v>
      </c>
      <c r="C225" s="40" t="s">
        <v>271</v>
      </c>
      <c r="D225" s="40" t="s">
        <v>125</v>
      </c>
      <c r="E225" s="40" t="s">
        <v>282</v>
      </c>
      <c r="F225" s="40"/>
      <c r="G225" s="10">
        <f>'Пр.4 ведом.21'!G563</f>
        <v>0</v>
      </c>
      <c r="H225" s="10">
        <f>'Пр.4 ведом.21'!H563</f>
        <v>0</v>
      </c>
      <c r="I225" s="416" t="e">
        <f t="shared" si="26"/>
        <v>#DIV/0!</v>
      </c>
    </row>
    <row r="226" spans="1:9" s="202" customFormat="1" ht="35.450000000000003" hidden="1" customHeight="1" x14ac:dyDescent="0.25">
      <c r="A226" s="29" t="s">
        <v>410</v>
      </c>
      <c r="B226" s="20" t="s">
        <v>1334</v>
      </c>
      <c r="C226" s="40" t="s">
        <v>271</v>
      </c>
      <c r="D226" s="40" t="s">
        <v>125</v>
      </c>
      <c r="E226" s="40" t="s">
        <v>282</v>
      </c>
      <c r="F226" s="40" t="s">
        <v>644</v>
      </c>
      <c r="G226" s="10">
        <f>G225</f>
        <v>0</v>
      </c>
      <c r="H226" s="10">
        <f>H225</f>
        <v>0</v>
      </c>
      <c r="I226" s="416" t="e">
        <f t="shared" si="26"/>
        <v>#DIV/0!</v>
      </c>
    </row>
    <row r="227" spans="1:9" ht="31.5" x14ac:dyDescent="0.25">
      <c r="A227" s="29" t="s">
        <v>422</v>
      </c>
      <c r="B227" s="20" t="s">
        <v>1253</v>
      </c>
      <c r="C227" s="40" t="s">
        <v>271</v>
      </c>
      <c r="D227" s="40" t="s">
        <v>125</v>
      </c>
      <c r="E227" s="40"/>
      <c r="F227" s="40"/>
      <c r="G227" s="10">
        <f t="shared" ref="G227:H228" si="30">G228</f>
        <v>4000</v>
      </c>
      <c r="H227" s="10">
        <f t="shared" si="30"/>
        <v>2225.4209999999998</v>
      </c>
      <c r="I227" s="416">
        <f t="shared" si="26"/>
        <v>55.635524999999994</v>
      </c>
    </row>
    <row r="228" spans="1:9" ht="33.75" customHeight="1" x14ac:dyDescent="0.25">
      <c r="A228" s="29" t="s">
        <v>279</v>
      </c>
      <c r="B228" s="20" t="s">
        <v>1253</v>
      </c>
      <c r="C228" s="40" t="s">
        <v>271</v>
      </c>
      <c r="D228" s="40" t="s">
        <v>125</v>
      </c>
      <c r="E228" s="40" t="s">
        <v>280</v>
      </c>
      <c r="F228" s="40"/>
      <c r="G228" s="10">
        <f t="shared" si="30"/>
        <v>4000</v>
      </c>
      <c r="H228" s="10">
        <f t="shared" si="30"/>
        <v>2225.4209999999998</v>
      </c>
      <c r="I228" s="416">
        <f t="shared" si="26"/>
        <v>55.635524999999994</v>
      </c>
    </row>
    <row r="229" spans="1:9" ht="15.75" x14ac:dyDescent="0.25">
      <c r="A229" s="29" t="s">
        <v>281</v>
      </c>
      <c r="B229" s="20" t="s">
        <v>1253</v>
      </c>
      <c r="C229" s="40" t="s">
        <v>271</v>
      </c>
      <c r="D229" s="40" t="s">
        <v>125</v>
      </c>
      <c r="E229" s="40" t="s">
        <v>282</v>
      </c>
      <c r="F229" s="40"/>
      <c r="G229" s="6">
        <f>'Пр.4 ведом.21'!G566</f>
        <v>4000</v>
      </c>
      <c r="H229" s="6">
        <f>'Пр.4 ведом.21'!H566</f>
        <v>2225.4209999999998</v>
      </c>
      <c r="I229" s="416">
        <f t="shared" si="26"/>
        <v>55.635524999999994</v>
      </c>
    </row>
    <row r="230" spans="1:9" s="202" customFormat="1" ht="31.5" x14ac:dyDescent="0.25">
      <c r="A230" s="29" t="s">
        <v>410</v>
      </c>
      <c r="B230" s="20" t="s">
        <v>1253</v>
      </c>
      <c r="C230" s="40" t="s">
        <v>271</v>
      </c>
      <c r="D230" s="40" t="s">
        <v>125</v>
      </c>
      <c r="E230" s="40" t="s">
        <v>282</v>
      </c>
      <c r="F230" s="40" t="s">
        <v>644</v>
      </c>
      <c r="G230" s="10">
        <f>G229</f>
        <v>4000</v>
      </c>
      <c r="H230" s="10">
        <f>H229</f>
        <v>2225.4209999999998</v>
      </c>
      <c r="I230" s="416">
        <f t="shared" si="26"/>
        <v>55.635524999999994</v>
      </c>
    </row>
    <row r="231" spans="1:9" s="202" customFormat="1" ht="15.75" x14ac:dyDescent="0.25">
      <c r="A231" s="29" t="s">
        <v>270</v>
      </c>
      <c r="B231" s="40" t="s">
        <v>1252</v>
      </c>
      <c r="C231" s="40" t="s">
        <v>271</v>
      </c>
      <c r="D231" s="40"/>
      <c r="E231" s="40"/>
      <c r="F231" s="40"/>
      <c r="G231" s="10">
        <f t="shared" ref="G231:H231" si="31">G232</f>
        <v>224</v>
      </c>
      <c r="H231" s="10">
        <f t="shared" si="31"/>
        <v>70.900000000000006</v>
      </c>
      <c r="I231" s="416">
        <f t="shared" si="26"/>
        <v>31.651785714285719</v>
      </c>
    </row>
    <row r="232" spans="1:9" s="202" customFormat="1" ht="15.75" x14ac:dyDescent="0.25">
      <c r="A232" s="29" t="s">
        <v>432</v>
      </c>
      <c r="B232" s="40" t="s">
        <v>1252</v>
      </c>
      <c r="C232" s="40" t="s">
        <v>271</v>
      </c>
      <c r="D232" s="40" t="s">
        <v>220</v>
      </c>
      <c r="E232" s="40"/>
      <c r="F232" s="40"/>
      <c r="G232" s="10">
        <f>G233+G237+G241+G245</f>
        <v>224</v>
      </c>
      <c r="H232" s="10">
        <f>H233+H237+H241+H245</f>
        <v>70.900000000000006</v>
      </c>
      <c r="I232" s="416">
        <f t="shared" si="26"/>
        <v>31.651785714285719</v>
      </c>
    </row>
    <row r="233" spans="1:9" s="202" customFormat="1" ht="47.25" hidden="1" x14ac:dyDescent="0.25">
      <c r="A233" s="25" t="s">
        <v>799</v>
      </c>
      <c r="B233" s="20" t="s">
        <v>1332</v>
      </c>
      <c r="C233" s="40" t="s">
        <v>271</v>
      </c>
      <c r="D233" s="40" t="s">
        <v>220</v>
      </c>
      <c r="E233" s="40"/>
      <c r="F233" s="40"/>
      <c r="G233" s="6">
        <f>G234</f>
        <v>0</v>
      </c>
      <c r="H233" s="6">
        <f>H234</f>
        <v>0</v>
      </c>
      <c r="I233" s="416" t="e">
        <f t="shared" si="26"/>
        <v>#DIV/0!</v>
      </c>
    </row>
    <row r="234" spans="1:9" s="202" customFormat="1" ht="31.5" hidden="1" x14ac:dyDescent="0.25">
      <c r="A234" s="25" t="s">
        <v>279</v>
      </c>
      <c r="B234" s="20" t="s">
        <v>1332</v>
      </c>
      <c r="C234" s="40" t="s">
        <v>271</v>
      </c>
      <c r="D234" s="40" t="s">
        <v>220</v>
      </c>
      <c r="E234" s="40" t="s">
        <v>280</v>
      </c>
      <c r="F234" s="40"/>
      <c r="G234" s="6">
        <f>G235</f>
        <v>0</v>
      </c>
      <c r="H234" s="6">
        <f>H235</f>
        <v>0</v>
      </c>
      <c r="I234" s="416" t="e">
        <f t="shared" si="26"/>
        <v>#DIV/0!</v>
      </c>
    </row>
    <row r="235" spans="1:9" s="202" customFormat="1" ht="15.75" hidden="1" x14ac:dyDescent="0.25">
      <c r="A235" s="25" t="s">
        <v>281</v>
      </c>
      <c r="B235" s="20" t="s">
        <v>1332</v>
      </c>
      <c r="C235" s="40" t="s">
        <v>271</v>
      </c>
      <c r="D235" s="40" t="s">
        <v>220</v>
      </c>
      <c r="E235" s="40" t="s">
        <v>282</v>
      </c>
      <c r="F235" s="40"/>
      <c r="G235" s="6">
        <f>'Пр.4 ведом.21'!G626</f>
        <v>0</v>
      </c>
      <c r="H235" s="6">
        <f>'Пр.4 ведом.21'!H626</f>
        <v>0</v>
      </c>
      <c r="I235" s="416" t="e">
        <f t="shared" si="26"/>
        <v>#DIV/0!</v>
      </c>
    </row>
    <row r="236" spans="1:9" s="202" customFormat="1" ht="31.5" hidden="1" x14ac:dyDescent="0.25">
      <c r="A236" s="29" t="s">
        <v>410</v>
      </c>
      <c r="B236" s="20" t="s">
        <v>1332</v>
      </c>
      <c r="C236" s="40" t="s">
        <v>271</v>
      </c>
      <c r="D236" s="40" t="s">
        <v>220</v>
      </c>
      <c r="E236" s="40" t="s">
        <v>282</v>
      </c>
      <c r="F236" s="40" t="s">
        <v>644</v>
      </c>
      <c r="G236" s="10">
        <f>G235</f>
        <v>0</v>
      </c>
      <c r="H236" s="10">
        <f>H235</f>
        <v>0</v>
      </c>
      <c r="I236" s="416" t="e">
        <f t="shared" si="26"/>
        <v>#DIV/0!</v>
      </c>
    </row>
    <row r="237" spans="1:9" s="202" customFormat="1" ht="31.5" hidden="1" x14ac:dyDescent="0.25">
      <c r="A237" s="25" t="s">
        <v>285</v>
      </c>
      <c r="B237" s="20" t="s">
        <v>1333</v>
      </c>
      <c r="C237" s="40" t="s">
        <v>271</v>
      </c>
      <c r="D237" s="40" t="s">
        <v>220</v>
      </c>
      <c r="E237" s="40"/>
      <c r="F237" s="40"/>
      <c r="G237" s="6">
        <f t="shared" ref="G237:H238" si="32">G238</f>
        <v>0</v>
      </c>
      <c r="H237" s="6">
        <f t="shared" si="32"/>
        <v>0</v>
      </c>
      <c r="I237" s="416" t="e">
        <f t="shared" si="26"/>
        <v>#DIV/0!</v>
      </c>
    </row>
    <row r="238" spans="1:9" s="202" customFormat="1" ht="31.5" hidden="1" x14ac:dyDescent="0.25">
      <c r="A238" s="25" t="s">
        <v>279</v>
      </c>
      <c r="B238" s="20" t="s">
        <v>1333</v>
      </c>
      <c r="C238" s="40" t="s">
        <v>271</v>
      </c>
      <c r="D238" s="40" t="s">
        <v>220</v>
      </c>
      <c r="E238" s="40" t="s">
        <v>280</v>
      </c>
      <c r="F238" s="40"/>
      <c r="G238" s="6">
        <f t="shared" si="32"/>
        <v>0</v>
      </c>
      <c r="H238" s="6">
        <f t="shared" si="32"/>
        <v>0</v>
      </c>
      <c r="I238" s="416" t="e">
        <f t="shared" si="26"/>
        <v>#DIV/0!</v>
      </c>
    </row>
    <row r="239" spans="1:9" s="202" customFormat="1" ht="15.75" hidden="1" x14ac:dyDescent="0.25">
      <c r="A239" s="25" t="s">
        <v>281</v>
      </c>
      <c r="B239" s="20" t="s">
        <v>1333</v>
      </c>
      <c r="C239" s="40" t="s">
        <v>271</v>
      </c>
      <c r="D239" s="40" t="s">
        <v>220</v>
      </c>
      <c r="E239" s="40" t="s">
        <v>282</v>
      </c>
      <c r="F239" s="40"/>
      <c r="G239" s="6">
        <f>'Пр.4 ведом.21'!G629</f>
        <v>0</v>
      </c>
      <c r="H239" s="6">
        <f>'Пр.4 ведом.21'!H629</f>
        <v>0</v>
      </c>
      <c r="I239" s="416" t="e">
        <f t="shared" si="26"/>
        <v>#DIV/0!</v>
      </c>
    </row>
    <row r="240" spans="1:9" s="202" customFormat="1" ht="31.5" hidden="1" x14ac:dyDescent="0.25">
      <c r="A240" s="29" t="s">
        <v>410</v>
      </c>
      <c r="B240" s="20" t="s">
        <v>1333</v>
      </c>
      <c r="C240" s="40" t="s">
        <v>271</v>
      </c>
      <c r="D240" s="40" t="s">
        <v>220</v>
      </c>
      <c r="E240" s="40" t="s">
        <v>282</v>
      </c>
      <c r="F240" s="40" t="s">
        <v>644</v>
      </c>
      <c r="G240" s="10">
        <f>G239</f>
        <v>0</v>
      </c>
      <c r="H240" s="10">
        <f>H239</f>
        <v>0</v>
      </c>
      <c r="I240" s="416" t="e">
        <f t="shared" si="26"/>
        <v>#DIV/0!</v>
      </c>
    </row>
    <row r="241" spans="1:9" s="202" customFormat="1" ht="31.5" hidden="1" x14ac:dyDescent="0.25">
      <c r="A241" s="25" t="s">
        <v>287</v>
      </c>
      <c r="B241" s="20" t="s">
        <v>1334</v>
      </c>
      <c r="C241" s="40" t="s">
        <v>271</v>
      </c>
      <c r="D241" s="40" t="s">
        <v>220</v>
      </c>
      <c r="E241" s="40"/>
      <c r="F241" s="40"/>
      <c r="G241" s="6">
        <f t="shared" ref="G241:H242" si="33">G242</f>
        <v>0</v>
      </c>
      <c r="H241" s="6">
        <f t="shared" si="33"/>
        <v>0</v>
      </c>
      <c r="I241" s="416" t="e">
        <f t="shared" si="26"/>
        <v>#DIV/0!</v>
      </c>
    </row>
    <row r="242" spans="1:9" s="202" customFormat="1" ht="31.5" hidden="1" x14ac:dyDescent="0.25">
      <c r="A242" s="25" t="s">
        <v>279</v>
      </c>
      <c r="B242" s="20" t="s">
        <v>1334</v>
      </c>
      <c r="C242" s="40" t="s">
        <v>271</v>
      </c>
      <c r="D242" s="40" t="s">
        <v>220</v>
      </c>
      <c r="E242" s="40" t="s">
        <v>280</v>
      </c>
      <c r="F242" s="40"/>
      <c r="G242" s="6">
        <f t="shared" si="33"/>
        <v>0</v>
      </c>
      <c r="H242" s="6">
        <f t="shared" si="33"/>
        <v>0</v>
      </c>
      <c r="I242" s="416" t="e">
        <f t="shared" si="26"/>
        <v>#DIV/0!</v>
      </c>
    </row>
    <row r="243" spans="1:9" s="202" customFormat="1" ht="15.75" hidden="1" x14ac:dyDescent="0.25">
      <c r="A243" s="25" t="s">
        <v>281</v>
      </c>
      <c r="B243" s="20" t="s">
        <v>1334</v>
      </c>
      <c r="C243" s="40" t="s">
        <v>271</v>
      </c>
      <c r="D243" s="40" t="s">
        <v>220</v>
      </c>
      <c r="E243" s="40" t="s">
        <v>282</v>
      </c>
      <c r="F243" s="40"/>
      <c r="G243" s="6">
        <f>'Пр.4 ведом.21'!G632</f>
        <v>0</v>
      </c>
      <c r="H243" s="6">
        <f>'Пр.4 ведом.21'!H632</f>
        <v>0</v>
      </c>
      <c r="I243" s="416" t="e">
        <f t="shared" si="26"/>
        <v>#DIV/0!</v>
      </c>
    </row>
    <row r="244" spans="1:9" s="202" customFormat="1" ht="31.5" hidden="1" x14ac:dyDescent="0.25">
      <c r="A244" s="29" t="s">
        <v>410</v>
      </c>
      <c r="B244" s="20" t="s">
        <v>1334</v>
      </c>
      <c r="C244" s="40" t="s">
        <v>271</v>
      </c>
      <c r="D244" s="40" t="s">
        <v>220</v>
      </c>
      <c r="E244" s="40" t="s">
        <v>282</v>
      </c>
      <c r="F244" s="40" t="s">
        <v>644</v>
      </c>
      <c r="G244" s="10">
        <f>G243</f>
        <v>0</v>
      </c>
      <c r="H244" s="10">
        <f>H243</f>
        <v>0</v>
      </c>
      <c r="I244" s="416" t="e">
        <f t="shared" si="26"/>
        <v>#DIV/0!</v>
      </c>
    </row>
    <row r="245" spans="1:9" s="202" customFormat="1" ht="31.5" x14ac:dyDescent="0.25">
      <c r="A245" s="29" t="s">
        <v>289</v>
      </c>
      <c r="B245" s="20" t="s">
        <v>1268</v>
      </c>
      <c r="C245" s="40" t="s">
        <v>271</v>
      </c>
      <c r="D245" s="40" t="s">
        <v>220</v>
      </c>
      <c r="E245" s="40"/>
      <c r="F245" s="40"/>
      <c r="G245" s="10">
        <f t="shared" ref="G245:H246" si="34">G246</f>
        <v>224</v>
      </c>
      <c r="H245" s="10">
        <f t="shared" si="34"/>
        <v>70.900000000000006</v>
      </c>
      <c r="I245" s="416">
        <f t="shared" si="26"/>
        <v>31.651785714285719</v>
      </c>
    </row>
    <row r="246" spans="1:9" s="202" customFormat="1" ht="31.5" x14ac:dyDescent="0.25">
      <c r="A246" s="29" t="s">
        <v>279</v>
      </c>
      <c r="B246" s="20" t="s">
        <v>1268</v>
      </c>
      <c r="C246" s="40" t="s">
        <v>271</v>
      </c>
      <c r="D246" s="40" t="s">
        <v>220</v>
      </c>
      <c r="E246" s="40" t="s">
        <v>280</v>
      </c>
      <c r="F246" s="40"/>
      <c r="G246" s="10">
        <f t="shared" si="34"/>
        <v>224</v>
      </c>
      <c r="H246" s="10">
        <f t="shared" si="34"/>
        <v>70.900000000000006</v>
      </c>
      <c r="I246" s="416">
        <f t="shared" si="26"/>
        <v>31.651785714285719</v>
      </c>
    </row>
    <row r="247" spans="1:9" s="202" customFormat="1" ht="15.75" x14ac:dyDescent="0.25">
      <c r="A247" s="29" t="s">
        <v>281</v>
      </c>
      <c r="B247" s="20" t="s">
        <v>1268</v>
      </c>
      <c r="C247" s="40" t="s">
        <v>271</v>
      </c>
      <c r="D247" s="40" t="s">
        <v>220</v>
      </c>
      <c r="E247" s="40" t="s">
        <v>282</v>
      </c>
      <c r="F247" s="40"/>
      <c r="G247" s="10">
        <f>'Пр.4 ведом.21'!G635</f>
        <v>224</v>
      </c>
      <c r="H247" s="10">
        <f>'Пр.4 ведом.21'!H635</f>
        <v>70.900000000000006</v>
      </c>
      <c r="I247" s="416">
        <f t="shared" si="26"/>
        <v>31.651785714285719</v>
      </c>
    </row>
    <row r="248" spans="1:9" s="202" customFormat="1" ht="31.5" x14ac:dyDescent="0.25">
      <c r="A248" s="29" t="s">
        <v>410</v>
      </c>
      <c r="B248" s="20" t="s">
        <v>1268</v>
      </c>
      <c r="C248" s="40" t="s">
        <v>271</v>
      </c>
      <c r="D248" s="40" t="s">
        <v>220</v>
      </c>
      <c r="E248" s="40" t="s">
        <v>282</v>
      </c>
      <c r="F248" s="40" t="s">
        <v>644</v>
      </c>
      <c r="G248" s="10">
        <f>G247</f>
        <v>224</v>
      </c>
      <c r="H248" s="10">
        <f>H247</f>
        <v>70.900000000000006</v>
      </c>
      <c r="I248" s="416">
        <f t="shared" si="26"/>
        <v>31.651785714285719</v>
      </c>
    </row>
    <row r="249" spans="1:9" s="202" customFormat="1" ht="31.5" x14ac:dyDescent="0.25">
      <c r="A249" s="23" t="s">
        <v>953</v>
      </c>
      <c r="B249" s="24" t="s">
        <v>1254</v>
      </c>
      <c r="C249" s="7"/>
      <c r="D249" s="7"/>
      <c r="E249" s="7"/>
      <c r="F249" s="7"/>
      <c r="G249" s="59">
        <f>G250</f>
        <v>5561.1</v>
      </c>
      <c r="H249" s="59">
        <f>H250</f>
        <v>0</v>
      </c>
      <c r="I249" s="441">
        <f t="shared" si="26"/>
        <v>0</v>
      </c>
    </row>
    <row r="250" spans="1:9" s="202" customFormat="1" ht="15.75" x14ac:dyDescent="0.25">
      <c r="A250" s="29" t="s">
        <v>270</v>
      </c>
      <c r="B250" s="20" t="s">
        <v>1254</v>
      </c>
      <c r="C250" s="40" t="s">
        <v>271</v>
      </c>
      <c r="D250" s="40"/>
      <c r="E250" s="40"/>
      <c r="F250" s="40"/>
      <c r="G250" s="10">
        <f t="shared" ref="G250:H253" si="35">G251</f>
        <v>5561.1</v>
      </c>
      <c r="H250" s="10">
        <f t="shared" si="35"/>
        <v>0</v>
      </c>
      <c r="I250" s="416">
        <f t="shared" si="26"/>
        <v>0</v>
      </c>
    </row>
    <row r="251" spans="1:9" s="202" customFormat="1" ht="15.75" x14ac:dyDescent="0.25">
      <c r="A251" s="29" t="s">
        <v>473</v>
      </c>
      <c r="B251" s="20" t="s">
        <v>1254</v>
      </c>
      <c r="C251" s="40" t="s">
        <v>271</v>
      </c>
      <c r="D251" s="40" t="s">
        <v>271</v>
      </c>
      <c r="E251" s="40"/>
      <c r="F251" s="40"/>
      <c r="G251" s="10">
        <f>G252</f>
        <v>5561.1</v>
      </c>
      <c r="H251" s="10">
        <f>H252</f>
        <v>0</v>
      </c>
      <c r="I251" s="416">
        <f t="shared" si="26"/>
        <v>0</v>
      </c>
    </row>
    <row r="252" spans="1:9" s="202" customFormat="1" ht="31.5" x14ac:dyDescent="0.25">
      <c r="A252" s="31" t="s">
        <v>1070</v>
      </c>
      <c r="B252" s="20" t="s">
        <v>1276</v>
      </c>
      <c r="C252" s="40" t="s">
        <v>271</v>
      </c>
      <c r="D252" s="40" t="s">
        <v>271</v>
      </c>
      <c r="E252" s="40"/>
      <c r="F252" s="40"/>
      <c r="G252" s="10">
        <f t="shared" si="35"/>
        <v>5561.1</v>
      </c>
      <c r="H252" s="10">
        <f t="shared" si="35"/>
        <v>0</v>
      </c>
      <c r="I252" s="416">
        <f t="shared" si="26"/>
        <v>0</v>
      </c>
    </row>
    <row r="253" spans="1:9" s="202" customFormat="1" ht="31.5" x14ac:dyDescent="0.25">
      <c r="A253" s="25" t="s">
        <v>279</v>
      </c>
      <c r="B253" s="20" t="s">
        <v>1276</v>
      </c>
      <c r="C253" s="40" t="s">
        <v>271</v>
      </c>
      <c r="D253" s="40" t="s">
        <v>271</v>
      </c>
      <c r="E253" s="40" t="s">
        <v>280</v>
      </c>
      <c r="F253" s="40"/>
      <c r="G253" s="10">
        <f t="shared" si="35"/>
        <v>5561.1</v>
      </c>
      <c r="H253" s="10">
        <f t="shared" si="35"/>
        <v>0</v>
      </c>
      <c r="I253" s="416">
        <f t="shared" si="26"/>
        <v>0</v>
      </c>
    </row>
    <row r="254" spans="1:9" s="202" customFormat="1" ht="15.75" x14ac:dyDescent="0.25">
      <c r="A254" s="25" t="s">
        <v>281</v>
      </c>
      <c r="B254" s="20" t="s">
        <v>1276</v>
      </c>
      <c r="C254" s="40" t="s">
        <v>271</v>
      </c>
      <c r="D254" s="40" t="s">
        <v>271</v>
      </c>
      <c r="E254" s="40" t="s">
        <v>282</v>
      </c>
      <c r="F254" s="40"/>
      <c r="G254" s="10">
        <f>'Пр.4 ведом.21'!G718</f>
        <v>5561.1</v>
      </c>
      <c r="H254" s="10">
        <f>'Пр.4 ведом.21'!H718</f>
        <v>0</v>
      </c>
      <c r="I254" s="416">
        <f t="shared" si="26"/>
        <v>0</v>
      </c>
    </row>
    <row r="255" spans="1:9" s="202" customFormat="1" ht="31.5" x14ac:dyDescent="0.25">
      <c r="A255" s="29" t="s">
        <v>410</v>
      </c>
      <c r="B255" s="20" t="s">
        <v>1276</v>
      </c>
      <c r="C255" s="40" t="s">
        <v>271</v>
      </c>
      <c r="D255" s="40" t="s">
        <v>271</v>
      </c>
      <c r="E255" s="40" t="s">
        <v>282</v>
      </c>
      <c r="F255" s="40" t="s">
        <v>644</v>
      </c>
      <c r="G255" s="10">
        <f>G254</f>
        <v>5561.1</v>
      </c>
      <c r="H255" s="10">
        <f>H254</f>
        <v>0</v>
      </c>
      <c r="I255" s="416">
        <f t="shared" si="26"/>
        <v>0</v>
      </c>
    </row>
    <row r="256" spans="1:9" s="202" customFormat="1" ht="31.5" x14ac:dyDescent="0.25">
      <c r="A256" s="214" t="s">
        <v>958</v>
      </c>
      <c r="B256" s="24" t="s">
        <v>1255</v>
      </c>
      <c r="C256" s="7"/>
      <c r="D256" s="7"/>
      <c r="E256" s="7"/>
      <c r="F256" s="7"/>
      <c r="G256" s="4">
        <f>G257</f>
        <v>8448</v>
      </c>
      <c r="H256" s="4">
        <f>H257</f>
        <v>7547</v>
      </c>
      <c r="I256" s="441">
        <f t="shared" si="26"/>
        <v>89.334753787878782</v>
      </c>
    </row>
    <row r="257" spans="1:9" s="202" customFormat="1" ht="15.75" x14ac:dyDescent="0.25">
      <c r="A257" s="29" t="s">
        <v>270</v>
      </c>
      <c r="B257" s="20" t="s">
        <v>1255</v>
      </c>
      <c r="C257" s="40" t="s">
        <v>271</v>
      </c>
      <c r="D257" s="40"/>
      <c r="E257" s="40"/>
      <c r="F257" s="40"/>
      <c r="G257" s="10">
        <f>G258+G271+G280</f>
        <v>8448</v>
      </c>
      <c r="H257" s="10">
        <f>H258+H271+H280</f>
        <v>7547</v>
      </c>
      <c r="I257" s="416">
        <f t="shared" si="26"/>
        <v>89.334753787878782</v>
      </c>
    </row>
    <row r="258" spans="1:9" s="202" customFormat="1" ht="15.75" x14ac:dyDescent="0.25">
      <c r="A258" s="45" t="s">
        <v>411</v>
      </c>
      <c r="B258" s="20" t="s">
        <v>1255</v>
      </c>
      <c r="C258" s="40" t="s">
        <v>271</v>
      </c>
      <c r="D258" s="40" t="s">
        <v>125</v>
      </c>
      <c r="E258" s="40"/>
      <c r="F258" s="40"/>
      <c r="G258" s="10">
        <f>G259+G263+G267</f>
        <v>4348</v>
      </c>
      <c r="H258" s="10">
        <f>H259+H263+H267</f>
        <v>3447</v>
      </c>
      <c r="I258" s="416">
        <f t="shared" si="26"/>
        <v>79.277828886844532</v>
      </c>
    </row>
    <row r="259" spans="1:9" ht="31.7" hidden="1" customHeight="1" x14ac:dyDescent="0.25">
      <c r="A259" s="29" t="s">
        <v>291</v>
      </c>
      <c r="B259" s="20" t="s">
        <v>1273</v>
      </c>
      <c r="C259" s="40" t="s">
        <v>271</v>
      </c>
      <c r="D259" s="40" t="s">
        <v>125</v>
      </c>
      <c r="E259" s="40"/>
      <c r="F259" s="40"/>
      <c r="G259" s="10">
        <f t="shared" ref="G259:H260" si="36">G260</f>
        <v>0</v>
      </c>
      <c r="H259" s="10">
        <f t="shared" si="36"/>
        <v>0</v>
      </c>
      <c r="I259" s="416" t="e">
        <f t="shared" si="26"/>
        <v>#DIV/0!</v>
      </c>
    </row>
    <row r="260" spans="1:9" ht="31.7" hidden="1" customHeight="1" x14ac:dyDescent="0.25">
      <c r="A260" s="29" t="s">
        <v>279</v>
      </c>
      <c r="B260" s="20" t="s">
        <v>1273</v>
      </c>
      <c r="C260" s="40" t="s">
        <v>271</v>
      </c>
      <c r="D260" s="40" t="s">
        <v>125</v>
      </c>
      <c r="E260" s="40" t="s">
        <v>280</v>
      </c>
      <c r="F260" s="40"/>
      <c r="G260" s="10">
        <f t="shared" si="36"/>
        <v>0</v>
      </c>
      <c r="H260" s="10">
        <f t="shared" si="36"/>
        <v>0</v>
      </c>
      <c r="I260" s="416" t="e">
        <f t="shared" si="26"/>
        <v>#DIV/0!</v>
      </c>
    </row>
    <row r="261" spans="1:9" ht="15.75" hidden="1" customHeight="1" x14ac:dyDescent="0.25">
      <c r="A261" s="29" t="s">
        <v>281</v>
      </c>
      <c r="B261" s="20" t="s">
        <v>1273</v>
      </c>
      <c r="C261" s="40" t="s">
        <v>271</v>
      </c>
      <c r="D261" s="40" t="s">
        <v>125</v>
      </c>
      <c r="E261" s="40" t="s">
        <v>282</v>
      </c>
      <c r="F261" s="40"/>
      <c r="G261" s="10">
        <f>'Пр.4 ведом.21'!G570</f>
        <v>0</v>
      </c>
      <c r="H261" s="10">
        <f>'Пр.4 ведом.21'!H570</f>
        <v>0</v>
      </c>
      <c r="I261" s="416" t="e">
        <f t="shared" si="26"/>
        <v>#DIV/0!</v>
      </c>
    </row>
    <row r="262" spans="1:9" s="202" customFormat="1" ht="30.6" hidden="1" customHeight="1" x14ac:dyDescent="0.25">
      <c r="A262" s="29" t="s">
        <v>410</v>
      </c>
      <c r="B262" s="20" t="s">
        <v>1273</v>
      </c>
      <c r="C262" s="40" t="s">
        <v>271</v>
      </c>
      <c r="D262" s="40" t="s">
        <v>125</v>
      </c>
      <c r="E262" s="40" t="s">
        <v>282</v>
      </c>
      <c r="F262" s="40" t="s">
        <v>644</v>
      </c>
      <c r="G262" s="10">
        <f>G261</f>
        <v>0</v>
      </c>
      <c r="H262" s="10">
        <f>H261</f>
        <v>0</v>
      </c>
      <c r="I262" s="416" t="e">
        <f t="shared" si="26"/>
        <v>#DIV/0!</v>
      </c>
    </row>
    <row r="263" spans="1:9" ht="31.5" x14ac:dyDescent="0.25">
      <c r="A263" s="60" t="s">
        <v>774</v>
      </c>
      <c r="B263" s="20" t="s">
        <v>1256</v>
      </c>
      <c r="C263" s="20" t="s">
        <v>271</v>
      </c>
      <c r="D263" s="20" t="s">
        <v>125</v>
      </c>
      <c r="E263" s="20"/>
      <c r="F263" s="20"/>
      <c r="G263" s="10">
        <f t="shared" ref="G263:H264" si="37">G264</f>
        <v>3088</v>
      </c>
      <c r="H263" s="10">
        <f t="shared" si="37"/>
        <v>3088</v>
      </c>
      <c r="I263" s="416">
        <f t="shared" si="26"/>
        <v>100</v>
      </c>
    </row>
    <row r="264" spans="1:9" ht="31.5" x14ac:dyDescent="0.25">
      <c r="A264" s="29" t="s">
        <v>279</v>
      </c>
      <c r="B264" s="20" t="s">
        <v>1256</v>
      </c>
      <c r="C264" s="20" t="s">
        <v>271</v>
      </c>
      <c r="D264" s="20" t="s">
        <v>125</v>
      </c>
      <c r="E264" s="20" t="s">
        <v>280</v>
      </c>
      <c r="F264" s="20"/>
      <c r="G264" s="10">
        <f t="shared" si="37"/>
        <v>3088</v>
      </c>
      <c r="H264" s="10">
        <f t="shared" si="37"/>
        <v>3088</v>
      </c>
      <c r="I264" s="416">
        <f t="shared" si="26"/>
        <v>100</v>
      </c>
    </row>
    <row r="265" spans="1:9" ht="15.75" x14ac:dyDescent="0.25">
      <c r="A265" s="184" t="s">
        <v>281</v>
      </c>
      <c r="B265" s="20" t="s">
        <v>1256</v>
      </c>
      <c r="C265" s="20" t="s">
        <v>271</v>
      </c>
      <c r="D265" s="20" t="s">
        <v>125</v>
      </c>
      <c r="E265" s="20" t="s">
        <v>282</v>
      </c>
      <c r="F265" s="20"/>
      <c r="G265" s="10">
        <f>'Пр.4 ведом.21'!G573</f>
        <v>3088</v>
      </c>
      <c r="H265" s="10">
        <f>'Пр.4 ведом.21'!H573</f>
        <v>3088</v>
      </c>
      <c r="I265" s="416">
        <f t="shared" si="26"/>
        <v>100</v>
      </c>
    </row>
    <row r="266" spans="1:9" s="202" customFormat="1" ht="31.5" x14ac:dyDescent="0.25">
      <c r="A266" s="29" t="s">
        <v>410</v>
      </c>
      <c r="B266" s="20" t="s">
        <v>1256</v>
      </c>
      <c r="C266" s="40" t="s">
        <v>271</v>
      </c>
      <c r="D266" s="40" t="s">
        <v>125</v>
      </c>
      <c r="E266" s="40" t="s">
        <v>282</v>
      </c>
      <c r="F266" s="40" t="s">
        <v>644</v>
      </c>
      <c r="G266" s="10">
        <f>G265</f>
        <v>3088</v>
      </c>
      <c r="H266" s="10">
        <f>H265</f>
        <v>3088</v>
      </c>
      <c r="I266" s="416">
        <f t="shared" si="26"/>
        <v>100</v>
      </c>
    </row>
    <row r="267" spans="1:9" ht="47.25" x14ac:dyDescent="0.25">
      <c r="A267" s="60" t="s">
        <v>775</v>
      </c>
      <c r="B267" s="20" t="s">
        <v>1257</v>
      </c>
      <c r="C267" s="20" t="s">
        <v>271</v>
      </c>
      <c r="D267" s="20" t="s">
        <v>125</v>
      </c>
      <c r="E267" s="20"/>
      <c r="F267" s="20"/>
      <c r="G267" s="10">
        <f t="shared" ref="G267:H268" si="38">G268</f>
        <v>1260</v>
      </c>
      <c r="H267" s="10">
        <f t="shared" si="38"/>
        <v>359</v>
      </c>
      <c r="I267" s="416">
        <f t="shared" si="26"/>
        <v>28.49206349206349</v>
      </c>
    </row>
    <row r="268" spans="1:9" ht="31.5" x14ac:dyDescent="0.25">
      <c r="A268" s="29" t="s">
        <v>279</v>
      </c>
      <c r="B268" s="20" t="s">
        <v>1257</v>
      </c>
      <c r="C268" s="20" t="s">
        <v>271</v>
      </c>
      <c r="D268" s="20" t="s">
        <v>125</v>
      </c>
      <c r="E268" s="20" t="s">
        <v>280</v>
      </c>
      <c r="F268" s="20"/>
      <c r="G268" s="10">
        <f t="shared" si="38"/>
        <v>1260</v>
      </c>
      <c r="H268" s="10">
        <f t="shared" si="38"/>
        <v>359</v>
      </c>
      <c r="I268" s="416">
        <f t="shared" si="26"/>
        <v>28.49206349206349</v>
      </c>
    </row>
    <row r="269" spans="1:9" ht="15.75" x14ac:dyDescent="0.25">
      <c r="A269" s="184" t="s">
        <v>281</v>
      </c>
      <c r="B269" s="20" t="s">
        <v>1257</v>
      </c>
      <c r="C269" s="20" t="s">
        <v>271</v>
      </c>
      <c r="D269" s="20" t="s">
        <v>125</v>
      </c>
      <c r="E269" s="20" t="s">
        <v>282</v>
      </c>
      <c r="F269" s="20"/>
      <c r="G269" s="10">
        <f>'Пр.4 ведом.21'!G576</f>
        <v>1260</v>
      </c>
      <c r="H269" s="10">
        <f>'Пр.4 ведом.21'!H576</f>
        <v>359</v>
      </c>
      <c r="I269" s="416">
        <f t="shared" si="26"/>
        <v>28.49206349206349</v>
      </c>
    </row>
    <row r="270" spans="1:9" s="202" customFormat="1" ht="31.5" x14ac:dyDescent="0.25">
      <c r="A270" s="29" t="s">
        <v>410</v>
      </c>
      <c r="B270" s="20" t="s">
        <v>1257</v>
      </c>
      <c r="C270" s="40" t="s">
        <v>271</v>
      </c>
      <c r="D270" s="40" t="s">
        <v>125</v>
      </c>
      <c r="E270" s="40" t="s">
        <v>282</v>
      </c>
      <c r="F270" s="40" t="s">
        <v>644</v>
      </c>
      <c r="G270" s="10">
        <f>G269</f>
        <v>1260</v>
      </c>
      <c r="H270" s="10">
        <f>H269</f>
        <v>359</v>
      </c>
      <c r="I270" s="416">
        <f t="shared" si="26"/>
        <v>28.49206349206349</v>
      </c>
    </row>
    <row r="271" spans="1:9" s="202" customFormat="1" ht="15.75" x14ac:dyDescent="0.25">
      <c r="A271" s="29" t="s">
        <v>432</v>
      </c>
      <c r="B271" s="40" t="s">
        <v>1255</v>
      </c>
      <c r="C271" s="40" t="s">
        <v>271</v>
      </c>
      <c r="D271" s="40" t="s">
        <v>220</v>
      </c>
      <c r="E271" s="40"/>
      <c r="F271" s="40"/>
      <c r="G271" s="10">
        <f>G272+G276</f>
        <v>2700</v>
      </c>
      <c r="H271" s="10">
        <f>H272+H276</f>
        <v>2700</v>
      </c>
      <c r="I271" s="416">
        <f t="shared" si="26"/>
        <v>100</v>
      </c>
    </row>
    <row r="272" spans="1:9" s="202" customFormat="1" ht="31.5" hidden="1" x14ac:dyDescent="0.25">
      <c r="A272" s="29" t="s">
        <v>291</v>
      </c>
      <c r="B272" s="20" t="s">
        <v>1273</v>
      </c>
      <c r="C272" s="40" t="s">
        <v>271</v>
      </c>
      <c r="D272" s="40" t="s">
        <v>220</v>
      </c>
      <c r="E272" s="40"/>
      <c r="F272" s="40"/>
      <c r="G272" s="10">
        <f t="shared" ref="G272:H273" si="39">G273</f>
        <v>0</v>
      </c>
      <c r="H272" s="10">
        <f t="shared" si="39"/>
        <v>0</v>
      </c>
      <c r="I272" s="416" t="e">
        <f t="shared" si="26"/>
        <v>#DIV/0!</v>
      </c>
    </row>
    <row r="273" spans="1:9" s="202" customFormat="1" ht="31.5" hidden="1" x14ac:dyDescent="0.25">
      <c r="A273" s="29" t="s">
        <v>279</v>
      </c>
      <c r="B273" s="20" t="s">
        <v>1273</v>
      </c>
      <c r="C273" s="40" t="s">
        <v>271</v>
      </c>
      <c r="D273" s="40" t="s">
        <v>220</v>
      </c>
      <c r="E273" s="40" t="s">
        <v>280</v>
      </c>
      <c r="F273" s="40"/>
      <c r="G273" s="10">
        <f t="shared" si="39"/>
        <v>0</v>
      </c>
      <c r="H273" s="10">
        <f t="shared" si="39"/>
        <v>0</v>
      </c>
      <c r="I273" s="416" t="e">
        <f t="shared" si="26"/>
        <v>#DIV/0!</v>
      </c>
    </row>
    <row r="274" spans="1:9" s="202" customFormat="1" ht="15.75" hidden="1" x14ac:dyDescent="0.25">
      <c r="A274" s="29" t="s">
        <v>281</v>
      </c>
      <c r="B274" s="20" t="s">
        <v>1273</v>
      </c>
      <c r="C274" s="40" t="s">
        <v>271</v>
      </c>
      <c r="D274" s="40" t="s">
        <v>220</v>
      </c>
      <c r="E274" s="40" t="s">
        <v>282</v>
      </c>
      <c r="F274" s="40"/>
      <c r="G274" s="10">
        <f>'Пр.4 ведом.21'!G639</f>
        <v>0</v>
      </c>
      <c r="H274" s="10">
        <f>'Пр.4 ведом.21'!H639</f>
        <v>0</v>
      </c>
      <c r="I274" s="416" t="e">
        <f t="shared" ref="I274:I337" si="40">H274/G274*100</f>
        <v>#DIV/0!</v>
      </c>
    </row>
    <row r="275" spans="1:9" s="202" customFormat="1" ht="31.5" hidden="1" x14ac:dyDescent="0.25">
      <c r="A275" s="29" t="s">
        <v>410</v>
      </c>
      <c r="B275" s="20" t="s">
        <v>1273</v>
      </c>
      <c r="C275" s="40" t="s">
        <v>271</v>
      </c>
      <c r="D275" s="40" t="s">
        <v>220</v>
      </c>
      <c r="E275" s="40" t="s">
        <v>282</v>
      </c>
      <c r="F275" s="40" t="s">
        <v>644</v>
      </c>
      <c r="G275" s="10">
        <f>G274</f>
        <v>0</v>
      </c>
      <c r="H275" s="10">
        <f>H274</f>
        <v>0</v>
      </c>
      <c r="I275" s="416" t="e">
        <f t="shared" si="40"/>
        <v>#DIV/0!</v>
      </c>
    </row>
    <row r="276" spans="1:9" s="202" customFormat="1" ht="31.5" x14ac:dyDescent="0.25">
      <c r="A276" s="60" t="s">
        <v>774</v>
      </c>
      <c r="B276" s="20" t="s">
        <v>1256</v>
      </c>
      <c r="C276" s="40" t="s">
        <v>271</v>
      </c>
      <c r="D276" s="40" t="s">
        <v>220</v>
      </c>
      <c r="E276" s="40"/>
      <c r="F276" s="40"/>
      <c r="G276" s="10">
        <f t="shared" ref="G276:H277" si="41">G277</f>
        <v>2700</v>
      </c>
      <c r="H276" s="10">
        <f t="shared" si="41"/>
        <v>2700</v>
      </c>
      <c r="I276" s="416">
        <f t="shared" si="40"/>
        <v>100</v>
      </c>
    </row>
    <row r="277" spans="1:9" s="202" customFormat="1" ht="31.5" x14ac:dyDescent="0.25">
      <c r="A277" s="29" t="s">
        <v>279</v>
      </c>
      <c r="B277" s="20" t="s">
        <v>1256</v>
      </c>
      <c r="C277" s="40" t="s">
        <v>271</v>
      </c>
      <c r="D277" s="40" t="s">
        <v>220</v>
      </c>
      <c r="E277" s="40" t="s">
        <v>280</v>
      </c>
      <c r="F277" s="40"/>
      <c r="G277" s="10">
        <f t="shared" si="41"/>
        <v>2700</v>
      </c>
      <c r="H277" s="10">
        <f t="shared" si="41"/>
        <v>2700</v>
      </c>
      <c r="I277" s="416">
        <f t="shared" si="40"/>
        <v>100</v>
      </c>
    </row>
    <row r="278" spans="1:9" s="202" customFormat="1" ht="15.75" x14ac:dyDescent="0.25">
      <c r="A278" s="184" t="s">
        <v>281</v>
      </c>
      <c r="B278" s="20" t="s">
        <v>1256</v>
      </c>
      <c r="C278" s="40" t="s">
        <v>271</v>
      </c>
      <c r="D278" s="40" t="s">
        <v>220</v>
      </c>
      <c r="E278" s="40" t="s">
        <v>282</v>
      </c>
      <c r="F278" s="40"/>
      <c r="G278" s="10">
        <f>'Пр.4 ведом.21'!G642</f>
        <v>2700</v>
      </c>
      <c r="H278" s="10">
        <f>'Пр.4 ведом.21'!H642</f>
        <v>2700</v>
      </c>
      <c r="I278" s="416">
        <f t="shared" si="40"/>
        <v>100</v>
      </c>
    </row>
    <row r="279" spans="1:9" s="202" customFormat="1" ht="31.5" x14ac:dyDescent="0.25">
      <c r="A279" s="29" t="s">
        <v>410</v>
      </c>
      <c r="B279" s="20" t="s">
        <v>1256</v>
      </c>
      <c r="C279" s="40" t="s">
        <v>271</v>
      </c>
      <c r="D279" s="40" t="s">
        <v>220</v>
      </c>
      <c r="E279" s="40" t="s">
        <v>282</v>
      </c>
      <c r="F279" s="40" t="s">
        <v>644</v>
      </c>
      <c r="G279" s="10">
        <f>G278</f>
        <v>2700</v>
      </c>
      <c r="H279" s="10">
        <f>H278</f>
        <v>2700</v>
      </c>
      <c r="I279" s="416">
        <f t="shared" si="40"/>
        <v>100</v>
      </c>
    </row>
    <row r="280" spans="1:9" s="202" customFormat="1" ht="15.75" x14ac:dyDescent="0.25">
      <c r="A280" s="29" t="s">
        <v>272</v>
      </c>
      <c r="B280" s="40" t="s">
        <v>1255</v>
      </c>
      <c r="C280" s="40" t="s">
        <v>271</v>
      </c>
      <c r="D280" s="40" t="s">
        <v>222</v>
      </c>
      <c r="E280" s="40"/>
      <c r="F280" s="40"/>
      <c r="G280" s="10">
        <f>G281</f>
        <v>1400</v>
      </c>
      <c r="H280" s="10">
        <f>H281</f>
        <v>1400</v>
      </c>
      <c r="I280" s="416">
        <f t="shared" si="40"/>
        <v>100</v>
      </c>
    </row>
    <row r="281" spans="1:9" s="202" customFormat="1" ht="31.5" x14ac:dyDescent="0.25">
      <c r="A281" s="45" t="s">
        <v>774</v>
      </c>
      <c r="B281" s="20" t="s">
        <v>1256</v>
      </c>
      <c r="C281" s="20" t="s">
        <v>271</v>
      </c>
      <c r="D281" s="20" t="s">
        <v>222</v>
      </c>
      <c r="E281" s="20"/>
      <c r="F281" s="20"/>
      <c r="G281" s="10">
        <f t="shared" ref="G281:H282" si="42">G282</f>
        <v>1400</v>
      </c>
      <c r="H281" s="10">
        <f t="shared" si="42"/>
        <v>1400</v>
      </c>
      <c r="I281" s="416">
        <f t="shared" si="40"/>
        <v>100</v>
      </c>
    </row>
    <row r="282" spans="1:9" s="202" customFormat="1" ht="31.5" x14ac:dyDescent="0.25">
      <c r="A282" s="29" t="s">
        <v>279</v>
      </c>
      <c r="B282" s="20" t="s">
        <v>1256</v>
      </c>
      <c r="C282" s="20" t="s">
        <v>271</v>
      </c>
      <c r="D282" s="20" t="s">
        <v>222</v>
      </c>
      <c r="E282" s="20" t="s">
        <v>280</v>
      </c>
      <c r="F282" s="20"/>
      <c r="G282" s="10">
        <f t="shared" si="42"/>
        <v>1400</v>
      </c>
      <c r="H282" s="10">
        <f t="shared" si="42"/>
        <v>1400</v>
      </c>
      <c r="I282" s="416">
        <f t="shared" si="40"/>
        <v>100</v>
      </c>
    </row>
    <row r="283" spans="1:9" s="202" customFormat="1" ht="15.75" x14ac:dyDescent="0.25">
      <c r="A283" s="31" t="s">
        <v>281</v>
      </c>
      <c r="B283" s="20" t="s">
        <v>1256</v>
      </c>
      <c r="C283" s="20" t="s">
        <v>271</v>
      </c>
      <c r="D283" s="20" t="s">
        <v>222</v>
      </c>
      <c r="E283" s="20" t="s">
        <v>282</v>
      </c>
      <c r="F283" s="20"/>
      <c r="G283" s="10">
        <f>'Пр.4 ведом.21'!G707</f>
        <v>1400</v>
      </c>
      <c r="H283" s="10">
        <f>'Пр.4 ведом.21'!H707</f>
        <v>1400</v>
      </c>
      <c r="I283" s="416">
        <f t="shared" si="40"/>
        <v>100</v>
      </c>
    </row>
    <row r="284" spans="1:9" s="202" customFormat="1" ht="31.5" x14ac:dyDescent="0.25">
      <c r="A284" s="29" t="s">
        <v>410</v>
      </c>
      <c r="B284" s="20" t="s">
        <v>1256</v>
      </c>
      <c r="C284" s="40" t="s">
        <v>271</v>
      </c>
      <c r="D284" s="40" t="s">
        <v>222</v>
      </c>
      <c r="E284" s="40" t="s">
        <v>282</v>
      </c>
      <c r="F284" s="40" t="s">
        <v>644</v>
      </c>
      <c r="G284" s="10">
        <f>G283</f>
        <v>1400</v>
      </c>
      <c r="H284" s="10">
        <f>H283</f>
        <v>1400</v>
      </c>
      <c r="I284" s="416">
        <f t="shared" si="40"/>
        <v>100</v>
      </c>
    </row>
    <row r="285" spans="1:9" s="202" customFormat="1" ht="63" x14ac:dyDescent="0.25">
      <c r="A285" s="23" t="s">
        <v>943</v>
      </c>
      <c r="B285" s="24" t="s">
        <v>1258</v>
      </c>
      <c r="C285" s="24"/>
      <c r="D285" s="24"/>
      <c r="E285" s="24"/>
      <c r="F285" s="24"/>
      <c r="G285" s="59">
        <f>G286</f>
        <v>291.10000000000002</v>
      </c>
      <c r="H285" s="59">
        <f>H286</f>
        <v>0</v>
      </c>
      <c r="I285" s="441">
        <f t="shared" si="40"/>
        <v>0</v>
      </c>
    </row>
    <row r="286" spans="1:9" s="202" customFormat="1" ht="15.75" x14ac:dyDescent="0.25">
      <c r="A286" s="29" t="s">
        <v>270</v>
      </c>
      <c r="B286" s="20" t="s">
        <v>1258</v>
      </c>
      <c r="C286" s="40" t="s">
        <v>271</v>
      </c>
      <c r="D286" s="40"/>
      <c r="E286" s="40"/>
      <c r="F286" s="40"/>
      <c r="G286" s="10">
        <f t="shared" ref="G286:H286" si="43">G287</f>
        <v>291.10000000000002</v>
      </c>
      <c r="H286" s="10">
        <f t="shared" si="43"/>
        <v>0</v>
      </c>
      <c r="I286" s="416">
        <f t="shared" si="40"/>
        <v>0</v>
      </c>
    </row>
    <row r="287" spans="1:9" s="202" customFormat="1" ht="15.75" x14ac:dyDescent="0.25">
      <c r="A287" s="45" t="s">
        <v>411</v>
      </c>
      <c r="B287" s="20" t="s">
        <v>1258</v>
      </c>
      <c r="C287" s="40" t="s">
        <v>271</v>
      </c>
      <c r="D287" s="40" t="s">
        <v>125</v>
      </c>
      <c r="E287" s="40"/>
      <c r="F287" s="40"/>
      <c r="G287" s="10">
        <f t="shared" ref="G287:H289" si="44">G288</f>
        <v>291.10000000000002</v>
      </c>
      <c r="H287" s="10">
        <f t="shared" si="44"/>
        <v>0</v>
      </c>
      <c r="I287" s="416">
        <f t="shared" si="40"/>
        <v>0</v>
      </c>
    </row>
    <row r="288" spans="1:9" ht="112.7" customHeight="1" x14ac:dyDescent="0.25">
      <c r="A288" s="25" t="s">
        <v>1555</v>
      </c>
      <c r="B288" s="20" t="s">
        <v>1259</v>
      </c>
      <c r="C288" s="20" t="s">
        <v>271</v>
      </c>
      <c r="D288" s="20" t="s">
        <v>125</v>
      </c>
      <c r="E288" s="20"/>
      <c r="F288" s="20"/>
      <c r="G288" s="10">
        <f t="shared" si="44"/>
        <v>291.10000000000002</v>
      </c>
      <c r="H288" s="10">
        <f t="shared" si="44"/>
        <v>0</v>
      </c>
      <c r="I288" s="416">
        <f t="shared" si="40"/>
        <v>0</v>
      </c>
    </row>
    <row r="289" spans="1:9" ht="31.5" x14ac:dyDescent="0.25">
      <c r="A289" s="25" t="s">
        <v>279</v>
      </c>
      <c r="B289" s="20" t="s">
        <v>1259</v>
      </c>
      <c r="C289" s="20" t="s">
        <v>271</v>
      </c>
      <c r="D289" s="20" t="s">
        <v>125</v>
      </c>
      <c r="E289" s="20" t="s">
        <v>280</v>
      </c>
      <c r="F289" s="20"/>
      <c r="G289" s="10">
        <f t="shared" si="44"/>
        <v>291.10000000000002</v>
      </c>
      <c r="H289" s="10">
        <f t="shared" si="44"/>
        <v>0</v>
      </c>
      <c r="I289" s="416">
        <f t="shared" si="40"/>
        <v>0</v>
      </c>
    </row>
    <row r="290" spans="1:9" ht="15.75" x14ac:dyDescent="0.25">
      <c r="A290" s="25" t="s">
        <v>281</v>
      </c>
      <c r="B290" s="20" t="s">
        <v>1259</v>
      </c>
      <c r="C290" s="20" t="s">
        <v>271</v>
      </c>
      <c r="D290" s="20" t="s">
        <v>125</v>
      </c>
      <c r="E290" s="20" t="s">
        <v>282</v>
      </c>
      <c r="F290" s="20"/>
      <c r="G290" s="10">
        <f>'Пр.4 ведом.21'!G580</f>
        <v>291.10000000000002</v>
      </c>
      <c r="H290" s="10">
        <f>'Пр.4 ведом.21'!H580</f>
        <v>0</v>
      </c>
      <c r="I290" s="416">
        <f t="shared" si="40"/>
        <v>0</v>
      </c>
    </row>
    <row r="291" spans="1:9" s="202" customFormat="1" ht="31.5" x14ac:dyDescent="0.25">
      <c r="A291" s="29" t="s">
        <v>410</v>
      </c>
      <c r="B291" s="20" t="s">
        <v>1259</v>
      </c>
      <c r="C291" s="40" t="s">
        <v>271</v>
      </c>
      <c r="D291" s="40" t="s">
        <v>125</v>
      </c>
      <c r="E291" s="40" t="s">
        <v>282</v>
      </c>
      <c r="F291" s="40" t="s">
        <v>644</v>
      </c>
      <c r="G291" s="10">
        <f>G290</f>
        <v>291.10000000000002</v>
      </c>
      <c r="H291" s="10">
        <f>H290</f>
        <v>0</v>
      </c>
      <c r="I291" s="416">
        <f t="shared" si="40"/>
        <v>0</v>
      </c>
    </row>
    <row r="292" spans="1:9" s="202" customFormat="1" ht="31.5" x14ac:dyDescent="0.25">
      <c r="A292" s="23" t="s">
        <v>948</v>
      </c>
      <c r="B292" s="24" t="s">
        <v>1269</v>
      </c>
      <c r="C292" s="7"/>
      <c r="D292" s="7"/>
      <c r="E292" s="7"/>
      <c r="F292" s="7"/>
      <c r="G292" s="59">
        <f>G293</f>
        <v>3731.8</v>
      </c>
      <c r="H292" s="59">
        <f>H293</f>
        <v>424.23200000000003</v>
      </c>
      <c r="I292" s="441">
        <f t="shared" si="40"/>
        <v>11.3680261535988</v>
      </c>
    </row>
    <row r="293" spans="1:9" s="202" customFormat="1" ht="15.75" x14ac:dyDescent="0.25">
      <c r="A293" s="29" t="s">
        <v>270</v>
      </c>
      <c r="B293" s="20" t="s">
        <v>1269</v>
      </c>
      <c r="C293" s="40" t="s">
        <v>271</v>
      </c>
      <c r="D293" s="40"/>
      <c r="E293" s="40"/>
      <c r="F293" s="40"/>
      <c r="G293" s="10">
        <f t="shared" ref="G293:H293" si="45">G294</f>
        <v>3731.8</v>
      </c>
      <c r="H293" s="10">
        <f t="shared" si="45"/>
        <v>424.23200000000003</v>
      </c>
      <c r="I293" s="416">
        <f t="shared" si="40"/>
        <v>11.3680261535988</v>
      </c>
    </row>
    <row r="294" spans="1:9" s="202" customFormat="1" ht="15.75" x14ac:dyDescent="0.25">
      <c r="A294" s="29" t="s">
        <v>432</v>
      </c>
      <c r="B294" s="20" t="s">
        <v>1269</v>
      </c>
      <c r="C294" s="40" t="s">
        <v>271</v>
      </c>
      <c r="D294" s="40" t="s">
        <v>220</v>
      </c>
      <c r="E294" s="40"/>
      <c r="F294" s="40"/>
      <c r="G294" s="10">
        <f>G295</f>
        <v>3731.8</v>
      </c>
      <c r="H294" s="10">
        <f>H295</f>
        <v>424.23200000000003</v>
      </c>
      <c r="I294" s="416">
        <f t="shared" si="40"/>
        <v>11.3680261535988</v>
      </c>
    </row>
    <row r="295" spans="1:9" s="202" customFormat="1" ht="47.25" x14ac:dyDescent="0.25">
      <c r="A295" s="29" t="s">
        <v>610</v>
      </c>
      <c r="B295" s="20" t="s">
        <v>1270</v>
      </c>
      <c r="C295" s="40" t="s">
        <v>271</v>
      </c>
      <c r="D295" s="40" t="s">
        <v>220</v>
      </c>
      <c r="E295" s="40"/>
      <c r="F295" s="40"/>
      <c r="G295" s="10">
        <f t="shared" ref="G295:H296" si="46">G296</f>
        <v>3731.8</v>
      </c>
      <c r="H295" s="10">
        <f t="shared" si="46"/>
        <v>424.23200000000003</v>
      </c>
      <c r="I295" s="416">
        <f t="shared" si="40"/>
        <v>11.3680261535988</v>
      </c>
    </row>
    <row r="296" spans="1:9" s="202" customFormat="1" ht="31.5" x14ac:dyDescent="0.25">
      <c r="A296" s="29" t="s">
        <v>279</v>
      </c>
      <c r="B296" s="20" t="s">
        <v>1270</v>
      </c>
      <c r="C296" s="40" t="s">
        <v>271</v>
      </c>
      <c r="D296" s="40" t="s">
        <v>220</v>
      </c>
      <c r="E296" s="40" t="s">
        <v>280</v>
      </c>
      <c r="F296" s="40"/>
      <c r="G296" s="10">
        <f t="shared" si="46"/>
        <v>3731.8</v>
      </c>
      <c r="H296" s="10">
        <f t="shared" si="46"/>
        <v>424.23200000000003</v>
      </c>
      <c r="I296" s="416">
        <f t="shared" si="40"/>
        <v>11.3680261535988</v>
      </c>
    </row>
    <row r="297" spans="1:9" s="202" customFormat="1" ht="15.75" x14ac:dyDescent="0.25">
      <c r="A297" s="29" t="s">
        <v>281</v>
      </c>
      <c r="B297" s="20" t="s">
        <v>1270</v>
      </c>
      <c r="C297" s="40" t="s">
        <v>271</v>
      </c>
      <c r="D297" s="40" t="s">
        <v>220</v>
      </c>
      <c r="E297" s="40" t="s">
        <v>282</v>
      </c>
      <c r="F297" s="40"/>
      <c r="G297" s="6">
        <f>'Пр.4 ведом.21'!G646</f>
        <v>3731.8</v>
      </c>
      <c r="H297" s="6">
        <f>'Пр.4 ведом.21'!H646</f>
        <v>424.23200000000003</v>
      </c>
      <c r="I297" s="416">
        <f t="shared" si="40"/>
        <v>11.3680261535988</v>
      </c>
    </row>
    <row r="298" spans="1:9" s="202" customFormat="1" ht="31.5" x14ac:dyDescent="0.25">
      <c r="A298" s="29" t="s">
        <v>410</v>
      </c>
      <c r="B298" s="20" t="s">
        <v>1270</v>
      </c>
      <c r="C298" s="40" t="s">
        <v>271</v>
      </c>
      <c r="D298" s="40" t="s">
        <v>220</v>
      </c>
      <c r="E298" s="40" t="s">
        <v>282</v>
      </c>
      <c r="F298" s="40" t="s">
        <v>644</v>
      </c>
      <c r="G298" s="10">
        <f>G297</f>
        <v>3731.8</v>
      </c>
      <c r="H298" s="10">
        <f>H297</f>
        <v>424.23200000000003</v>
      </c>
      <c r="I298" s="416">
        <f t="shared" si="40"/>
        <v>11.3680261535988</v>
      </c>
    </row>
    <row r="299" spans="1:9" s="202" customFormat="1" ht="31.5" x14ac:dyDescent="0.25">
      <c r="A299" s="23" t="s">
        <v>949</v>
      </c>
      <c r="B299" s="24" t="s">
        <v>1271</v>
      </c>
      <c r="C299" s="7"/>
      <c r="D299" s="7"/>
      <c r="E299" s="7"/>
      <c r="F299" s="7"/>
      <c r="G299" s="59">
        <f>G300</f>
        <v>1384.6</v>
      </c>
      <c r="H299" s="59">
        <f>H300</f>
        <v>276</v>
      </c>
      <c r="I299" s="441">
        <f t="shared" si="40"/>
        <v>19.933554817275748</v>
      </c>
    </row>
    <row r="300" spans="1:9" s="202" customFormat="1" ht="15.75" x14ac:dyDescent="0.25">
      <c r="A300" s="29" t="s">
        <v>270</v>
      </c>
      <c r="B300" s="20" t="s">
        <v>1271</v>
      </c>
      <c r="C300" s="40" t="s">
        <v>271</v>
      </c>
      <c r="D300" s="40"/>
      <c r="E300" s="40"/>
      <c r="F300" s="40"/>
      <c r="G300" s="10">
        <f t="shared" ref="G300:H300" si="47">G301</f>
        <v>1384.6</v>
      </c>
      <c r="H300" s="10">
        <f t="shared" si="47"/>
        <v>276</v>
      </c>
      <c r="I300" s="416">
        <f t="shared" si="40"/>
        <v>19.933554817275748</v>
      </c>
    </row>
    <row r="301" spans="1:9" s="202" customFormat="1" ht="15.75" x14ac:dyDescent="0.25">
      <c r="A301" s="29" t="s">
        <v>432</v>
      </c>
      <c r="B301" s="20" t="s">
        <v>1271</v>
      </c>
      <c r="C301" s="40" t="s">
        <v>271</v>
      </c>
      <c r="D301" s="40" t="s">
        <v>220</v>
      </c>
      <c r="E301" s="40"/>
      <c r="F301" s="40"/>
      <c r="G301" s="10">
        <f t="shared" ref="G301:H303" si="48">G302</f>
        <v>1384.6</v>
      </c>
      <c r="H301" s="10">
        <f t="shared" si="48"/>
        <v>276</v>
      </c>
      <c r="I301" s="416">
        <f t="shared" si="40"/>
        <v>19.933554817275748</v>
      </c>
    </row>
    <row r="302" spans="1:9" s="202" customFormat="1" ht="47.25" x14ac:dyDescent="0.25">
      <c r="A302" s="25" t="s">
        <v>445</v>
      </c>
      <c r="B302" s="20" t="s">
        <v>1272</v>
      </c>
      <c r="C302" s="40" t="s">
        <v>271</v>
      </c>
      <c r="D302" s="40" t="s">
        <v>220</v>
      </c>
      <c r="E302" s="40"/>
      <c r="F302" s="40"/>
      <c r="G302" s="10">
        <f t="shared" si="48"/>
        <v>1384.6</v>
      </c>
      <c r="H302" s="10">
        <f t="shared" si="48"/>
        <v>276</v>
      </c>
      <c r="I302" s="416">
        <f t="shared" si="40"/>
        <v>19.933554817275748</v>
      </c>
    </row>
    <row r="303" spans="1:9" s="202" customFormat="1" ht="31.5" x14ac:dyDescent="0.25">
      <c r="A303" s="25" t="s">
        <v>279</v>
      </c>
      <c r="B303" s="20" t="s">
        <v>1272</v>
      </c>
      <c r="C303" s="40" t="s">
        <v>271</v>
      </c>
      <c r="D303" s="40" t="s">
        <v>220</v>
      </c>
      <c r="E303" s="40" t="s">
        <v>280</v>
      </c>
      <c r="F303" s="40"/>
      <c r="G303" s="10">
        <f t="shared" si="48"/>
        <v>1384.6</v>
      </c>
      <c r="H303" s="10">
        <f t="shared" si="48"/>
        <v>276</v>
      </c>
      <c r="I303" s="416">
        <f t="shared" si="40"/>
        <v>19.933554817275748</v>
      </c>
    </row>
    <row r="304" spans="1:9" s="202" customFormat="1" ht="15.75" x14ac:dyDescent="0.25">
      <c r="A304" s="25" t="s">
        <v>281</v>
      </c>
      <c r="B304" s="20" t="s">
        <v>1272</v>
      </c>
      <c r="C304" s="40" t="s">
        <v>271</v>
      </c>
      <c r="D304" s="40" t="s">
        <v>220</v>
      </c>
      <c r="E304" s="40" t="s">
        <v>282</v>
      </c>
      <c r="F304" s="40"/>
      <c r="G304" s="10">
        <f>'Пр.3 Рд,пр, ЦС,ВР 21'!F581</f>
        <v>1384.6</v>
      </c>
      <c r="H304" s="10">
        <f>'Пр.3 Рд,пр, ЦС,ВР 21'!G581</f>
        <v>276</v>
      </c>
      <c r="I304" s="416">
        <f t="shared" si="40"/>
        <v>19.933554817275748</v>
      </c>
    </row>
    <row r="305" spans="1:9" s="202" customFormat="1" ht="31.5" x14ac:dyDescent="0.25">
      <c r="A305" s="29" t="s">
        <v>410</v>
      </c>
      <c r="B305" s="20" t="s">
        <v>1272</v>
      </c>
      <c r="C305" s="40" t="s">
        <v>271</v>
      </c>
      <c r="D305" s="40" t="s">
        <v>220</v>
      </c>
      <c r="E305" s="40" t="s">
        <v>282</v>
      </c>
      <c r="F305" s="40" t="s">
        <v>644</v>
      </c>
      <c r="G305" s="10">
        <f>G304</f>
        <v>1384.6</v>
      </c>
      <c r="H305" s="10">
        <f>H304</f>
        <v>276</v>
      </c>
      <c r="I305" s="416">
        <f t="shared" si="40"/>
        <v>19.933554817275748</v>
      </c>
    </row>
    <row r="306" spans="1:9" s="202" customFormat="1" ht="31.5" x14ac:dyDescent="0.25">
      <c r="A306" s="212" t="s">
        <v>950</v>
      </c>
      <c r="B306" s="24" t="s">
        <v>1274</v>
      </c>
      <c r="C306" s="7"/>
      <c r="D306" s="7"/>
      <c r="E306" s="7"/>
      <c r="F306" s="7"/>
      <c r="G306" s="59">
        <f>G307</f>
        <v>752.9</v>
      </c>
      <c r="H306" s="59">
        <f>H307</f>
        <v>148.57</v>
      </c>
      <c r="I306" s="441">
        <f t="shared" si="40"/>
        <v>19.73303227520255</v>
      </c>
    </row>
    <row r="307" spans="1:9" s="202" customFormat="1" ht="15.75" x14ac:dyDescent="0.25">
      <c r="A307" s="29" t="s">
        <v>270</v>
      </c>
      <c r="B307" s="20" t="s">
        <v>1274</v>
      </c>
      <c r="C307" s="40" t="s">
        <v>271</v>
      </c>
      <c r="D307" s="40"/>
      <c r="E307" s="40"/>
      <c r="F307" s="40"/>
      <c r="G307" s="10">
        <f t="shared" ref="G307:H307" si="49">G308</f>
        <v>752.9</v>
      </c>
      <c r="H307" s="10">
        <f t="shared" si="49"/>
        <v>148.57</v>
      </c>
      <c r="I307" s="416">
        <f t="shared" si="40"/>
        <v>19.73303227520255</v>
      </c>
    </row>
    <row r="308" spans="1:9" s="202" customFormat="1" ht="15.75" x14ac:dyDescent="0.25">
      <c r="A308" s="29" t="s">
        <v>432</v>
      </c>
      <c r="B308" s="20" t="s">
        <v>1274</v>
      </c>
      <c r="C308" s="40" t="s">
        <v>271</v>
      </c>
      <c r="D308" s="40" t="s">
        <v>220</v>
      </c>
      <c r="E308" s="40"/>
      <c r="F308" s="40"/>
      <c r="G308" s="10">
        <f t="shared" ref="G308:H310" si="50">G309</f>
        <v>752.9</v>
      </c>
      <c r="H308" s="10">
        <f t="shared" si="50"/>
        <v>148.57</v>
      </c>
      <c r="I308" s="416">
        <f t="shared" si="40"/>
        <v>19.73303227520255</v>
      </c>
    </row>
    <row r="309" spans="1:9" s="202" customFormat="1" ht="47.25" x14ac:dyDescent="0.25">
      <c r="A309" s="184" t="s">
        <v>838</v>
      </c>
      <c r="B309" s="20" t="s">
        <v>1444</v>
      </c>
      <c r="C309" s="40" t="s">
        <v>271</v>
      </c>
      <c r="D309" s="40" t="s">
        <v>220</v>
      </c>
      <c r="E309" s="40"/>
      <c r="F309" s="40"/>
      <c r="G309" s="10">
        <f t="shared" si="50"/>
        <v>752.9</v>
      </c>
      <c r="H309" s="10">
        <f t="shared" si="50"/>
        <v>148.57</v>
      </c>
      <c r="I309" s="416">
        <f t="shared" si="40"/>
        <v>19.73303227520255</v>
      </c>
    </row>
    <row r="310" spans="1:9" s="202" customFormat="1" ht="31.5" x14ac:dyDescent="0.25">
      <c r="A310" s="29" t="s">
        <v>279</v>
      </c>
      <c r="B310" s="20" t="s">
        <v>1444</v>
      </c>
      <c r="C310" s="40" t="s">
        <v>271</v>
      </c>
      <c r="D310" s="40" t="s">
        <v>220</v>
      </c>
      <c r="E310" s="40" t="s">
        <v>280</v>
      </c>
      <c r="F310" s="40"/>
      <c r="G310" s="10">
        <f t="shared" si="50"/>
        <v>752.9</v>
      </c>
      <c r="H310" s="10">
        <f t="shared" si="50"/>
        <v>148.57</v>
      </c>
      <c r="I310" s="416">
        <f t="shared" si="40"/>
        <v>19.73303227520255</v>
      </c>
    </row>
    <row r="311" spans="1:9" s="202" customFormat="1" ht="15.75" x14ac:dyDescent="0.25">
      <c r="A311" s="184" t="s">
        <v>281</v>
      </c>
      <c r="B311" s="20" t="s">
        <v>1444</v>
      </c>
      <c r="C311" s="40" t="s">
        <v>271</v>
      </c>
      <c r="D311" s="40" t="s">
        <v>220</v>
      </c>
      <c r="E311" s="40" t="s">
        <v>282</v>
      </c>
      <c r="F311" s="40"/>
      <c r="G311" s="10">
        <f>'Пр.3 Рд,пр, ЦС,ВР 21'!F585</f>
        <v>752.9</v>
      </c>
      <c r="H311" s="10">
        <f>'Пр.3 Рд,пр, ЦС,ВР 21'!G585</f>
        <v>148.57</v>
      </c>
      <c r="I311" s="416">
        <f t="shared" si="40"/>
        <v>19.73303227520255</v>
      </c>
    </row>
    <row r="312" spans="1:9" s="202" customFormat="1" ht="31.5" x14ac:dyDescent="0.25">
      <c r="A312" s="29" t="s">
        <v>410</v>
      </c>
      <c r="B312" s="20" t="s">
        <v>1444</v>
      </c>
      <c r="C312" s="40" t="s">
        <v>271</v>
      </c>
      <c r="D312" s="40" t="s">
        <v>220</v>
      </c>
      <c r="E312" s="40" t="s">
        <v>282</v>
      </c>
      <c r="F312" s="40" t="s">
        <v>644</v>
      </c>
      <c r="G312" s="10">
        <f>G311</f>
        <v>752.9</v>
      </c>
      <c r="H312" s="10">
        <f>H311</f>
        <v>148.57</v>
      </c>
      <c r="I312" s="416">
        <f t="shared" si="40"/>
        <v>19.73303227520255</v>
      </c>
    </row>
    <row r="313" spans="1:9" s="202" customFormat="1" ht="94.5" x14ac:dyDescent="0.25">
      <c r="A313" s="23" t="s">
        <v>1428</v>
      </c>
      <c r="B313" s="24" t="s">
        <v>1261</v>
      </c>
      <c r="C313" s="24"/>
      <c r="D313" s="24"/>
      <c r="E313" s="40"/>
      <c r="F313" s="40"/>
      <c r="G313" s="59">
        <f t="shared" ref="G313:H317" si="51">G314</f>
        <v>1666.6</v>
      </c>
      <c r="H313" s="59">
        <f t="shared" si="51"/>
        <v>0</v>
      </c>
      <c r="I313" s="441">
        <f t="shared" si="40"/>
        <v>0</v>
      </c>
    </row>
    <row r="314" spans="1:9" s="202" customFormat="1" ht="15.75" x14ac:dyDescent="0.25">
      <c r="A314" s="29" t="s">
        <v>270</v>
      </c>
      <c r="B314" s="20" t="s">
        <v>1261</v>
      </c>
      <c r="C314" s="20" t="s">
        <v>271</v>
      </c>
      <c r="D314" s="20"/>
      <c r="E314" s="40"/>
      <c r="F314" s="40"/>
      <c r="G314" s="10">
        <f t="shared" si="51"/>
        <v>1666.6</v>
      </c>
      <c r="H314" s="10">
        <f t="shared" si="51"/>
        <v>0</v>
      </c>
      <c r="I314" s="416">
        <f t="shared" si="40"/>
        <v>0</v>
      </c>
    </row>
    <row r="315" spans="1:9" s="202" customFormat="1" ht="15.75" x14ac:dyDescent="0.25">
      <c r="A315" s="45" t="s">
        <v>411</v>
      </c>
      <c r="B315" s="20" t="s">
        <v>1261</v>
      </c>
      <c r="C315" s="20" t="s">
        <v>271</v>
      </c>
      <c r="D315" s="20" t="s">
        <v>125</v>
      </c>
      <c r="E315" s="40"/>
      <c r="F315" s="40"/>
      <c r="G315" s="10">
        <f t="shared" si="51"/>
        <v>1666.6</v>
      </c>
      <c r="H315" s="10">
        <f t="shared" si="51"/>
        <v>0</v>
      </c>
      <c r="I315" s="416">
        <f t="shared" si="40"/>
        <v>0</v>
      </c>
    </row>
    <row r="316" spans="1:9" s="202" customFormat="1" ht="102.2" customHeight="1" x14ac:dyDescent="0.25">
      <c r="A316" s="150" t="s">
        <v>1538</v>
      </c>
      <c r="B316" s="20" t="s">
        <v>1262</v>
      </c>
      <c r="C316" s="20" t="s">
        <v>271</v>
      </c>
      <c r="D316" s="20" t="s">
        <v>125</v>
      </c>
      <c r="E316" s="40"/>
      <c r="F316" s="40"/>
      <c r="G316" s="10">
        <f t="shared" si="51"/>
        <v>1666.6</v>
      </c>
      <c r="H316" s="10">
        <f t="shared" si="51"/>
        <v>0</v>
      </c>
      <c r="I316" s="416">
        <f t="shared" si="40"/>
        <v>0</v>
      </c>
    </row>
    <row r="317" spans="1:9" s="202" customFormat="1" ht="31.5" x14ac:dyDescent="0.25">
      <c r="A317" s="25" t="s">
        <v>279</v>
      </c>
      <c r="B317" s="20" t="s">
        <v>1262</v>
      </c>
      <c r="C317" s="20" t="s">
        <v>271</v>
      </c>
      <c r="D317" s="20" t="s">
        <v>125</v>
      </c>
      <c r="E317" s="20" t="s">
        <v>280</v>
      </c>
      <c r="F317" s="40"/>
      <c r="G317" s="10">
        <f t="shared" si="51"/>
        <v>1666.6</v>
      </c>
      <c r="H317" s="10">
        <f t="shared" si="51"/>
        <v>0</v>
      </c>
      <c r="I317" s="416">
        <f t="shared" si="40"/>
        <v>0</v>
      </c>
    </row>
    <row r="318" spans="1:9" s="202" customFormat="1" ht="15.75" x14ac:dyDescent="0.25">
      <c r="A318" s="25" t="s">
        <v>281</v>
      </c>
      <c r="B318" s="20" t="s">
        <v>1262</v>
      </c>
      <c r="C318" s="20" t="s">
        <v>271</v>
      </c>
      <c r="D318" s="20" t="s">
        <v>125</v>
      </c>
      <c r="E318" s="20" t="s">
        <v>282</v>
      </c>
      <c r="F318" s="40"/>
      <c r="G318" s="10">
        <f>'Пр.4 ведом.21'!G584</f>
        <v>1666.6</v>
      </c>
      <c r="H318" s="10">
        <f>'Пр.4 ведом.21'!H584</f>
        <v>0</v>
      </c>
      <c r="I318" s="416">
        <f t="shared" si="40"/>
        <v>0</v>
      </c>
    </row>
    <row r="319" spans="1:9" s="202" customFormat="1" ht="31.5" x14ac:dyDescent="0.25">
      <c r="A319" s="29" t="s">
        <v>410</v>
      </c>
      <c r="B319" s="20" t="s">
        <v>1262</v>
      </c>
      <c r="C319" s="20" t="s">
        <v>271</v>
      </c>
      <c r="D319" s="20" t="s">
        <v>125</v>
      </c>
      <c r="E319" s="20" t="s">
        <v>282</v>
      </c>
      <c r="F319" s="40" t="s">
        <v>644</v>
      </c>
      <c r="G319" s="10">
        <f>G314</f>
        <v>1666.6</v>
      </c>
      <c r="H319" s="10">
        <f>H314</f>
        <v>0</v>
      </c>
      <c r="I319" s="416">
        <f t="shared" si="40"/>
        <v>0</v>
      </c>
    </row>
    <row r="320" spans="1:9" s="202" customFormat="1" ht="31.5" x14ac:dyDescent="0.25">
      <c r="A320" s="289" t="s">
        <v>1422</v>
      </c>
      <c r="B320" s="24" t="s">
        <v>1421</v>
      </c>
      <c r="C320" s="24"/>
      <c r="D320" s="24"/>
      <c r="E320" s="24"/>
      <c r="F320" s="7"/>
      <c r="G320" s="59">
        <f t="shared" ref="G320:H324" si="52">G321</f>
        <v>5296.5999999999995</v>
      </c>
      <c r="H320" s="59">
        <f t="shared" si="52"/>
        <v>1324.577</v>
      </c>
      <c r="I320" s="441">
        <f t="shared" si="40"/>
        <v>25.008061775478613</v>
      </c>
    </row>
    <row r="321" spans="1:9" s="202" customFormat="1" ht="15.75" x14ac:dyDescent="0.25">
      <c r="A321" s="184" t="s">
        <v>270</v>
      </c>
      <c r="B321" s="20" t="s">
        <v>1421</v>
      </c>
      <c r="C321" s="20" t="s">
        <v>271</v>
      </c>
      <c r="D321" s="20"/>
      <c r="E321" s="20"/>
      <c r="F321" s="40"/>
      <c r="G321" s="10">
        <f t="shared" si="52"/>
        <v>5296.5999999999995</v>
      </c>
      <c r="H321" s="10">
        <f t="shared" si="52"/>
        <v>1324.577</v>
      </c>
      <c r="I321" s="416">
        <f t="shared" si="40"/>
        <v>25.008061775478613</v>
      </c>
    </row>
    <row r="322" spans="1:9" s="202" customFormat="1" ht="15.75" x14ac:dyDescent="0.25">
      <c r="A322" s="184" t="s">
        <v>432</v>
      </c>
      <c r="B322" s="20" t="s">
        <v>1421</v>
      </c>
      <c r="C322" s="20" t="s">
        <v>271</v>
      </c>
      <c r="D322" s="20" t="s">
        <v>220</v>
      </c>
      <c r="E322" s="20"/>
      <c r="F322" s="40"/>
      <c r="G322" s="10">
        <f t="shared" si="52"/>
        <v>5296.5999999999995</v>
      </c>
      <c r="H322" s="10">
        <f t="shared" si="52"/>
        <v>1324.577</v>
      </c>
      <c r="I322" s="416">
        <f t="shared" si="40"/>
        <v>25.008061775478613</v>
      </c>
    </row>
    <row r="323" spans="1:9" s="202" customFormat="1" ht="63" x14ac:dyDescent="0.25">
      <c r="A323" s="288" t="s">
        <v>1408</v>
      </c>
      <c r="B323" s="20" t="s">
        <v>1475</v>
      </c>
      <c r="C323" s="20" t="s">
        <v>271</v>
      </c>
      <c r="D323" s="20" t="s">
        <v>220</v>
      </c>
      <c r="E323" s="20"/>
      <c r="F323" s="40"/>
      <c r="G323" s="10">
        <f t="shared" si="52"/>
        <v>5296.5999999999995</v>
      </c>
      <c r="H323" s="10">
        <f t="shared" si="52"/>
        <v>1324.577</v>
      </c>
      <c r="I323" s="416">
        <f t="shared" si="40"/>
        <v>25.008061775478613</v>
      </c>
    </row>
    <row r="324" spans="1:9" s="202" customFormat="1" ht="31.5" x14ac:dyDescent="0.25">
      <c r="A324" s="31" t="s">
        <v>279</v>
      </c>
      <c r="B324" s="20" t="s">
        <v>1475</v>
      </c>
      <c r="C324" s="20" t="s">
        <v>271</v>
      </c>
      <c r="D324" s="20" t="s">
        <v>220</v>
      </c>
      <c r="E324" s="20" t="s">
        <v>280</v>
      </c>
      <c r="F324" s="40"/>
      <c r="G324" s="10">
        <f t="shared" si="52"/>
        <v>5296.5999999999995</v>
      </c>
      <c r="H324" s="10">
        <f t="shared" si="52"/>
        <v>1324.577</v>
      </c>
      <c r="I324" s="416">
        <f t="shared" si="40"/>
        <v>25.008061775478613</v>
      </c>
    </row>
    <row r="325" spans="1:9" s="202" customFormat="1" ht="15.75" x14ac:dyDescent="0.25">
      <c r="A325" s="31" t="s">
        <v>281</v>
      </c>
      <c r="B325" s="20" t="s">
        <v>1475</v>
      </c>
      <c r="C325" s="20" t="s">
        <v>271</v>
      </c>
      <c r="D325" s="20" t="s">
        <v>220</v>
      </c>
      <c r="E325" s="20" t="s">
        <v>282</v>
      </c>
      <c r="F325" s="40"/>
      <c r="G325" s="10">
        <f>'Пр.4 ведом.21'!G658</f>
        <v>5296.5999999999995</v>
      </c>
      <c r="H325" s="10">
        <f>'Пр.4 ведом.21'!H658</f>
        <v>1324.577</v>
      </c>
      <c r="I325" s="416">
        <f t="shared" si="40"/>
        <v>25.008061775478613</v>
      </c>
    </row>
    <row r="326" spans="1:9" s="202" customFormat="1" ht="31.5" x14ac:dyDescent="0.25">
      <c r="A326" s="184" t="s">
        <v>410</v>
      </c>
      <c r="B326" s="20" t="s">
        <v>1475</v>
      </c>
      <c r="C326" s="20" t="s">
        <v>271</v>
      </c>
      <c r="D326" s="20" t="s">
        <v>220</v>
      </c>
      <c r="E326" s="20" t="s">
        <v>282</v>
      </c>
      <c r="F326" s="40" t="s">
        <v>644</v>
      </c>
      <c r="G326" s="10">
        <f>G320</f>
        <v>5296.5999999999995</v>
      </c>
      <c r="H326" s="10">
        <f>H320</f>
        <v>1324.577</v>
      </c>
      <c r="I326" s="416">
        <f t="shared" si="40"/>
        <v>25.008061775478613</v>
      </c>
    </row>
    <row r="327" spans="1:9" s="202" customFormat="1" ht="31.5" x14ac:dyDescent="0.25">
      <c r="A327" s="289" t="s">
        <v>1450</v>
      </c>
      <c r="B327" s="24" t="s">
        <v>1432</v>
      </c>
      <c r="C327" s="20"/>
      <c r="D327" s="20"/>
      <c r="E327" s="20"/>
      <c r="F327" s="40"/>
      <c r="G327" s="59">
        <f t="shared" ref="G327:H331" si="53">G328</f>
        <v>1714</v>
      </c>
      <c r="H327" s="59">
        <f t="shared" si="53"/>
        <v>0</v>
      </c>
      <c r="I327" s="441">
        <f t="shared" si="40"/>
        <v>0</v>
      </c>
    </row>
    <row r="328" spans="1:9" s="202" customFormat="1" ht="15.75" x14ac:dyDescent="0.25">
      <c r="A328" s="184" t="s">
        <v>270</v>
      </c>
      <c r="B328" s="20" t="s">
        <v>1432</v>
      </c>
      <c r="C328" s="20" t="s">
        <v>271</v>
      </c>
      <c r="D328" s="20"/>
      <c r="E328" s="20"/>
      <c r="F328" s="40"/>
      <c r="G328" s="10">
        <f t="shared" si="53"/>
        <v>1714</v>
      </c>
      <c r="H328" s="10">
        <f t="shared" si="53"/>
        <v>0</v>
      </c>
      <c r="I328" s="416">
        <f t="shared" si="40"/>
        <v>0</v>
      </c>
    </row>
    <row r="329" spans="1:9" s="202" customFormat="1" ht="15.75" x14ac:dyDescent="0.25">
      <c r="A329" s="184" t="s">
        <v>432</v>
      </c>
      <c r="B329" s="20" t="s">
        <v>1432</v>
      </c>
      <c r="C329" s="20" t="s">
        <v>271</v>
      </c>
      <c r="D329" s="20" t="s">
        <v>220</v>
      </c>
      <c r="E329" s="20"/>
      <c r="F329" s="40"/>
      <c r="G329" s="10">
        <f t="shared" si="53"/>
        <v>1714</v>
      </c>
      <c r="H329" s="10">
        <f t="shared" si="53"/>
        <v>0</v>
      </c>
      <c r="I329" s="416">
        <f t="shared" si="40"/>
        <v>0</v>
      </c>
    </row>
    <row r="330" spans="1:9" s="202" customFormat="1" ht="21.2" customHeight="1" x14ac:dyDescent="0.25">
      <c r="A330" s="288" t="s">
        <v>1433</v>
      </c>
      <c r="B330" s="20" t="s">
        <v>1434</v>
      </c>
      <c r="C330" s="20" t="s">
        <v>271</v>
      </c>
      <c r="D330" s="20" t="s">
        <v>220</v>
      </c>
      <c r="E330" s="20"/>
      <c r="F330" s="40"/>
      <c r="G330" s="10">
        <f t="shared" si="53"/>
        <v>1714</v>
      </c>
      <c r="H330" s="10">
        <f t="shared" si="53"/>
        <v>0</v>
      </c>
      <c r="I330" s="416">
        <f t="shared" si="40"/>
        <v>0</v>
      </c>
    </row>
    <row r="331" spans="1:9" s="202" customFormat="1" ht="31.5" x14ac:dyDescent="0.25">
      <c r="A331" s="31" t="s">
        <v>279</v>
      </c>
      <c r="B331" s="20" t="s">
        <v>1434</v>
      </c>
      <c r="C331" s="20" t="s">
        <v>271</v>
      </c>
      <c r="D331" s="20" t="s">
        <v>220</v>
      </c>
      <c r="E331" s="20" t="s">
        <v>280</v>
      </c>
      <c r="F331" s="40"/>
      <c r="G331" s="10">
        <f t="shared" si="53"/>
        <v>1714</v>
      </c>
      <c r="H331" s="10">
        <f t="shared" si="53"/>
        <v>0</v>
      </c>
      <c r="I331" s="416">
        <f t="shared" si="40"/>
        <v>0</v>
      </c>
    </row>
    <row r="332" spans="1:9" s="202" customFormat="1" ht="15.75" x14ac:dyDescent="0.25">
      <c r="A332" s="31" t="s">
        <v>281</v>
      </c>
      <c r="B332" s="20" t="s">
        <v>1434</v>
      </c>
      <c r="C332" s="20" t="s">
        <v>271</v>
      </c>
      <c r="D332" s="20" t="s">
        <v>220</v>
      </c>
      <c r="E332" s="20" t="s">
        <v>282</v>
      </c>
      <c r="F332" s="40"/>
      <c r="G332" s="10">
        <f>'Пр.4 ведом.21'!G662</f>
        <v>1714</v>
      </c>
      <c r="H332" s="10">
        <f>'Пр.4 ведом.21'!H662</f>
        <v>0</v>
      </c>
      <c r="I332" s="416">
        <f t="shared" si="40"/>
        <v>0</v>
      </c>
    </row>
    <row r="333" spans="1:9" s="202" customFormat="1" ht="31.5" x14ac:dyDescent="0.25">
      <c r="A333" s="184" t="s">
        <v>410</v>
      </c>
      <c r="B333" s="20" t="s">
        <v>1434</v>
      </c>
      <c r="C333" s="20" t="s">
        <v>271</v>
      </c>
      <c r="D333" s="20" t="s">
        <v>220</v>
      </c>
      <c r="E333" s="20" t="s">
        <v>282</v>
      </c>
      <c r="F333" s="40" t="s">
        <v>644</v>
      </c>
      <c r="G333" s="10">
        <f>G330</f>
        <v>1714</v>
      </c>
      <c r="H333" s="10">
        <f>H330</f>
        <v>0</v>
      </c>
      <c r="I333" s="416">
        <f t="shared" si="40"/>
        <v>0</v>
      </c>
    </row>
    <row r="334" spans="1:9" s="202" customFormat="1" ht="48.2" customHeight="1" x14ac:dyDescent="0.25">
      <c r="A334" s="212" t="s">
        <v>1186</v>
      </c>
      <c r="B334" s="24" t="s">
        <v>1335</v>
      </c>
      <c r="C334" s="40"/>
      <c r="D334" s="40"/>
      <c r="E334" s="40"/>
      <c r="F334" s="40"/>
      <c r="G334" s="59">
        <f t="shared" ref="G334:H338" si="54">G335</f>
        <v>1570.7</v>
      </c>
      <c r="H334" s="59">
        <f t="shared" si="54"/>
        <v>0</v>
      </c>
      <c r="I334" s="441">
        <f t="shared" si="40"/>
        <v>0</v>
      </c>
    </row>
    <row r="335" spans="1:9" s="202" customFormat="1" ht="15" customHeight="1" x14ac:dyDescent="0.25">
      <c r="A335" s="29" t="s">
        <v>270</v>
      </c>
      <c r="B335" s="20" t="s">
        <v>1335</v>
      </c>
      <c r="C335" s="40" t="s">
        <v>271</v>
      </c>
      <c r="D335" s="40"/>
      <c r="E335" s="40"/>
      <c r="F335" s="40"/>
      <c r="G335" s="10">
        <f t="shared" si="54"/>
        <v>1570.7</v>
      </c>
      <c r="H335" s="10">
        <f t="shared" si="54"/>
        <v>0</v>
      </c>
      <c r="I335" s="416">
        <f t="shared" si="40"/>
        <v>0</v>
      </c>
    </row>
    <row r="336" spans="1:9" s="202" customFormat="1" ht="19.5" customHeight="1" x14ac:dyDescent="0.25">
      <c r="A336" s="29" t="s">
        <v>432</v>
      </c>
      <c r="B336" s="20" t="s">
        <v>1335</v>
      </c>
      <c r="C336" s="40" t="s">
        <v>271</v>
      </c>
      <c r="D336" s="40" t="s">
        <v>220</v>
      </c>
      <c r="E336" s="40"/>
      <c r="F336" s="40"/>
      <c r="G336" s="10">
        <f t="shared" si="54"/>
        <v>1570.7</v>
      </c>
      <c r="H336" s="10">
        <f t="shared" si="54"/>
        <v>0</v>
      </c>
      <c r="I336" s="416">
        <f t="shared" si="40"/>
        <v>0</v>
      </c>
    </row>
    <row r="337" spans="1:9" s="202" customFormat="1" ht="62.45" customHeight="1" x14ac:dyDescent="0.25">
      <c r="A337" s="184" t="s">
        <v>1570</v>
      </c>
      <c r="B337" s="20" t="s">
        <v>1336</v>
      </c>
      <c r="C337" s="40" t="s">
        <v>271</v>
      </c>
      <c r="D337" s="40" t="s">
        <v>220</v>
      </c>
      <c r="E337" s="40"/>
      <c r="F337" s="40"/>
      <c r="G337" s="10">
        <f t="shared" si="54"/>
        <v>1570.7</v>
      </c>
      <c r="H337" s="10">
        <f t="shared" si="54"/>
        <v>0</v>
      </c>
      <c r="I337" s="416">
        <f t="shared" si="40"/>
        <v>0</v>
      </c>
    </row>
    <row r="338" spans="1:9" s="202" customFormat="1" ht="33.75" customHeight="1" x14ac:dyDescent="0.25">
      <c r="A338" s="31" t="s">
        <v>279</v>
      </c>
      <c r="B338" s="20" t="s">
        <v>1336</v>
      </c>
      <c r="C338" s="40" t="s">
        <v>271</v>
      </c>
      <c r="D338" s="40" t="s">
        <v>220</v>
      </c>
      <c r="E338" s="40" t="s">
        <v>280</v>
      </c>
      <c r="F338" s="40"/>
      <c r="G338" s="10">
        <f t="shared" si="54"/>
        <v>1570.7</v>
      </c>
      <c r="H338" s="10">
        <f t="shared" si="54"/>
        <v>0</v>
      </c>
      <c r="I338" s="416">
        <f t="shared" ref="I338:I401" si="55">H338/G338*100</f>
        <v>0</v>
      </c>
    </row>
    <row r="339" spans="1:9" s="202" customFormat="1" ht="21.2" customHeight="1" x14ac:dyDescent="0.25">
      <c r="A339" s="31" t="s">
        <v>281</v>
      </c>
      <c r="B339" s="20" t="s">
        <v>1336</v>
      </c>
      <c r="C339" s="40" t="s">
        <v>271</v>
      </c>
      <c r="D339" s="40" t="s">
        <v>220</v>
      </c>
      <c r="E339" s="40" t="s">
        <v>282</v>
      </c>
      <c r="F339" s="40"/>
      <c r="G339" s="10">
        <f>'Пр.4 ведом.21'!G666</f>
        <v>1570.7</v>
      </c>
      <c r="H339" s="10">
        <f>'Пр.4 ведом.21'!H666</f>
        <v>0</v>
      </c>
      <c r="I339" s="416">
        <f t="shared" si="55"/>
        <v>0</v>
      </c>
    </row>
    <row r="340" spans="1:9" s="202" customFormat="1" ht="31.7" customHeight="1" x14ac:dyDescent="0.25">
      <c r="A340" s="29" t="s">
        <v>410</v>
      </c>
      <c r="B340" s="20" t="s">
        <v>1336</v>
      </c>
      <c r="C340" s="40" t="s">
        <v>271</v>
      </c>
      <c r="D340" s="40" t="s">
        <v>220</v>
      </c>
      <c r="E340" s="40" t="s">
        <v>282</v>
      </c>
      <c r="F340" s="40" t="s">
        <v>644</v>
      </c>
      <c r="G340" s="10">
        <f>G334</f>
        <v>1570.7</v>
      </c>
      <c r="H340" s="10">
        <f>H334</f>
        <v>0</v>
      </c>
      <c r="I340" s="416">
        <f t="shared" si="55"/>
        <v>0</v>
      </c>
    </row>
    <row r="341" spans="1:9" s="202" customFormat="1" ht="31.7" customHeight="1" x14ac:dyDescent="0.25">
      <c r="A341" s="34" t="s">
        <v>1506</v>
      </c>
      <c r="B341" s="24" t="s">
        <v>1507</v>
      </c>
      <c r="C341" s="40"/>
      <c r="D341" s="40"/>
      <c r="E341" s="40"/>
      <c r="F341" s="40"/>
      <c r="G341" s="59">
        <f t="shared" ref="G341:H345" si="56">G342</f>
        <v>2692.1</v>
      </c>
      <c r="H341" s="59">
        <f t="shared" si="56"/>
        <v>0</v>
      </c>
      <c r="I341" s="441">
        <f t="shared" si="55"/>
        <v>0</v>
      </c>
    </row>
    <row r="342" spans="1:9" s="202" customFormat="1" ht="15.75" x14ac:dyDescent="0.25">
      <c r="A342" s="29" t="s">
        <v>270</v>
      </c>
      <c r="B342" s="20" t="s">
        <v>1507</v>
      </c>
      <c r="C342" s="40" t="s">
        <v>271</v>
      </c>
      <c r="D342" s="40"/>
      <c r="E342" s="40"/>
      <c r="F342" s="40"/>
      <c r="G342" s="10">
        <f t="shared" si="56"/>
        <v>2692.1</v>
      </c>
      <c r="H342" s="10">
        <f t="shared" si="56"/>
        <v>0</v>
      </c>
      <c r="I342" s="416">
        <f t="shared" si="55"/>
        <v>0</v>
      </c>
    </row>
    <row r="343" spans="1:9" s="202" customFormat="1" ht="15.75" x14ac:dyDescent="0.25">
      <c r="A343" s="29" t="s">
        <v>432</v>
      </c>
      <c r="B343" s="20" t="s">
        <v>1507</v>
      </c>
      <c r="C343" s="40" t="s">
        <v>271</v>
      </c>
      <c r="D343" s="40" t="s">
        <v>220</v>
      </c>
      <c r="E343" s="40"/>
      <c r="F343" s="40"/>
      <c r="G343" s="10">
        <f t="shared" si="56"/>
        <v>2692.1</v>
      </c>
      <c r="H343" s="10">
        <f t="shared" si="56"/>
        <v>0</v>
      </c>
      <c r="I343" s="416">
        <f t="shared" si="55"/>
        <v>0</v>
      </c>
    </row>
    <row r="344" spans="1:9" s="202" customFormat="1" ht="57.75" customHeight="1" x14ac:dyDescent="0.25">
      <c r="A344" s="31" t="s">
        <v>1571</v>
      </c>
      <c r="B344" s="20" t="s">
        <v>1508</v>
      </c>
      <c r="C344" s="40" t="s">
        <v>271</v>
      </c>
      <c r="D344" s="40" t="s">
        <v>220</v>
      </c>
      <c r="E344" s="40"/>
      <c r="F344" s="40"/>
      <c r="G344" s="10">
        <f t="shared" si="56"/>
        <v>2692.1</v>
      </c>
      <c r="H344" s="10">
        <f t="shared" si="56"/>
        <v>0</v>
      </c>
      <c r="I344" s="416">
        <f t="shared" si="55"/>
        <v>0</v>
      </c>
    </row>
    <row r="345" spans="1:9" s="202" customFormat="1" ht="31.7" customHeight="1" x14ac:dyDescent="0.25">
      <c r="A345" s="31" t="s">
        <v>279</v>
      </c>
      <c r="B345" s="20" t="s">
        <v>1508</v>
      </c>
      <c r="C345" s="40" t="s">
        <v>271</v>
      </c>
      <c r="D345" s="40" t="s">
        <v>220</v>
      </c>
      <c r="E345" s="40" t="s">
        <v>280</v>
      </c>
      <c r="F345" s="40"/>
      <c r="G345" s="10">
        <f t="shared" si="56"/>
        <v>2692.1</v>
      </c>
      <c r="H345" s="10">
        <f t="shared" si="56"/>
        <v>0</v>
      </c>
      <c r="I345" s="416">
        <f t="shared" si="55"/>
        <v>0</v>
      </c>
    </row>
    <row r="346" spans="1:9" s="202" customFormat="1" ht="31.7" customHeight="1" x14ac:dyDescent="0.25">
      <c r="A346" s="31" t="s">
        <v>281</v>
      </c>
      <c r="B346" s="20" t="s">
        <v>1508</v>
      </c>
      <c r="C346" s="40" t="s">
        <v>271</v>
      </c>
      <c r="D346" s="40" t="s">
        <v>220</v>
      </c>
      <c r="E346" s="40" t="s">
        <v>282</v>
      </c>
      <c r="F346" s="40"/>
      <c r="G346" s="10">
        <f>'Пр.4 ведом.21'!G670</f>
        <v>2692.1</v>
      </c>
      <c r="H346" s="10">
        <f>'Пр.4 ведом.21'!H670</f>
        <v>0</v>
      </c>
      <c r="I346" s="416">
        <f t="shared" si="55"/>
        <v>0</v>
      </c>
    </row>
    <row r="347" spans="1:9" s="202" customFormat="1" ht="31.7" customHeight="1" x14ac:dyDescent="0.25">
      <c r="A347" s="29" t="s">
        <v>410</v>
      </c>
      <c r="B347" s="20" t="s">
        <v>1508</v>
      </c>
      <c r="C347" s="40" t="s">
        <v>271</v>
      </c>
      <c r="D347" s="40" t="s">
        <v>220</v>
      </c>
      <c r="E347" s="40" t="s">
        <v>282</v>
      </c>
      <c r="F347" s="40" t="s">
        <v>644</v>
      </c>
      <c r="G347" s="10">
        <f>G341</f>
        <v>2692.1</v>
      </c>
      <c r="H347" s="10">
        <f>H341</f>
        <v>0</v>
      </c>
      <c r="I347" s="416">
        <f t="shared" si="55"/>
        <v>0</v>
      </c>
    </row>
    <row r="348" spans="1:9" ht="47.25" x14ac:dyDescent="0.25">
      <c r="A348" s="58" t="s">
        <v>1401</v>
      </c>
      <c r="B348" s="196" t="s">
        <v>163</v>
      </c>
      <c r="C348" s="7"/>
      <c r="D348" s="196"/>
      <c r="E348" s="196"/>
      <c r="F348" s="196"/>
      <c r="G348" s="59">
        <f>G350</f>
        <v>150</v>
      </c>
      <c r="H348" s="59">
        <f>H350</f>
        <v>0</v>
      </c>
      <c r="I348" s="441">
        <f t="shared" si="55"/>
        <v>0</v>
      </c>
    </row>
    <row r="349" spans="1:9" s="202" customFormat="1" ht="36.75" customHeight="1" x14ac:dyDescent="0.25">
      <c r="A349" s="23" t="s">
        <v>1075</v>
      </c>
      <c r="B349" s="24" t="s">
        <v>1072</v>
      </c>
      <c r="C349" s="7"/>
      <c r="D349" s="7"/>
      <c r="E349" s="7"/>
      <c r="F349" s="7"/>
      <c r="G349" s="59">
        <f t="shared" ref="G349:H353" si="57">G350</f>
        <v>150</v>
      </c>
      <c r="H349" s="59">
        <f t="shared" si="57"/>
        <v>0</v>
      </c>
      <c r="I349" s="441">
        <f t="shared" si="55"/>
        <v>0</v>
      </c>
    </row>
    <row r="350" spans="1:9" ht="15.75" x14ac:dyDescent="0.25">
      <c r="A350" s="45" t="s">
        <v>239</v>
      </c>
      <c r="B350" s="5" t="s">
        <v>1072</v>
      </c>
      <c r="C350" s="40" t="s">
        <v>157</v>
      </c>
      <c r="D350" s="40"/>
      <c r="E350" s="40"/>
      <c r="F350" s="40"/>
      <c r="G350" s="10">
        <f t="shared" si="57"/>
        <v>150</v>
      </c>
      <c r="H350" s="10">
        <f t="shared" si="57"/>
        <v>0</v>
      </c>
      <c r="I350" s="416">
        <f t="shared" si="55"/>
        <v>0</v>
      </c>
    </row>
    <row r="351" spans="1:9" ht="15.75" x14ac:dyDescent="0.25">
      <c r="A351" s="45" t="s">
        <v>785</v>
      </c>
      <c r="B351" s="5" t="s">
        <v>1072</v>
      </c>
      <c r="C351" s="40" t="s">
        <v>157</v>
      </c>
      <c r="D351" s="40" t="s">
        <v>245</v>
      </c>
      <c r="E351" s="40"/>
      <c r="F351" s="40"/>
      <c r="G351" s="10">
        <f t="shared" si="57"/>
        <v>150</v>
      </c>
      <c r="H351" s="10">
        <f t="shared" si="57"/>
        <v>0</v>
      </c>
      <c r="I351" s="416">
        <f t="shared" si="55"/>
        <v>0</v>
      </c>
    </row>
    <row r="352" spans="1:9" ht="31.5" x14ac:dyDescent="0.25">
      <c r="A352" s="25" t="s">
        <v>1076</v>
      </c>
      <c r="B352" s="20" t="s">
        <v>1073</v>
      </c>
      <c r="C352" s="40" t="s">
        <v>157</v>
      </c>
      <c r="D352" s="40" t="s">
        <v>245</v>
      </c>
      <c r="E352" s="40"/>
      <c r="F352" s="40"/>
      <c r="G352" s="10">
        <f t="shared" si="57"/>
        <v>150</v>
      </c>
      <c r="H352" s="10">
        <f t="shared" si="57"/>
        <v>0</v>
      </c>
      <c r="I352" s="416">
        <f t="shared" si="55"/>
        <v>0</v>
      </c>
    </row>
    <row r="353" spans="1:9" ht="15.75" x14ac:dyDescent="0.25">
      <c r="A353" s="25" t="s">
        <v>142</v>
      </c>
      <c r="B353" s="20" t="s">
        <v>1073</v>
      </c>
      <c r="C353" s="40" t="s">
        <v>157</v>
      </c>
      <c r="D353" s="40" t="s">
        <v>245</v>
      </c>
      <c r="E353" s="40" t="s">
        <v>139</v>
      </c>
      <c r="F353" s="40"/>
      <c r="G353" s="10">
        <f t="shared" si="57"/>
        <v>150</v>
      </c>
      <c r="H353" s="10">
        <f t="shared" si="57"/>
        <v>0</v>
      </c>
      <c r="I353" s="416">
        <f t="shared" si="55"/>
        <v>0</v>
      </c>
    </row>
    <row r="354" spans="1:9" ht="47.25" x14ac:dyDescent="0.25">
      <c r="A354" s="25" t="s">
        <v>191</v>
      </c>
      <c r="B354" s="20" t="s">
        <v>1073</v>
      </c>
      <c r="C354" s="40" t="s">
        <v>157</v>
      </c>
      <c r="D354" s="40" t="s">
        <v>245</v>
      </c>
      <c r="E354" s="40" t="s">
        <v>141</v>
      </c>
      <c r="F354" s="40"/>
      <c r="G354" s="10">
        <f>'Пр.3 Рд,пр, ЦС,ВР 21'!F303</f>
        <v>150</v>
      </c>
      <c r="H354" s="10">
        <f>'Пр.3 Рд,пр, ЦС,ВР 21'!G303</f>
        <v>0</v>
      </c>
      <c r="I354" s="416">
        <f t="shared" si="55"/>
        <v>0</v>
      </c>
    </row>
    <row r="355" spans="1:9" s="202" customFormat="1" ht="15.75" x14ac:dyDescent="0.25">
      <c r="A355" s="29" t="s">
        <v>155</v>
      </c>
      <c r="B355" s="20" t="s">
        <v>1073</v>
      </c>
      <c r="C355" s="40" t="s">
        <v>157</v>
      </c>
      <c r="D355" s="40" t="s">
        <v>245</v>
      </c>
      <c r="E355" s="40" t="s">
        <v>141</v>
      </c>
      <c r="F355" s="40" t="s">
        <v>649</v>
      </c>
      <c r="G355" s="10">
        <f>G354</f>
        <v>150</v>
      </c>
      <c r="H355" s="10">
        <f>H354</f>
        <v>0</v>
      </c>
      <c r="I355" s="416">
        <f t="shared" si="55"/>
        <v>0</v>
      </c>
    </row>
    <row r="356" spans="1:9" ht="45.75" customHeight="1" x14ac:dyDescent="0.25">
      <c r="A356" s="41" t="s">
        <v>1381</v>
      </c>
      <c r="B356" s="196" t="s">
        <v>169</v>
      </c>
      <c r="C356" s="7"/>
      <c r="D356" s="7"/>
      <c r="E356" s="7"/>
      <c r="F356" s="7"/>
      <c r="G356" s="59">
        <f>G357+G364+G383</f>
        <v>724</v>
      </c>
      <c r="H356" s="59">
        <f>H357+H364+H383</f>
        <v>243.74799999999999</v>
      </c>
      <c r="I356" s="441">
        <f t="shared" si="55"/>
        <v>33.666850828729281</v>
      </c>
    </row>
    <row r="357" spans="1:9" s="202" customFormat="1" ht="67.7" customHeight="1" x14ac:dyDescent="0.25">
      <c r="A357" s="290" t="s">
        <v>1356</v>
      </c>
      <c r="B357" s="7" t="s">
        <v>859</v>
      </c>
      <c r="C357" s="7"/>
      <c r="D357" s="8"/>
      <c r="E357" s="196"/>
      <c r="F357" s="7"/>
      <c r="G357" s="59">
        <f>G359</f>
        <v>545.70000000000005</v>
      </c>
      <c r="H357" s="59">
        <f>H359</f>
        <v>106.44799999999999</v>
      </c>
      <c r="I357" s="441">
        <f t="shared" si="55"/>
        <v>19.506688656771118</v>
      </c>
    </row>
    <row r="358" spans="1:9" s="202" customFormat="1" ht="15.75" customHeight="1" x14ac:dyDescent="0.25">
      <c r="A358" s="45" t="s">
        <v>124</v>
      </c>
      <c r="B358" s="5" t="s">
        <v>859</v>
      </c>
      <c r="C358" s="40" t="s">
        <v>125</v>
      </c>
      <c r="D358" s="5"/>
      <c r="E358" s="5"/>
      <c r="F358" s="40"/>
      <c r="G358" s="10">
        <f t="shared" ref="G358:H358" si="58">G359</f>
        <v>545.70000000000005</v>
      </c>
      <c r="H358" s="10">
        <f t="shared" si="58"/>
        <v>106.44799999999999</v>
      </c>
      <c r="I358" s="416">
        <f t="shared" si="55"/>
        <v>19.506688656771118</v>
      </c>
    </row>
    <row r="359" spans="1:9" s="202" customFormat="1" ht="45.75" customHeight="1" x14ac:dyDescent="0.25">
      <c r="A359" s="29" t="s">
        <v>156</v>
      </c>
      <c r="B359" s="5" t="s">
        <v>859</v>
      </c>
      <c r="C359" s="40" t="s">
        <v>125</v>
      </c>
      <c r="D359" s="9" t="s">
        <v>157</v>
      </c>
      <c r="E359" s="5"/>
      <c r="F359" s="40"/>
      <c r="G359" s="10">
        <f>G360</f>
        <v>545.70000000000005</v>
      </c>
      <c r="H359" s="10">
        <f>H360</f>
        <v>106.44799999999999</v>
      </c>
      <c r="I359" s="416">
        <f t="shared" si="55"/>
        <v>19.506688656771118</v>
      </c>
    </row>
    <row r="360" spans="1:9" s="202" customFormat="1" ht="62.45" customHeight="1" x14ac:dyDescent="0.25">
      <c r="A360" s="29" t="s">
        <v>1323</v>
      </c>
      <c r="B360" s="40" t="s">
        <v>851</v>
      </c>
      <c r="C360" s="40" t="s">
        <v>125</v>
      </c>
      <c r="D360" s="9" t="s">
        <v>157</v>
      </c>
      <c r="E360" s="40"/>
      <c r="F360" s="40"/>
      <c r="G360" s="10">
        <f t="shared" ref="G360:H361" si="59">G361</f>
        <v>545.70000000000005</v>
      </c>
      <c r="H360" s="10">
        <f t="shared" si="59"/>
        <v>106.44799999999999</v>
      </c>
      <c r="I360" s="416">
        <f t="shared" si="55"/>
        <v>19.506688656771118</v>
      </c>
    </row>
    <row r="361" spans="1:9" s="202" customFormat="1" ht="34.5" customHeight="1" x14ac:dyDescent="0.25">
      <c r="A361" s="29" t="s">
        <v>138</v>
      </c>
      <c r="B361" s="40" t="s">
        <v>851</v>
      </c>
      <c r="C361" s="40" t="s">
        <v>125</v>
      </c>
      <c r="D361" s="9" t="s">
        <v>157</v>
      </c>
      <c r="E361" s="40" t="s">
        <v>139</v>
      </c>
      <c r="F361" s="40"/>
      <c r="G361" s="10">
        <f t="shared" si="59"/>
        <v>545.70000000000005</v>
      </c>
      <c r="H361" s="10">
        <f t="shared" si="59"/>
        <v>106.44799999999999</v>
      </c>
      <c r="I361" s="416">
        <f t="shared" si="55"/>
        <v>19.506688656771118</v>
      </c>
    </row>
    <row r="362" spans="1:9" s="202" customFormat="1" ht="36" customHeight="1" x14ac:dyDescent="0.25">
      <c r="A362" s="29" t="s">
        <v>140</v>
      </c>
      <c r="B362" s="40" t="s">
        <v>851</v>
      </c>
      <c r="C362" s="40" t="s">
        <v>125</v>
      </c>
      <c r="D362" s="9" t="s">
        <v>157</v>
      </c>
      <c r="E362" s="40" t="s">
        <v>141</v>
      </c>
      <c r="F362" s="40"/>
      <c r="G362" s="10">
        <f>'Пр.3 Рд,пр, ЦС,ВР 21'!F90</f>
        <v>545.70000000000005</v>
      </c>
      <c r="H362" s="10">
        <f>'Пр.3 Рд,пр, ЦС,ВР 21'!G90</f>
        <v>106.44799999999999</v>
      </c>
      <c r="I362" s="416">
        <f t="shared" si="55"/>
        <v>19.506688656771118</v>
      </c>
    </row>
    <row r="363" spans="1:9" s="202" customFormat="1" ht="20.25" customHeight="1" x14ac:dyDescent="0.25">
      <c r="A363" s="29" t="s">
        <v>155</v>
      </c>
      <c r="B363" s="40" t="s">
        <v>851</v>
      </c>
      <c r="C363" s="40" t="s">
        <v>125</v>
      </c>
      <c r="D363" s="9" t="s">
        <v>157</v>
      </c>
      <c r="E363" s="40" t="s">
        <v>141</v>
      </c>
      <c r="F363" s="40" t="s">
        <v>649</v>
      </c>
      <c r="G363" s="10">
        <f>G362</f>
        <v>545.70000000000005</v>
      </c>
      <c r="H363" s="10">
        <f>H362</f>
        <v>106.44799999999999</v>
      </c>
      <c r="I363" s="416">
        <f t="shared" si="55"/>
        <v>19.506688656771118</v>
      </c>
    </row>
    <row r="364" spans="1:9" s="202" customFormat="1" ht="63" customHeight="1" x14ac:dyDescent="0.25">
      <c r="A364" s="215" t="s">
        <v>853</v>
      </c>
      <c r="B364" s="7" t="s">
        <v>860</v>
      </c>
      <c r="C364" s="7"/>
      <c r="D364" s="8"/>
      <c r="E364" s="196"/>
      <c r="F364" s="7"/>
      <c r="G364" s="59">
        <f>G365</f>
        <v>177.8</v>
      </c>
      <c r="H364" s="59">
        <f>H365</f>
        <v>137.30000000000001</v>
      </c>
      <c r="I364" s="441">
        <f t="shared" si="55"/>
        <v>77.221597300337464</v>
      </c>
    </row>
    <row r="365" spans="1:9" ht="15.75" x14ac:dyDescent="0.25">
      <c r="A365" s="45" t="s">
        <v>124</v>
      </c>
      <c r="B365" s="5" t="s">
        <v>860</v>
      </c>
      <c r="C365" s="40" t="s">
        <v>125</v>
      </c>
      <c r="D365" s="5"/>
      <c r="E365" s="5"/>
      <c r="F365" s="40"/>
      <c r="G365" s="10">
        <f>G366+G371</f>
        <v>177.8</v>
      </c>
      <c r="H365" s="10">
        <f>H366+H371</f>
        <v>137.30000000000001</v>
      </c>
      <c r="I365" s="416">
        <f t="shared" si="55"/>
        <v>77.221597300337464</v>
      </c>
    </row>
    <row r="366" spans="1:9" s="202" customFormat="1" ht="47.25" x14ac:dyDescent="0.25">
      <c r="A366" s="25" t="s">
        <v>582</v>
      </c>
      <c r="B366" s="5" t="s">
        <v>860</v>
      </c>
      <c r="C366" s="40" t="s">
        <v>125</v>
      </c>
      <c r="D366" s="9" t="s">
        <v>220</v>
      </c>
      <c r="E366" s="5"/>
      <c r="F366" s="40"/>
      <c r="G366" s="10">
        <f t="shared" ref="G366:H368" si="60">G367</f>
        <v>40.5</v>
      </c>
      <c r="H366" s="10">
        <f t="shared" si="60"/>
        <v>0</v>
      </c>
      <c r="I366" s="416">
        <f t="shared" si="55"/>
        <v>0</v>
      </c>
    </row>
    <row r="367" spans="1:9" s="202" customFormat="1" ht="47.25" x14ac:dyDescent="0.25">
      <c r="A367" s="31" t="s">
        <v>703</v>
      </c>
      <c r="B367" s="40" t="s">
        <v>1003</v>
      </c>
      <c r="C367" s="20" t="s">
        <v>125</v>
      </c>
      <c r="D367" s="9" t="s">
        <v>220</v>
      </c>
      <c r="E367" s="5"/>
      <c r="F367" s="40"/>
      <c r="G367" s="10">
        <f t="shared" si="60"/>
        <v>40.5</v>
      </c>
      <c r="H367" s="10">
        <f t="shared" si="60"/>
        <v>0</v>
      </c>
      <c r="I367" s="416">
        <f t="shared" si="55"/>
        <v>0</v>
      </c>
    </row>
    <row r="368" spans="1:9" s="202" customFormat="1" ht="31.5" x14ac:dyDescent="0.25">
      <c r="A368" s="25" t="s">
        <v>138</v>
      </c>
      <c r="B368" s="40" t="s">
        <v>704</v>
      </c>
      <c r="C368" s="20" t="s">
        <v>125</v>
      </c>
      <c r="D368" s="9" t="s">
        <v>220</v>
      </c>
      <c r="E368" s="5">
        <v>200</v>
      </c>
      <c r="F368" s="40"/>
      <c r="G368" s="10">
        <f t="shared" si="60"/>
        <v>40.5</v>
      </c>
      <c r="H368" s="10">
        <f t="shared" si="60"/>
        <v>0</v>
      </c>
      <c r="I368" s="416">
        <f t="shared" si="55"/>
        <v>0</v>
      </c>
    </row>
    <row r="369" spans="1:9" s="202" customFormat="1" ht="31.5" x14ac:dyDescent="0.25">
      <c r="A369" s="25" t="s">
        <v>140</v>
      </c>
      <c r="B369" s="40" t="s">
        <v>704</v>
      </c>
      <c r="C369" s="20" t="s">
        <v>125</v>
      </c>
      <c r="D369" s="9" t="s">
        <v>220</v>
      </c>
      <c r="E369" s="5">
        <v>240</v>
      </c>
      <c r="F369" s="40"/>
      <c r="G369" s="10">
        <f>'Пр.4 ведом.21'!G48</f>
        <v>40.5</v>
      </c>
      <c r="H369" s="10">
        <f>'Пр.4 ведом.21'!H48</f>
        <v>0</v>
      </c>
      <c r="I369" s="416">
        <f t="shared" si="55"/>
        <v>0</v>
      </c>
    </row>
    <row r="370" spans="1:9" s="202" customFormat="1" ht="15.75" x14ac:dyDescent="0.25">
      <c r="A370" s="25" t="s">
        <v>155</v>
      </c>
      <c r="B370" s="40" t="s">
        <v>704</v>
      </c>
      <c r="C370" s="20" t="s">
        <v>125</v>
      </c>
      <c r="D370" s="9" t="s">
        <v>220</v>
      </c>
      <c r="E370" s="5">
        <v>240</v>
      </c>
      <c r="F370" s="40" t="s">
        <v>649</v>
      </c>
      <c r="G370" s="10">
        <f>G367</f>
        <v>40.5</v>
      </c>
      <c r="H370" s="10">
        <f>H367</f>
        <v>0</v>
      </c>
      <c r="I370" s="416">
        <f t="shared" si="55"/>
        <v>0</v>
      </c>
    </row>
    <row r="371" spans="1:9" s="202" customFormat="1" ht="63" x14ac:dyDescent="0.25">
      <c r="A371" s="29" t="s">
        <v>156</v>
      </c>
      <c r="B371" s="5" t="s">
        <v>860</v>
      </c>
      <c r="C371" s="40" t="s">
        <v>125</v>
      </c>
      <c r="D371" s="9" t="s">
        <v>157</v>
      </c>
      <c r="E371" s="5"/>
      <c r="F371" s="40"/>
      <c r="G371" s="10">
        <f>G372</f>
        <v>137.30000000000001</v>
      </c>
      <c r="H371" s="10">
        <f>H372</f>
        <v>137.30000000000001</v>
      </c>
      <c r="I371" s="416">
        <f t="shared" si="55"/>
        <v>100</v>
      </c>
    </row>
    <row r="372" spans="1:9" ht="47.25" x14ac:dyDescent="0.25">
      <c r="A372" s="176" t="s">
        <v>172</v>
      </c>
      <c r="B372" s="40" t="s">
        <v>852</v>
      </c>
      <c r="C372" s="40" t="s">
        <v>125</v>
      </c>
      <c r="D372" s="9" t="s">
        <v>157</v>
      </c>
      <c r="E372" s="40"/>
      <c r="F372" s="40"/>
      <c r="G372" s="10">
        <f>G373+G376</f>
        <v>137.30000000000001</v>
      </c>
      <c r="H372" s="10">
        <f>H373+H376</f>
        <v>137.30000000000001</v>
      </c>
      <c r="I372" s="416">
        <f t="shared" si="55"/>
        <v>100</v>
      </c>
    </row>
    <row r="373" spans="1:9" s="202" customFormat="1" ht="78.75" x14ac:dyDescent="0.25">
      <c r="A373" s="25" t="s">
        <v>134</v>
      </c>
      <c r="B373" s="40" t="s">
        <v>852</v>
      </c>
      <c r="C373" s="40" t="s">
        <v>125</v>
      </c>
      <c r="D373" s="9" t="s">
        <v>157</v>
      </c>
      <c r="E373" s="40" t="s">
        <v>135</v>
      </c>
      <c r="F373" s="40"/>
      <c r="G373" s="10">
        <f>G374</f>
        <v>92.3</v>
      </c>
      <c r="H373" s="10">
        <f>H374</f>
        <v>92.3</v>
      </c>
      <c r="I373" s="416">
        <f t="shared" si="55"/>
        <v>100</v>
      </c>
    </row>
    <row r="374" spans="1:9" s="202" customFormat="1" ht="31.5" x14ac:dyDescent="0.25">
      <c r="A374" s="25" t="s">
        <v>136</v>
      </c>
      <c r="B374" s="40" t="s">
        <v>852</v>
      </c>
      <c r="C374" s="40" t="s">
        <v>125</v>
      </c>
      <c r="D374" s="9" t="s">
        <v>157</v>
      </c>
      <c r="E374" s="40" t="s">
        <v>137</v>
      </c>
      <c r="F374" s="40"/>
      <c r="G374" s="10">
        <f>'Пр.3 Рд,пр, ЦС,ВР 21'!F94</f>
        <v>92.3</v>
      </c>
      <c r="H374" s="10">
        <f>'Пр.3 Рд,пр, ЦС,ВР 21'!G94</f>
        <v>92.3</v>
      </c>
      <c r="I374" s="416">
        <f t="shared" si="55"/>
        <v>100</v>
      </c>
    </row>
    <row r="375" spans="1:9" s="202" customFormat="1" ht="24" customHeight="1" x14ac:dyDescent="0.25">
      <c r="A375" s="29" t="s">
        <v>1337</v>
      </c>
      <c r="B375" s="40" t="s">
        <v>852</v>
      </c>
      <c r="C375" s="40" t="s">
        <v>125</v>
      </c>
      <c r="D375" s="9" t="s">
        <v>157</v>
      </c>
      <c r="E375" s="40" t="s">
        <v>137</v>
      </c>
      <c r="F375" s="40" t="s">
        <v>649</v>
      </c>
      <c r="G375" s="10">
        <f>G374</f>
        <v>92.3</v>
      </c>
      <c r="H375" s="10">
        <f>H374</f>
        <v>92.3</v>
      </c>
      <c r="I375" s="416">
        <f t="shared" si="55"/>
        <v>100</v>
      </c>
    </row>
    <row r="376" spans="1:9" s="202" customFormat="1" ht="31.5" x14ac:dyDescent="0.25">
      <c r="A376" s="25" t="s">
        <v>138</v>
      </c>
      <c r="B376" s="40" t="s">
        <v>852</v>
      </c>
      <c r="C376" s="40" t="s">
        <v>125</v>
      </c>
      <c r="D376" s="9" t="s">
        <v>157</v>
      </c>
      <c r="E376" s="40" t="s">
        <v>139</v>
      </c>
      <c r="F376" s="40"/>
      <c r="G376" s="10">
        <f>G377</f>
        <v>45</v>
      </c>
      <c r="H376" s="10">
        <f>H377</f>
        <v>45</v>
      </c>
      <c r="I376" s="416">
        <f t="shared" si="55"/>
        <v>100</v>
      </c>
    </row>
    <row r="377" spans="1:9" s="202" customFormat="1" ht="31.5" x14ac:dyDescent="0.25">
      <c r="A377" s="25" t="s">
        <v>140</v>
      </c>
      <c r="B377" s="40" t="s">
        <v>852</v>
      </c>
      <c r="C377" s="40" t="s">
        <v>125</v>
      </c>
      <c r="D377" s="9" t="s">
        <v>157</v>
      </c>
      <c r="E377" s="40" t="s">
        <v>141</v>
      </c>
      <c r="F377" s="40"/>
      <c r="G377" s="10">
        <f>'Пр.3 Рд,пр, ЦС,ВР 21'!F96</f>
        <v>45</v>
      </c>
      <c r="H377" s="10">
        <f>'Пр.3 Рд,пр, ЦС,ВР 21'!G96</f>
        <v>45</v>
      </c>
      <c r="I377" s="416">
        <f t="shared" si="55"/>
        <v>100</v>
      </c>
    </row>
    <row r="378" spans="1:9" s="202" customFormat="1" ht="22.7" customHeight="1" x14ac:dyDescent="0.25">
      <c r="A378" s="29" t="s">
        <v>155</v>
      </c>
      <c r="B378" s="40" t="s">
        <v>852</v>
      </c>
      <c r="C378" s="40" t="s">
        <v>125</v>
      </c>
      <c r="D378" s="9" t="s">
        <v>157</v>
      </c>
      <c r="E378" s="40" t="s">
        <v>141</v>
      </c>
      <c r="F378" s="40" t="s">
        <v>649</v>
      </c>
      <c r="G378" s="10">
        <f>G377</f>
        <v>45</v>
      </c>
      <c r="H378" s="10">
        <f>H377</f>
        <v>45</v>
      </c>
      <c r="I378" s="416">
        <f t="shared" si="55"/>
        <v>100</v>
      </c>
    </row>
    <row r="379" spans="1:9" s="202" customFormat="1" ht="47.25" hidden="1" x14ac:dyDescent="0.25">
      <c r="A379" s="31" t="s">
        <v>703</v>
      </c>
      <c r="B379" s="40" t="s">
        <v>1003</v>
      </c>
      <c r="C379" s="40" t="s">
        <v>125</v>
      </c>
      <c r="D379" s="9" t="s">
        <v>157</v>
      </c>
      <c r="E379" s="5"/>
      <c r="F379" s="40"/>
      <c r="G379" s="10">
        <f>G380</f>
        <v>0</v>
      </c>
      <c r="H379" s="10">
        <f>H380</f>
        <v>0</v>
      </c>
      <c r="I379" s="416" t="e">
        <f t="shared" si="55"/>
        <v>#DIV/0!</v>
      </c>
    </row>
    <row r="380" spans="1:9" s="202" customFormat="1" ht="31.5" hidden="1" x14ac:dyDescent="0.25">
      <c r="A380" s="25" t="s">
        <v>138</v>
      </c>
      <c r="B380" s="40" t="s">
        <v>1003</v>
      </c>
      <c r="C380" s="40" t="s">
        <v>125</v>
      </c>
      <c r="D380" s="9" t="s">
        <v>157</v>
      </c>
      <c r="E380" s="5">
        <v>200</v>
      </c>
      <c r="F380" s="40"/>
      <c r="G380" s="10">
        <f>G381</f>
        <v>0</v>
      </c>
      <c r="H380" s="10">
        <f>H381</f>
        <v>0</v>
      </c>
      <c r="I380" s="416" t="e">
        <f t="shared" si="55"/>
        <v>#DIV/0!</v>
      </c>
    </row>
    <row r="381" spans="1:9" s="202" customFormat="1" ht="31.5" hidden="1" x14ac:dyDescent="0.25">
      <c r="A381" s="25" t="s">
        <v>140</v>
      </c>
      <c r="B381" s="40" t="s">
        <v>1003</v>
      </c>
      <c r="C381" s="40" t="s">
        <v>125</v>
      </c>
      <c r="D381" s="9" t="s">
        <v>157</v>
      </c>
      <c r="E381" s="5">
        <v>240</v>
      </c>
      <c r="F381" s="40"/>
      <c r="G381" s="10">
        <f>'Пр.4 ведом.21'!G102</f>
        <v>0</v>
      </c>
      <c r="H381" s="10">
        <f>'Пр.4 ведом.21'!H102</f>
        <v>0</v>
      </c>
      <c r="I381" s="416" t="e">
        <f t="shared" si="55"/>
        <v>#DIV/0!</v>
      </c>
    </row>
    <row r="382" spans="1:9" s="202" customFormat="1" ht="21.2" hidden="1" customHeight="1" x14ac:dyDescent="0.25">
      <c r="A382" s="29" t="s">
        <v>155</v>
      </c>
      <c r="B382" s="40" t="s">
        <v>1003</v>
      </c>
      <c r="C382" s="40" t="s">
        <v>125</v>
      </c>
      <c r="D382" s="9" t="s">
        <v>157</v>
      </c>
      <c r="E382" s="5">
        <v>240</v>
      </c>
      <c r="F382" s="40" t="s">
        <v>649</v>
      </c>
      <c r="G382" s="10">
        <f>G381</f>
        <v>0</v>
      </c>
      <c r="H382" s="10">
        <f>H381</f>
        <v>0</v>
      </c>
      <c r="I382" s="416" t="e">
        <f t="shared" si="55"/>
        <v>#DIV/0!</v>
      </c>
    </row>
    <row r="383" spans="1:9" s="202" customFormat="1" ht="63" x14ac:dyDescent="0.25">
      <c r="A383" s="216" t="s">
        <v>1013</v>
      </c>
      <c r="B383" s="7" t="s">
        <v>861</v>
      </c>
      <c r="C383" s="7"/>
      <c r="D383" s="8"/>
      <c r="E383" s="7"/>
      <c r="F383" s="7"/>
      <c r="G383" s="59">
        <f t="shared" ref="G383:H387" si="61">G384</f>
        <v>0.5</v>
      </c>
      <c r="H383" s="59">
        <f t="shared" si="61"/>
        <v>0</v>
      </c>
      <c r="I383" s="441">
        <f t="shared" si="55"/>
        <v>0</v>
      </c>
    </row>
    <row r="384" spans="1:9" s="202" customFormat="1" ht="15.75" x14ac:dyDescent="0.25">
      <c r="A384" s="45" t="s">
        <v>124</v>
      </c>
      <c r="B384" s="40" t="s">
        <v>861</v>
      </c>
      <c r="C384" s="40" t="s">
        <v>125</v>
      </c>
      <c r="D384" s="9"/>
      <c r="E384" s="7"/>
      <c r="F384" s="7"/>
      <c r="G384" s="10">
        <f t="shared" si="61"/>
        <v>0.5</v>
      </c>
      <c r="H384" s="10">
        <f t="shared" si="61"/>
        <v>0</v>
      </c>
      <c r="I384" s="416">
        <f t="shared" si="55"/>
        <v>0</v>
      </c>
    </row>
    <row r="385" spans="1:9" s="202" customFormat="1" ht="63" x14ac:dyDescent="0.25">
      <c r="A385" s="29" t="s">
        <v>156</v>
      </c>
      <c r="B385" s="40" t="s">
        <v>861</v>
      </c>
      <c r="C385" s="40" t="s">
        <v>125</v>
      </c>
      <c r="D385" s="9" t="s">
        <v>157</v>
      </c>
      <c r="E385" s="7"/>
      <c r="F385" s="7"/>
      <c r="G385" s="10">
        <f t="shared" si="61"/>
        <v>0.5</v>
      </c>
      <c r="H385" s="10">
        <f t="shared" si="61"/>
        <v>0</v>
      </c>
      <c r="I385" s="416">
        <f t="shared" si="55"/>
        <v>0</v>
      </c>
    </row>
    <row r="386" spans="1:9" s="202" customFormat="1" ht="47.25" x14ac:dyDescent="0.25">
      <c r="A386" s="33" t="s">
        <v>198</v>
      </c>
      <c r="B386" s="40" t="s">
        <v>854</v>
      </c>
      <c r="C386" s="40" t="s">
        <v>125</v>
      </c>
      <c r="D386" s="9" t="s">
        <v>157</v>
      </c>
      <c r="E386" s="40"/>
      <c r="F386" s="40"/>
      <c r="G386" s="10">
        <f t="shared" si="61"/>
        <v>0.5</v>
      </c>
      <c r="H386" s="10">
        <f t="shared" si="61"/>
        <v>0</v>
      </c>
      <c r="I386" s="416">
        <f t="shared" si="55"/>
        <v>0</v>
      </c>
    </row>
    <row r="387" spans="1:9" s="202" customFormat="1" ht="31.5" x14ac:dyDescent="0.25">
      <c r="A387" s="25" t="s">
        <v>138</v>
      </c>
      <c r="B387" s="40" t="s">
        <v>854</v>
      </c>
      <c r="C387" s="40" t="s">
        <v>125</v>
      </c>
      <c r="D387" s="9" t="s">
        <v>157</v>
      </c>
      <c r="E387" s="40" t="s">
        <v>139</v>
      </c>
      <c r="F387" s="40"/>
      <c r="G387" s="10">
        <f t="shared" si="61"/>
        <v>0.5</v>
      </c>
      <c r="H387" s="10">
        <f t="shared" si="61"/>
        <v>0</v>
      </c>
      <c r="I387" s="416">
        <f t="shared" si="55"/>
        <v>0</v>
      </c>
    </row>
    <row r="388" spans="1:9" s="202" customFormat="1" ht="31.5" x14ac:dyDescent="0.25">
      <c r="A388" s="25" t="s">
        <v>140</v>
      </c>
      <c r="B388" s="40" t="s">
        <v>854</v>
      </c>
      <c r="C388" s="40" t="s">
        <v>125</v>
      </c>
      <c r="D388" s="9" t="s">
        <v>157</v>
      </c>
      <c r="E388" s="40" t="s">
        <v>141</v>
      </c>
      <c r="F388" s="40"/>
      <c r="G388" s="10">
        <f>'Пр.3 Рд,пр, ЦС,ВР 21'!F103</f>
        <v>0.5</v>
      </c>
      <c r="H388" s="10">
        <f>'Пр.3 Рд,пр, ЦС,ВР 21'!G103</f>
        <v>0</v>
      </c>
      <c r="I388" s="416">
        <f t="shared" si="55"/>
        <v>0</v>
      </c>
    </row>
    <row r="389" spans="1:9" s="202" customFormat="1" ht="21.75" customHeight="1" x14ac:dyDescent="0.25">
      <c r="A389" s="29" t="s">
        <v>155</v>
      </c>
      <c r="B389" s="40" t="s">
        <v>854</v>
      </c>
      <c r="C389" s="40" t="s">
        <v>125</v>
      </c>
      <c r="D389" s="9" t="s">
        <v>157</v>
      </c>
      <c r="E389" s="40" t="s">
        <v>141</v>
      </c>
      <c r="F389" s="40" t="s">
        <v>649</v>
      </c>
      <c r="G389" s="10">
        <f>G388</f>
        <v>0.5</v>
      </c>
      <c r="H389" s="10">
        <f>H388</f>
        <v>0</v>
      </c>
      <c r="I389" s="416">
        <f t="shared" si="55"/>
        <v>0</v>
      </c>
    </row>
    <row r="390" spans="1:9" ht="70.5" customHeight="1" x14ac:dyDescent="0.25">
      <c r="A390" s="41" t="s">
        <v>1363</v>
      </c>
      <c r="B390" s="196" t="s">
        <v>261</v>
      </c>
      <c r="C390" s="40"/>
      <c r="D390" s="40"/>
      <c r="E390" s="40"/>
      <c r="F390" s="40"/>
      <c r="G390" s="59">
        <f t="shared" ref="G390:H390" si="62">G392</f>
        <v>10</v>
      </c>
      <c r="H390" s="59">
        <f t="shared" si="62"/>
        <v>0</v>
      </c>
      <c r="I390" s="441">
        <f t="shared" si="55"/>
        <v>0</v>
      </c>
    </row>
    <row r="391" spans="1:9" s="202" customFormat="1" ht="54" customHeight="1" x14ac:dyDescent="0.25">
      <c r="A391" s="23" t="s">
        <v>894</v>
      </c>
      <c r="B391" s="24" t="s">
        <v>892</v>
      </c>
      <c r="C391" s="40"/>
      <c r="D391" s="40"/>
      <c r="E391" s="40"/>
      <c r="F391" s="40"/>
      <c r="G391" s="59">
        <f t="shared" ref="G391:H393" si="63">G392</f>
        <v>10</v>
      </c>
      <c r="H391" s="59">
        <f t="shared" si="63"/>
        <v>0</v>
      </c>
      <c r="I391" s="441">
        <f t="shared" si="55"/>
        <v>0</v>
      </c>
    </row>
    <row r="392" spans="1:9" ht="15.75" x14ac:dyDescent="0.25">
      <c r="A392" s="29" t="s">
        <v>250</v>
      </c>
      <c r="B392" s="5" t="s">
        <v>892</v>
      </c>
      <c r="C392" s="40" t="s">
        <v>251</v>
      </c>
      <c r="D392" s="40"/>
      <c r="E392" s="40"/>
      <c r="F392" s="40"/>
      <c r="G392" s="10">
        <f t="shared" si="63"/>
        <v>10</v>
      </c>
      <c r="H392" s="10">
        <f t="shared" si="63"/>
        <v>0</v>
      </c>
      <c r="I392" s="416">
        <f t="shared" si="55"/>
        <v>0</v>
      </c>
    </row>
    <row r="393" spans="1:9" ht="22.7" customHeight="1" x14ac:dyDescent="0.25">
      <c r="A393" s="29" t="s">
        <v>259</v>
      </c>
      <c r="B393" s="5" t="s">
        <v>892</v>
      </c>
      <c r="C393" s="40" t="s">
        <v>251</v>
      </c>
      <c r="D393" s="40" t="s">
        <v>222</v>
      </c>
      <c r="E393" s="40"/>
      <c r="F393" s="40"/>
      <c r="G393" s="10">
        <f t="shared" si="63"/>
        <v>10</v>
      </c>
      <c r="H393" s="10">
        <f t="shared" si="63"/>
        <v>0</v>
      </c>
      <c r="I393" s="416">
        <f t="shared" si="55"/>
        <v>0</v>
      </c>
    </row>
    <row r="394" spans="1:9" ht="31.5" x14ac:dyDescent="0.25">
      <c r="A394" s="25" t="s">
        <v>893</v>
      </c>
      <c r="B394" s="20" t="s">
        <v>1202</v>
      </c>
      <c r="C394" s="40" t="s">
        <v>251</v>
      </c>
      <c r="D394" s="40" t="s">
        <v>222</v>
      </c>
      <c r="E394" s="40"/>
      <c r="F394" s="40"/>
      <c r="G394" s="10">
        <f t="shared" ref="G394:H395" si="64">G395</f>
        <v>10</v>
      </c>
      <c r="H394" s="10">
        <f t="shared" si="64"/>
        <v>0</v>
      </c>
      <c r="I394" s="416">
        <f t="shared" si="55"/>
        <v>0</v>
      </c>
    </row>
    <row r="395" spans="1:9" ht="21.75" customHeight="1" x14ac:dyDescent="0.25">
      <c r="A395" s="25" t="s">
        <v>255</v>
      </c>
      <c r="B395" s="20" t="s">
        <v>1202</v>
      </c>
      <c r="C395" s="40" t="s">
        <v>251</v>
      </c>
      <c r="D395" s="40" t="s">
        <v>222</v>
      </c>
      <c r="E395" s="40" t="s">
        <v>256</v>
      </c>
      <c r="F395" s="40"/>
      <c r="G395" s="10">
        <f t="shared" si="64"/>
        <v>10</v>
      </c>
      <c r="H395" s="10">
        <f t="shared" si="64"/>
        <v>0</v>
      </c>
      <c r="I395" s="416">
        <f t="shared" si="55"/>
        <v>0</v>
      </c>
    </row>
    <row r="396" spans="1:9" ht="31.7" customHeight="1" x14ac:dyDescent="0.25">
      <c r="A396" s="25" t="s">
        <v>257</v>
      </c>
      <c r="B396" s="20" t="s">
        <v>1202</v>
      </c>
      <c r="C396" s="40" t="s">
        <v>251</v>
      </c>
      <c r="D396" s="40" t="s">
        <v>222</v>
      </c>
      <c r="E396" s="40" t="s">
        <v>258</v>
      </c>
      <c r="F396" s="40"/>
      <c r="G396" s="10">
        <f>'Пр.4 ведом.21'!G219</f>
        <v>10</v>
      </c>
      <c r="H396" s="10">
        <f>'Пр.4 ведом.21'!H219</f>
        <v>0</v>
      </c>
      <c r="I396" s="416">
        <f t="shared" si="55"/>
        <v>0</v>
      </c>
    </row>
    <row r="397" spans="1:9" ht="22.7" customHeight="1" x14ac:dyDescent="0.25">
      <c r="A397" s="29" t="s">
        <v>155</v>
      </c>
      <c r="B397" s="20" t="s">
        <v>1202</v>
      </c>
      <c r="C397" s="40" t="s">
        <v>251</v>
      </c>
      <c r="D397" s="40" t="s">
        <v>222</v>
      </c>
      <c r="E397" s="40" t="s">
        <v>258</v>
      </c>
      <c r="F397" s="40" t="s">
        <v>649</v>
      </c>
      <c r="G397" s="10">
        <f>G396</f>
        <v>10</v>
      </c>
      <c r="H397" s="10">
        <f>H396</f>
        <v>0</v>
      </c>
      <c r="I397" s="416">
        <f t="shared" si="55"/>
        <v>0</v>
      </c>
    </row>
    <row r="398" spans="1:9" ht="53.45" customHeight="1" x14ac:dyDescent="0.25">
      <c r="A398" s="41" t="s">
        <v>1386</v>
      </c>
      <c r="B398" s="3" t="s">
        <v>489</v>
      </c>
      <c r="C398" s="68"/>
      <c r="D398" s="68"/>
      <c r="E398" s="68"/>
      <c r="F398" s="68"/>
      <c r="G398" s="4">
        <f>G399+G406+G421+G432+G449+G439</f>
        <v>54409.43</v>
      </c>
      <c r="H398" s="4">
        <f>H399+H406+H421+H432+H449+H439</f>
        <v>12397.348</v>
      </c>
      <c r="I398" s="441">
        <f t="shared" si="55"/>
        <v>22.785292917055003</v>
      </c>
    </row>
    <row r="399" spans="1:9" s="202" customFormat="1" ht="31.5" x14ac:dyDescent="0.25">
      <c r="A399" s="23" t="s">
        <v>947</v>
      </c>
      <c r="B399" s="24" t="s">
        <v>1278</v>
      </c>
      <c r="C399" s="7"/>
      <c r="D399" s="7"/>
      <c r="E399" s="218"/>
      <c r="F399" s="196"/>
      <c r="G399" s="59">
        <f>G400</f>
        <v>48186.7</v>
      </c>
      <c r="H399" s="59">
        <f>H400</f>
        <v>10523.353999999999</v>
      </c>
      <c r="I399" s="441">
        <f t="shared" si="55"/>
        <v>21.83871068157811</v>
      </c>
    </row>
    <row r="400" spans="1:9" ht="17.45" customHeight="1" x14ac:dyDescent="0.25">
      <c r="A400" s="29" t="s">
        <v>497</v>
      </c>
      <c r="B400" s="40" t="s">
        <v>1278</v>
      </c>
      <c r="C400" s="2">
        <v>11</v>
      </c>
      <c r="D400" s="68"/>
      <c r="E400" s="68"/>
      <c r="F400" s="68"/>
      <c r="G400" s="10">
        <f t="shared" ref="G400:H400" si="65">G401</f>
        <v>48186.7</v>
      </c>
      <c r="H400" s="10">
        <f t="shared" si="65"/>
        <v>10523.353999999999</v>
      </c>
      <c r="I400" s="416">
        <f t="shared" si="55"/>
        <v>21.83871068157811</v>
      </c>
    </row>
    <row r="401" spans="1:9" ht="19.5" customHeight="1" x14ac:dyDescent="0.25">
      <c r="A401" s="29" t="s">
        <v>499</v>
      </c>
      <c r="B401" s="40" t="s">
        <v>1278</v>
      </c>
      <c r="C401" s="40" t="s">
        <v>498</v>
      </c>
      <c r="D401" s="40" t="s">
        <v>125</v>
      </c>
      <c r="E401" s="71"/>
      <c r="F401" s="5"/>
      <c r="G401" s="10">
        <f t="shared" ref="G401:H403" si="66">G402</f>
        <v>48186.7</v>
      </c>
      <c r="H401" s="10">
        <f t="shared" si="66"/>
        <v>10523.353999999999</v>
      </c>
      <c r="I401" s="416">
        <f t="shared" si="55"/>
        <v>21.83871068157811</v>
      </c>
    </row>
    <row r="402" spans="1:9" ht="31.5" x14ac:dyDescent="0.25">
      <c r="A402" s="25" t="s">
        <v>1308</v>
      </c>
      <c r="B402" s="20" t="s">
        <v>1279</v>
      </c>
      <c r="C402" s="40" t="s">
        <v>498</v>
      </c>
      <c r="D402" s="40" t="s">
        <v>125</v>
      </c>
      <c r="E402" s="71"/>
      <c r="F402" s="5"/>
      <c r="G402" s="10">
        <f t="shared" si="66"/>
        <v>48186.7</v>
      </c>
      <c r="H402" s="10">
        <f t="shared" si="66"/>
        <v>10523.353999999999</v>
      </c>
      <c r="I402" s="416">
        <f t="shared" ref="I402:I465" si="67">H402/G402*100</f>
        <v>21.83871068157811</v>
      </c>
    </row>
    <row r="403" spans="1:9" ht="31.5" x14ac:dyDescent="0.25">
      <c r="A403" s="29" t="s">
        <v>279</v>
      </c>
      <c r="B403" s="20" t="s">
        <v>1279</v>
      </c>
      <c r="C403" s="40" t="s">
        <v>498</v>
      </c>
      <c r="D403" s="40" t="s">
        <v>125</v>
      </c>
      <c r="E403" s="40" t="s">
        <v>280</v>
      </c>
      <c r="F403" s="5"/>
      <c r="G403" s="10">
        <f t="shared" si="66"/>
        <v>48186.7</v>
      </c>
      <c r="H403" s="10">
        <f t="shared" si="66"/>
        <v>10523.353999999999</v>
      </c>
      <c r="I403" s="416">
        <f t="shared" si="67"/>
        <v>21.83871068157811</v>
      </c>
    </row>
    <row r="404" spans="1:9" ht="15.75" x14ac:dyDescent="0.25">
      <c r="A404" s="29" t="s">
        <v>281</v>
      </c>
      <c r="B404" s="20" t="s">
        <v>1279</v>
      </c>
      <c r="C404" s="40" t="s">
        <v>498</v>
      </c>
      <c r="D404" s="40" t="s">
        <v>125</v>
      </c>
      <c r="E404" s="40" t="s">
        <v>282</v>
      </c>
      <c r="F404" s="5"/>
      <c r="G404" s="10">
        <f>'Пр.4 ведом.21'!G760</f>
        <v>48186.7</v>
      </c>
      <c r="H404" s="10">
        <f>'Пр.4 ведом.21'!H760</f>
        <v>10523.353999999999</v>
      </c>
      <c r="I404" s="416">
        <f t="shared" si="67"/>
        <v>21.83871068157811</v>
      </c>
    </row>
    <row r="405" spans="1:9" s="202" customFormat="1" ht="31.5" x14ac:dyDescent="0.25">
      <c r="A405" s="45" t="s">
        <v>487</v>
      </c>
      <c r="B405" s="20" t="s">
        <v>1279</v>
      </c>
      <c r="C405" s="40" t="s">
        <v>498</v>
      </c>
      <c r="D405" s="40" t="s">
        <v>125</v>
      </c>
      <c r="E405" s="40" t="s">
        <v>282</v>
      </c>
      <c r="F405" s="5">
        <v>907</v>
      </c>
      <c r="G405" s="10">
        <f>G404</f>
        <v>48186.7</v>
      </c>
      <c r="H405" s="10">
        <f>H404</f>
        <v>10523.353999999999</v>
      </c>
      <c r="I405" s="416">
        <f t="shared" si="67"/>
        <v>21.83871068157811</v>
      </c>
    </row>
    <row r="406" spans="1:9" s="202" customFormat="1" ht="31.5" x14ac:dyDescent="0.25">
      <c r="A406" s="23" t="s">
        <v>955</v>
      </c>
      <c r="B406" s="24" t="s">
        <v>1280</v>
      </c>
      <c r="C406" s="7"/>
      <c r="D406" s="7"/>
      <c r="E406" s="7"/>
      <c r="F406" s="196"/>
      <c r="G406" s="59">
        <f>G407</f>
        <v>736</v>
      </c>
      <c r="H406" s="59">
        <f>H407</f>
        <v>36</v>
      </c>
      <c r="I406" s="441">
        <f t="shared" si="67"/>
        <v>4.8913043478260869</v>
      </c>
    </row>
    <row r="407" spans="1:9" s="202" customFormat="1" ht="15.75" x14ac:dyDescent="0.25">
      <c r="A407" s="29" t="s">
        <v>497</v>
      </c>
      <c r="B407" s="20" t="s">
        <v>1280</v>
      </c>
      <c r="C407" s="2">
        <v>11</v>
      </c>
      <c r="D407" s="68"/>
      <c r="E407" s="68"/>
      <c r="F407" s="68"/>
      <c r="G407" s="10">
        <f t="shared" ref="G407:H407" si="68">G408</f>
        <v>736</v>
      </c>
      <c r="H407" s="10">
        <f t="shared" si="68"/>
        <v>36</v>
      </c>
      <c r="I407" s="416">
        <f t="shared" si="67"/>
        <v>4.8913043478260869</v>
      </c>
    </row>
    <row r="408" spans="1:9" s="202" customFormat="1" ht="16.5" x14ac:dyDescent="0.25">
      <c r="A408" s="29" t="s">
        <v>499</v>
      </c>
      <c r="B408" s="20" t="s">
        <v>1280</v>
      </c>
      <c r="C408" s="40" t="s">
        <v>498</v>
      </c>
      <c r="D408" s="40" t="s">
        <v>125</v>
      </c>
      <c r="E408" s="71"/>
      <c r="F408" s="5"/>
      <c r="G408" s="10">
        <f>G409+G413+G417</f>
        <v>736</v>
      </c>
      <c r="H408" s="10">
        <f>H409+H413+H417</f>
        <v>36</v>
      </c>
      <c r="I408" s="416">
        <f t="shared" si="67"/>
        <v>4.8913043478260869</v>
      </c>
    </row>
    <row r="409" spans="1:9" ht="31.7" hidden="1" customHeight="1" x14ac:dyDescent="0.25">
      <c r="A409" s="29" t="s">
        <v>285</v>
      </c>
      <c r="B409" s="20" t="s">
        <v>1338</v>
      </c>
      <c r="C409" s="40" t="s">
        <v>498</v>
      </c>
      <c r="D409" s="40" t="s">
        <v>125</v>
      </c>
      <c r="E409" s="40"/>
      <c r="F409" s="5"/>
      <c r="G409" s="10">
        <f t="shared" ref="G409:H410" si="69">G410</f>
        <v>0</v>
      </c>
      <c r="H409" s="10">
        <f t="shared" si="69"/>
        <v>0</v>
      </c>
      <c r="I409" s="416" t="e">
        <f t="shared" si="67"/>
        <v>#DIV/0!</v>
      </c>
    </row>
    <row r="410" spans="1:9" ht="31.7" hidden="1" customHeight="1" x14ac:dyDescent="0.25">
      <c r="A410" s="29" t="s">
        <v>279</v>
      </c>
      <c r="B410" s="20" t="s">
        <v>1338</v>
      </c>
      <c r="C410" s="40" t="s">
        <v>498</v>
      </c>
      <c r="D410" s="40" t="s">
        <v>125</v>
      </c>
      <c r="E410" s="40" t="s">
        <v>280</v>
      </c>
      <c r="F410" s="5"/>
      <c r="G410" s="10">
        <f t="shared" si="69"/>
        <v>0</v>
      </c>
      <c r="H410" s="10">
        <f t="shared" si="69"/>
        <v>0</v>
      </c>
      <c r="I410" s="416" t="e">
        <f t="shared" si="67"/>
        <v>#DIV/0!</v>
      </c>
    </row>
    <row r="411" spans="1:9" ht="15.75" hidden="1" customHeight="1" x14ac:dyDescent="0.25">
      <c r="A411" s="29" t="s">
        <v>281</v>
      </c>
      <c r="B411" s="20" t="s">
        <v>1338</v>
      </c>
      <c r="C411" s="40" t="s">
        <v>498</v>
      </c>
      <c r="D411" s="40" t="s">
        <v>125</v>
      </c>
      <c r="E411" s="40" t="s">
        <v>282</v>
      </c>
      <c r="F411" s="5"/>
      <c r="G411" s="10">
        <f>'Пр.4 ведом.21'!G764</f>
        <v>0</v>
      </c>
      <c r="H411" s="10">
        <f>'Пр.4 ведом.21'!H764</f>
        <v>0</v>
      </c>
      <c r="I411" s="416" t="e">
        <f t="shared" si="67"/>
        <v>#DIV/0!</v>
      </c>
    </row>
    <row r="412" spans="1:9" s="202" customFormat="1" ht="34.5" hidden="1" customHeight="1" x14ac:dyDescent="0.25">
      <c r="A412" s="45" t="s">
        <v>487</v>
      </c>
      <c r="B412" s="20" t="s">
        <v>1338</v>
      </c>
      <c r="C412" s="40" t="s">
        <v>498</v>
      </c>
      <c r="D412" s="40" t="s">
        <v>125</v>
      </c>
      <c r="E412" s="40" t="s">
        <v>282</v>
      </c>
      <c r="F412" s="5">
        <v>907</v>
      </c>
      <c r="G412" s="10">
        <f>G411</f>
        <v>0</v>
      </c>
      <c r="H412" s="10">
        <f>H411</f>
        <v>0</v>
      </c>
      <c r="I412" s="416" t="e">
        <f t="shared" si="67"/>
        <v>#DIV/0!</v>
      </c>
    </row>
    <row r="413" spans="1:9" ht="31.7" customHeight="1" x14ac:dyDescent="0.25">
      <c r="A413" s="29" t="s">
        <v>287</v>
      </c>
      <c r="B413" s="20" t="s">
        <v>1339</v>
      </c>
      <c r="C413" s="40" t="s">
        <v>498</v>
      </c>
      <c r="D413" s="40" t="s">
        <v>125</v>
      </c>
      <c r="E413" s="40"/>
      <c r="F413" s="5"/>
      <c r="G413" s="10">
        <f t="shared" ref="G413:H414" si="70">G414</f>
        <v>700</v>
      </c>
      <c r="H413" s="10">
        <f t="shared" si="70"/>
        <v>0</v>
      </c>
      <c r="I413" s="416">
        <f t="shared" si="67"/>
        <v>0</v>
      </c>
    </row>
    <row r="414" spans="1:9" ht="31.7" customHeight="1" x14ac:dyDescent="0.25">
      <c r="A414" s="29" t="s">
        <v>279</v>
      </c>
      <c r="B414" s="20" t="s">
        <v>1339</v>
      </c>
      <c r="C414" s="40" t="s">
        <v>498</v>
      </c>
      <c r="D414" s="40" t="s">
        <v>125</v>
      </c>
      <c r="E414" s="40" t="s">
        <v>280</v>
      </c>
      <c r="F414" s="5"/>
      <c r="G414" s="10">
        <f t="shared" si="70"/>
        <v>700</v>
      </c>
      <c r="H414" s="10">
        <f t="shared" si="70"/>
        <v>0</v>
      </c>
      <c r="I414" s="416">
        <f t="shared" si="67"/>
        <v>0</v>
      </c>
    </row>
    <row r="415" spans="1:9" ht="15.75" customHeight="1" x14ac:dyDescent="0.25">
      <c r="A415" s="29" t="s">
        <v>281</v>
      </c>
      <c r="B415" s="20" t="s">
        <v>1339</v>
      </c>
      <c r="C415" s="40" t="s">
        <v>498</v>
      </c>
      <c r="D415" s="40" t="s">
        <v>125</v>
      </c>
      <c r="E415" s="40" t="s">
        <v>282</v>
      </c>
      <c r="F415" s="5"/>
      <c r="G415" s="10">
        <f>'Пр.4 ведом.21'!G767</f>
        <v>700</v>
      </c>
      <c r="H415" s="10">
        <f>'Пр.4 ведом.21'!H767</f>
        <v>0</v>
      </c>
      <c r="I415" s="416">
        <f t="shared" si="67"/>
        <v>0</v>
      </c>
    </row>
    <row r="416" spans="1:9" s="202" customFormat="1" ht="36" customHeight="1" x14ac:dyDescent="0.25">
      <c r="A416" s="45" t="s">
        <v>487</v>
      </c>
      <c r="B416" s="20" t="s">
        <v>1339</v>
      </c>
      <c r="C416" s="40" t="s">
        <v>498</v>
      </c>
      <c r="D416" s="40" t="s">
        <v>125</v>
      </c>
      <c r="E416" s="40" t="s">
        <v>282</v>
      </c>
      <c r="F416" s="5">
        <v>907</v>
      </c>
      <c r="G416" s="10">
        <f>G415</f>
        <v>700</v>
      </c>
      <c r="H416" s="10">
        <f>H415</f>
        <v>0</v>
      </c>
      <c r="I416" s="416">
        <f t="shared" si="67"/>
        <v>0</v>
      </c>
    </row>
    <row r="417" spans="1:9" s="202" customFormat="1" ht="15.75" customHeight="1" x14ac:dyDescent="0.25">
      <c r="A417" s="25" t="s">
        <v>840</v>
      </c>
      <c r="B417" s="20" t="s">
        <v>1281</v>
      </c>
      <c r="C417" s="40" t="s">
        <v>498</v>
      </c>
      <c r="D417" s="40" t="s">
        <v>125</v>
      </c>
      <c r="E417" s="40"/>
      <c r="F417" s="5"/>
      <c r="G417" s="10">
        <f>G418</f>
        <v>36</v>
      </c>
      <c r="H417" s="10">
        <f>H418</f>
        <v>36</v>
      </c>
      <c r="I417" s="416">
        <f t="shared" si="67"/>
        <v>100</v>
      </c>
    </row>
    <row r="418" spans="1:9" s="202" customFormat="1" ht="31.5" x14ac:dyDescent="0.25">
      <c r="A418" s="25" t="s">
        <v>279</v>
      </c>
      <c r="B418" s="20" t="s">
        <v>1281</v>
      </c>
      <c r="C418" s="40" t="s">
        <v>498</v>
      </c>
      <c r="D418" s="40" t="s">
        <v>125</v>
      </c>
      <c r="E418" s="40" t="s">
        <v>280</v>
      </c>
      <c r="F418" s="5"/>
      <c r="G418" s="10">
        <f>G419</f>
        <v>36</v>
      </c>
      <c r="H418" s="10">
        <f>H419</f>
        <v>36</v>
      </c>
      <c r="I418" s="416">
        <f t="shared" si="67"/>
        <v>100</v>
      </c>
    </row>
    <row r="419" spans="1:9" s="202" customFormat="1" ht="15.75" customHeight="1" x14ac:dyDescent="0.25">
      <c r="A419" s="25" t="s">
        <v>281</v>
      </c>
      <c r="B419" s="20" t="s">
        <v>1281</v>
      </c>
      <c r="C419" s="40" t="s">
        <v>498</v>
      </c>
      <c r="D419" s="40" t="s">
        <v>125</v>
      </c>
      <c r="E419" s="40" t="s">
        <v>282</v>
      </c>
      <c r="F419" s="5"/>
      <c r="G419" s="10">
        <f>'Пр.4 ведом.21'!G770</f>
        <v>36</v>
      </c>
      <c r="H419" s="10">
        <f>'Пр.4 ведом.21'!H770</f>
        <v>36</v>
      </c>
      <c r="I419" s="416">
        <f t="shared" si="67"/>
        <v>100</v>
      </c>
    </row>
    <row r="420" spans="1:9" s="202" customFormat="1" ht="33" customHeight="1" x14ac:dyDescent="0.25">
      <c r="A420" s="45" t="s">
        <v>487</v>
      </c>
      <c r="B420" s="20" t="s">
        <v>1281</v>
      </c>
      <c r="C420" s="40" t="s">
        <v>498</v>
      </c>
      <c r="D420" s="40" t="s">
        <v>125</v>
      </c>
      <c r="E420" s="40" t="s">
        <v>282</v>
      </c>
      <c r="F420" s="5">
        <v>907</v>
      </c>
      <c r="G420" s="10">
        <f>G419</f>
        <v>36</v>
      </c>
      <c r="H420" s="10">
        <f>H419</f>
        <v>36</v>
      </c>
      <c r="I420" s="416">
        <f t="shared" si="67"/>
        <v>100</v>
      </c>
    </row>
    <row r="421" spans="1:9" s="202" customFormat="1" ht="36" customHeight="1" x14ac:dyDescent="0.25">
      <c r="A421" s="23" t="s">
        <v>957</v>
      </c>
      <c r="B421" s="24" t="s">
        <v>1282</v>
      </c>
      <c r="C421" s="7"/>
      <c r="D421" s="7"/>
      <c r="E421" s="7"/>
      <c r="F421" s="196"/>
      <c r="G421" s="59">
        <f>G422</f>
        <v>1204</v>
      </c>
      <c r="H421" s="59">
        <f>H422</f>
        <v>627</v>
      </c>
      <c r="I421" s="441">
        <f t="shared" si="67"/>
        <v>52.076411960132894</v>
      </c>
    </row>
    <row r="422" spans="1:9" s="202" customFormat="1" ht="18" customHeight="1" x14ac:dyDescent="0.25">
      <c r="A422" s="29" t="s">
        <v>497</v>
      </c>
      <c r="B422" s="20" t="s">
        <v>1282</v>
      </c>
      <c r="C422" s="2">
        <v>11</v>
      </c>
      <c r="D422" s="68"/>
      <c r="E422" s="68"/>
      <c r="F422" s="68"/>
      <c r="G422" s="10">
        <f t="shared" ref="G422:H422" si="71">G423</f>
        <v>1204</v>
      </c>
      <c r="H422" s="10">
        <f t="shared" si="71"/>
        <v>627</v>
      </c>
      <c r="I422" s="416">
        <f t="shared" si="67"/>
        <v>52.076411960132894</v>
      </c>
    </row>
    <row r="423" spans="1:9" s="202" customFormat="1" ht="18" customHeight="1" x14ac:dyDescent="0.25">
      <c r="A423" s="29" t="s">
        <v>499</v>
      </c>
      <c r="B423" s="20" t="s">
        <v>1282</v>
      </c>
      <c r="C423" s="40" t="s">
        <v>498</v>
      </c>
      <c r="D423" s="40" t="s">
        <v>125</v>
      </c>
      <c r="E423" s="71"/>
      <c r="F423" s="5"/>
      <c r="G423" s="10">
        <f>G424+G428</f>
        <v>1204</v>
      </c>
      <c r="H423" s="10">
        <f>H424+H428</f>
        <v>627</v>
      </c>
      <c r="I423" s="416">
        <f t="shared" si="67"/>
        <v>52.076411960132894</v>
      </c>
    </row>
    <row r="424" spans="1:9" ht="31.7" hidden="1" customHeight="1" x14ac:dyDescent="0.25">
      <c r="A424" s="29" t="s">
        <v>291</v>
      </c>
      <c r="B424" s="20" t="s">
        <v>1320</v>
      </c>
      <c r="C424" s="40" t="s">
        <v>498</v>
      </c>
      <c r="D424" s="40" t="s">
        <v>125</v>
      </c>
      <c r="E424" s="40"/>
      <c r="F424" s="5"/>
      <c r="G424" s="10">
        <f t="shared" ref="G424:H425" si="72">G425</f>
        <v>0</v>
      </c>
      <c r="H424" s="10">
        <f t="shared" si="72"/>
        <v>0</v>
      </c>
      <c r="I424" s="416" t="e">
        <f t="shared" si="67"/>
        <v>#DIV/0!</v>
      </c>
    </row>
    <row r="425" spans="1:9" ht="31.7" hidden="1" customHeight="1" x14ac:dyDescent="0.25">
      <c r="A425" s="29" t="s">
        <v>279</v>
      </c>
      <c r="B425" s="20" t="s">
        <v>1320</v>
      </c>
      <c r="C425" s="40" t="s">
        <v>498</v>
      </c>
      <c r="D425" s="40" t="s">
        <v>125</v>
      </c>
      <c r="E425" s="40" t="s">
        <v>280</v>
      </c>
      <c r="F425" s="5"/>
      <c r="G425" s="10">
        <f t="shared" si="72"/>
        <v>0</v>
      </c>
      <c r="H425" s="10">
        <f t="shared" si="72"/>
        <v>0</v>
      </c>
      <c r="I425" s="416" t="e">
        <f t="shared" si="67"/>
        <v>#DIV/0!</v>
      </c>
    </row>
    <row r="426" spans="1:9" ht="15.75" hidden="1" customHeight="1" x14ac:dyDescent="0.25">
      <c r="A426" s="29" t="s">
        <v>281</v>
      </c>
      <c r="B426" s="20" t="s">
        <v>1320</v>
      </c>
      <c r="C426" s="40" t="s">
        <v>498</v>
      </c>
      <c r="D426" s="40" t="s">
        <v>125</v>
      </c>
      <c r="E426" s="40" t="s">
        <v>282</v>
      </c>
      <c r="F426" s="5"/>
      <c r="G426" s="10">
        <f>'Пр.4 ведом.21'!G774</f>
        <v>0</v>
      </c>
      <c r="H426" s="10">
        <f>'Пр.4 ведом.21'!H774</f>
        <v>0</v>
      </c>
      <c r="I426" s="416" t="e">
        <f t="shared" si="67"/>
        <v>#DIV/0!</v>
      </c>
    </row>
    <row r="427" spans="1:9" s="202" customFormat="1" ht="39.75" hidden="1" customHeight="1" x14ac:dyDescent="0.25">
      <c r="A427" s="45" t="s">
        <v>487</v>
      </c>
      <c r="B427" s="20" t="s">
        <v>1320</v>
      </c>
      <c r="C427" s="40" t="s">
        <v>498</v>
      </c>
      <c r="D427" s="40" t="s">
        <v>125</v>
      </c>
      <c r="E427" s="40" t="s">
        <v>282</v>
      </c>
      <c r="F427" s="5">
        <v>907</v>
      </c>
      <c r="G427" s="10">
        <f>G426</f>
        <v>0</v>
      </c>
      <c r="H427" s="10">
        <f>H426</f>
        <v>0</v>
      </c>
      <c r="I427" s="416" t="e">
        <f t="shared" si="67"/>
        <v>#DIV/0!</v>
      </c>
    </row>
    <row r="428" spans="1:9" ht="31.5" x14ac:dyDescent="0.25">
      <c r="A428" s="45" t="s">
        <v>774</v>
      </c>
      <c r="B428" s="20" t="s">
        <v>1283</v>
      </c>
      <c r="C428" s="40" t="s">
        <v>498</v>
      </c>
      <c r="D428" s="40" t="s">
        <v>125</v>
      </c>
      <c r="E428" s="40"/>
      <c r="F428" s="5"/>
      <c r="G428" s="10">
        <f t="shared" ref="G428:H429" si="73">G429</f>
        <v>1204</v>
      </c>
      <c r="H428" s="10">
        <f t="shared" si="73"/>
        <v>627</v>
      </c>
      <c r="I428" s="416">
        <f t="shared" si="67"/>
        <v>52.076411960132894</v>
      </c>
    </row>
    <row r="429" spans="1:9" ht="31.5" x14ac:dyDescent="0.25">
      <c r="A429" s="31" t="s">
        <v>279</v>
      </c>
      <c r="B429" s="20" t="s">
        <v>1283</v>
      </c>
      <c r="C429" s="40" t="s">
        <v>498</v>
      </c>
      <c r="D429" s="40" t="s">
        <v>125</v>
      </c>
      <c r="E429" s="40" t="s">
        <v>280</v>
      </c>
      <c r="F429" s="5"/>
      <c r="G429" s="10">
        <f t="shared" si="73"/>
        <v>1204</v>
      </c>
      <c r="H429" s="10">
        <f t="shared" si="73"/>
        <v>627</v>
      </c>
      <c r="I429" s="416">
        <f t="shared" si="67"/>
        <v>52.076411960132894</v>
      </c>
    </row>
    <row r="430" spans="1:9" ht="15.75" x14ac:dyDescent="0.25">
      <c r="A430" s="31" t="s">
        <v>281</v>
      </c>
      <c r="B430" s="20" t="s">
        <v>1283</v>
      </c>
      <c r="C430" s="40" t="s">
        <v>498</v>
      </c>
      <c r="D430" s="40" t="s">
        <v>125</v>
      </c>
      <c r="E430" s="40" t="s">
        <v>282</v>
      </c>
      <c r="F430" s="5"/>
      <c r="G430" s="10">
        <f>'Пр.4 ведом.21'!G777</f>
        <v>1204</v>
      </c>
      <c r="H430" s="10">
        <f>'Пр.4 ведом.21'!H777</f>
        <v>627</v>
      </c>
      <c r="I430" s="416">
        <f t="shared" si="67"/>
        <v>52.076411960132894</v>
      </c>
    </row>
    <row r="431" spans="1:9" s="202" customFormat="1" ht="31.5" x14ac:dyDescent="0.25">
      <c r="A431" s="45" t="s">
        <v>487</v>
      </c>
      <c r="B431" s="20" t="s">
        <v>1283</v>
      </c>
      <c r="C431" s="40" t="s">
        <v>498</v>
      </c>
      <c r="D431" s="40" t="s">
        <v>125</v>
      </c>
      <c r="E431" s="40" t="s">
        <v>282</v>
      </c>
      <c r="F431" s="5">
        <v>907</v>
      </c>
      <c r="G431" s="10">
        <f>G430</f>
        <v>1204</v>
      </c>
      <c r="H431" s="10">
        <f>H430</f>
        <v>627</v>
      </c>
      <c r="I431" s="416">
        <f t="shared" si="67"/>
        <v>52.076411960132894</v>
      </c>
    </row>
    <row r="432" spans="1:9" s="202" customFormat="1" ht="47.25" x14ac:dyDescent="0.25">
      <c r="A432" s="23" t="s">
        <v>910</v>
      </c>
      <c r="B432" s="24" t="s">
        <v>1284</v>
      </c>
      <c r="C432" s="7"/>
      <c r="D432" s="7"/>
      <c r="E432" s="7"/>
      <c r="F432" s="196"/>
      <c r="G432" s="59">
        <f>G433</f>
        <v>813.5</v>
      </c>
      <c r="H432" s="59">
        <f>H433</f>
        <v>117.349</v>
      </c>
      <c r="I432" s="441">
        <f t="shared" si="67"/>
        <v>14.425199754148741</v>
      </c>
    </row>
    <row r="433" spans="1:9" s="202" customFormat="1" ht="15.75" x14ac:dyDescent="0.25">
      <c r="A433" s="29" t="s">
        <v>497</v>
      </c>
      <c r="B433" s="20" t="s">
        <v>1284</v>
      </c>
      <c r="C433" s="2">
        <v>11</v>
      </c>
      <c r="D433" s="68"/>
      <c r="E433" s="68"/>
      <c r="F433" s="68"/>
      <c r="G433" s="10">
        <f t="shared" ref="G433:H433" si="74">G434</f>
        <v>813.5</v>
      </c>
      <c r="H433" s="10">
        <f t="shared" si="74"/>
        <v>117.349</v>
      </c>
      <c r="I433" s="416">
        <f t="shared" si="67"/>
        <v>14.425199754148741</v>
      </c>
    </row>
    <row r="434" spans="1:9" s="202" customFormat="1" ht="16.5" x14ac:dyDescent="0.25">
      <c r="A434" s="29" t="s">
        <v>499</v>
      </c>
      <c r="B434" s="20" t="s">
        <v>1284</v>
      </c>
      <c r="C434" s="40" t="s">
        <v>498</v>
      </c>
      <c r="D434" s="40" t="s">
        <v>125</v>
      </c>
      <c r="E434" s="71"/>
      <c r="F434" s="5"/>
      <c r="G434" s="10">
        <f t="shared" ref="G434:H436" si="75">G435</f>
        <v>813.5</v>
      </c>
      <c r="H434" s="10">
        <f t="shared" si="75"/>
        <v>117.349</v>
      </c>
      <c r="I434" s="416">
        <f t="shared" si="67"/>
        <v>14.425199754148741</v>
      </c>
    </row>
    <row r="435" spans="1:9" s="202" customFormat="1" ht="94.5" x14ac:dyDescent="0.25">
      <c r="A435" s="31" t="s">
        <v>471</v>
      </c>
      <c r="B435" s="20" t="s">
        <v>1419</v>
      </c>
      <c r="C435" s="40" t="s">
        <v>498</v>
      </c>
      <c r="D435" s="40" t="s">
        <v>125</v>
      </c>
      <c r="E435" s="40"/>
      <c r="F435" s="5"/>
      <c r="G435" s="10">
        <f t="shared" si="75"/>
        <v>813.5</v>
      </c>
      <c r="H435" s="10">
        <f t="shared" si="75"/>
        <v>117.349</v>
      </c>
      <c r="I435" s="416">
        <f t="shared" si="67"/>
        <v>14.425199754148741</v>
      </c>
    </row>
    <row r="436" spans="1:9" s="202" customFormat="1" ht="31.5" x14ac:dyDescent="0.25">
      <c r="A436" s="25" t="s">
        <v>279</v>
      </c>
      <c r="B436" s="20" t="s">
        <v>1419</v>
      </c>
      <c r="C436" s="40" t="s">
        <v>498</v>
      </c>
      <c r="D436" s="40" t="s">
        <v>125</v>
      </c>
      <c r="E436" s="40" t="s">
        <v>280</v>
      </c>
      <c r="F436" s="5"/>
      <c r="G436" s="10">
        <f t="shared" si="75"/>
        <v>813.5</v>
      </c>
      <c r="H436" s="10">
        <f t="shared" si="75"/>
        <v>117.349</v>
      </c>
      <c r="I436" s="416">
        <f t="shared" si="67"/>
        <v>14.425199754148741</v>
      </c>
    </row>
    <row r="437" spans="1:9" s="202" customFormat="1" ht="15.75" x14ac:dyDescent="0.25">
      <c r="A437" s="25" t="s">
        <v>281</v>
      </c>
      <c r="B437" s="20" t="s">
        <v>1419</v>
      </c>
      <c r="C437" s="40" t="s">
        <v>498</v>
      </c>
      <c r="D437" s="40" t="s">
        <v>125</v>
      </c>
      <c r="E437" s="40" t="s">
        <v>282</v>
      </c>
      <c r="F437" s="5"/>
      <c r="G437" s="10">
        <f>'Пр.3 Рд,пр, ЦС,ВР 21'!F909</f>
        <v>813.5</v>
      </c>
      <c r="H437" s="10">
        <f>'Пр.3 Рд,пр, ЦС,ВР 21'!G909</f>
        <v>117.349</v>
      </c>
      <c r="I437" s="416">
        <f t="shared" si="67"/>
        <v>14.425199754148741</v>
      </c>
    </row>
    <row r="438" spans="1:9" s="202" customFormat="1" ht="31.5" x14ac:dyDescent="0.25">
      <c r="A438" s="45" t="s">
        <v>487</v>
      </c>
      <c r="B438" s="20" t="s">
        <v>1419</v>
      </c>
      <c r="C438" s="40" t="s">
        <v>498</v>
      </c>
      <c r="D438" s="40" t="s">
        <v>125</v>
      </c>
      <c r="E438" s="40" t="s">
        <v>282</v>
      </c>
      <c r="F438" s="5">
        <v>907</v>
      </c>
      <c r="G438" s="10">
        <f>G437</f>
        <v>813.5</v>
      </c>
      <c r="H438" s="10">
        <f>H437</f>
        <v>117.349</v>
      </c>
      <c r="I438" s="416">
        <f t="shared" si="67"/>
        <v>14.425199754148741</v>
      </c>
    </row>
    <row r="439" spans="1:9" s="202" customFormat="1" ht="31.5" x14ac:dyDescent="0.25">
      <c r="A439" s="58" t="s">
        <v>961</v>
      </c>
      <c r="B439" s="7" t="s">
        <v>1286</v>
      </c>
      <c r="C439" s="7"/>
      <c r="D439" s="7"/>
      <c r="E439" s="7"/>
      <c r="F439" s="196"/>
      <c r="G439" s="4">
        <f t="shared" ref="G439:H441" si="76">G440</f>
        <v>2700</v>
      </c>
      <c r="H439" s="4">
        <f t="shared" si="76"/>
        <v>793.745</v>
      </c>
      <c r="I439" s="441">
        <f t="shared" si="67"/>
        <v>29.397962962962964</v>
      </c>
    </row>
    <row r="440" spans="1:9" ht="15.75" x14ac:dyDescent="0.25">
      <c r="A440" s="29" t="s">
        <v>497</v>
      </c>
      <c r="B440" s="40" t="s">
        <v>1286</v>
      </c>
      <c r="C440" s="40" t="s">
        <v>498</v>
      </c>
      <c r="D440" s="40"/>
      <c r="E440" s="40"/>
      <c r="F440" s="5"/>
      <c r="G440" s="6">
        <f t="shared" si="76"/>
        <v>2700</v>
      </c>
      <c r="H440" s="6">
        <f t="shared" si="76"/>
        <v>793.745</v>
      </c>
      <c r="I440" s="416">
        <f t="shared" si="67"/>
        <v>29.397962962962964</v>
      </c>
    </row>
    <row r="441" spans="1:9" ht="31.5" x14ac:dyDescent="0.25">
      <c r="A441" s="25" t="s">
        <v>507</v>
      </c>
      <c r="B441" s="40" t="s">
        <v>1286</v>
      </c>
      <c r="C441" s="40" t="s">
        <v>498</v>
      </c>
      <c r="D441" s="40" t="s">
        <v>241</v>
      </c>
      <c r="E441" s="40"/>
      <c r="F441" s="5"/>
      <c r="G441" s="6">
        <f t="shared" si="76"/>
        <v>2700</v>
      </c>
      <c r="H441" s="6">
        <f t="shared" si="76"/>
        <v>793.745</v>
      </c>
      <c r="I441" s="416">
        <f t="shared" si="67"/>
        <v>29.397962962962964</v>
      </c>
    </row>
    <row r="442" spans="1:9" ht="15.75" x14ac:dyDescent="0.25">
      <c r="A442" s="29" t="s">
        <v>962</v>
      </c>
      <c r="B442" s="40" t="s">
        <v>1287</v>
      </c>
      <c r="C442" s="40" t="s">
        <v>498</v>
      </c>
      <c r="D442" s="40" t="s">
        <v>241</v>
      </c>
      <c r="E442" s="40"/>
      <c r="F442" s="5"/>
      <c r="G442" s="6">
        <f>G443+G446</f>
        <v>2700</v>
      </c>
      <c r="H442" s="6">
        <f>H443+H446</f>
        <v>793.745</v>
      </c>
      <c r="I442" s="416">
        <f t="shared" si="67"/>
        <v>29.397962962962964</v>
      </c>
    </row>
    <row r="443" spans="1:9" ht="78.75" x14ac:dyDescent="0.25">
      <c r="A443" s="25" t="s">
        <v>134</v>
      </c>
      <c r="B443" s="40" t="s">
        <v>1287</v>
      </c>
      <c r="C443" s="40" t="s">
        <v>498</v>
      </c>
      <c r="D443" s="40" t="s">
        <v>241</v>
      </c>
      <c r="E443" s="40" t="s">
        <v>135</v>
      </c>
      <c r="F443" s="5"/>
      <c r="G443" s="6">
        <f t="shared" ref="G443:H443" si="77">G444</f>
        <v>2200</v>
      </c>
      <c r="H443" s="6">
        <f t="shared" si="77"/>
        <v>615.4</v>
      </c>
      <c r="I443" s="416">
        <f t="shared" si="67"/>
        <v>27.972727272727273</v>
      </c>
    </row>
    <row r="444" spans="1:9" ht="24" customHeight="1" x14ac:dyDescent="0.25">
      <c r="A444" s="25" t="s">
        <v>349</v>
      </c>
      <c r="B444" s="40" t="s">
        <v>1287</v>
      </c>
      <c r="C444" s="40" t="s">
        <v>498</v>
      </c>
      <c r="D444" s="40" t="s">
        <v>241</v>
      </c>
      <c r="E444" s="40" t="s">
        <v>216</v>
      </c>
      <c r="F444" s="5"/>
      <c r="G444" s="6">
        <f>'Пр.4 ведом.21'!G816</f>
        <v>2200</v>
      </c>
      <c r="H444" s="6">
        <f>'Пр.4 ведом.21'!H816</f>
        <v>615.4</v>
      </c>
      <c r="I444" s="416">
        <f t="shared" si="67"/>
        <v>27.972727272727273</v>
      </c>
    </row>
    <row r="445" spans="1:9" s="202" customFormat="1" ht="33" customHeight="1" x14ac:dyDescent="0.25">
      <c r="A445" s="45" t="s">
        <v>487</v>
      </c>
      <c r="B445" s="40" t="s">
        <v>1287</v>
      </c>
      <c r="C445" s="40" t="s">
        <v>498</v>
      </c>
      <c r="D445" s="40" t="s">
        <v>241</v>
      </c>
      <c r="E445" s="40" t="s">
        <v>216</v>
      </c>
      <c r="F445" s="5">
        <v>907</v>
      </c>
      <c r="G445" s="10">
        <f>G444</f>
        <v>2200</v>
      </c>
      <c r="H445" s="10">
        <f>H444</f>
        <v>615.4</v>
      </c>
      <c r="I445" s="416">
        <f t="shared" si="67"/>
        <v>27.972727272727273</v>
      </c>
    </row>
    <row r="446" spans="1:9" ht="31.5" x14ac:dyDescent="0.25">
      <c r="A446" s="29" t="s">
        <v>138</v>
      </c>
      <c r="B446" s="40" t="s">
        <v>1287</v>
      </c>
      <c r="C446" s="40" t="s">
        <v>498</v>
      </c>
      <c r="D446" s="40" t="s">
        <v>241</v>
      </c>
      <c r="E446" s="40" t="s">
        <v>139</v>
      </c>
      <c r="F446" s="5"/>
      <c r="G446" s="6">
        <f t="shared" ref="G446:H446" si="78">G447</f>
        <v>500</v>
      </c>
      <c r="H446" s="6">
        <f t="shared" si="78"/>
        <v>178.345</v>
      </c>
      <c r="I446" s="416">
        <f t="shared" si="67"/>
        <v>35.669000000000004</v>
      </c>
    </row>
    <row r="447" spans="1:9" ht="31.5" x14ac:dyDescent="0.25">
      <c r="A447" s="29" t="s">
        <v>140</v>
      </c>
      <c r="B447" s="40" t="s">
        <v>1287</v>
      </c>
      <c r="C447" s="40" t="s">
        <v>498</v>
      </c>
      <c r="D447" s="40" t="s">
        <v>241</v>
      </c>
      <c r="E447" s="40" t="s">
        <v>141</v>
      </c>
      <c r="F447" s="5"/>
      <c r="G447" s="6">
        <f>'Пр.4 ведом.21'!G818</f>
        <v>500</v>
      </c>
      <c r="H447" s="6">
        <f>'Пр.4 ведом.21'!H818</f>
        <v>178.345</v>
      </c>
      <c r="I447" s="416">
        <f t="shared" si="67"/>
        <v>35.669000000000004</v>
      </c>
    </row>
    <row r="448" spans="1:9" ht="31.5" x14ac:dyDescent="0.25">
      <c r="A448" s="45" t="s">
        <v>487</v>
      </c>
      <c r="B448" s="40" t="s">
        <v>1287</v>
      </c>
      <c r="C448" s="40" t="s">
        <v>498</v>
      </c>
      <c r="D448" s="40" t="s">
        <v>241</v>
      </c>
      <c r="E448" s="40" t="s">
        <v>141</v>
      </c>
      <c r="F448" s="5">
        <v>907</v>
      </c>
      <c r="G448" s="10">
        <f>G447</f>
        <v>500</v>
      </c>
      <c r="H448" s="10">
        <f>H447</f>
        <v>178.345</v>
      </c>
      <c r="I448" s="416">
        <f t="shared" si="67"/>
        <v>35.669000000000004</v>
      </c>
    </row>
    <row r="449" spans="1:11" s="202" customFormat="1" ht="63" x14ac:dyDescent="0.25">
      <c r="A449" s="23" t="s">
        <v>1346</v>
      </c>
      <c r="B449" s="24" t="s">
        <v>1285</v>
      </c>
      <c r="C449" s="7"/>
      <c r="D449" s="7"/>
      <c r="E449" s="7"/>
      <c r="F449" s="196"/>
      <c r="G449" s="59">
        <f t="shared" ref="G449:H453" si="79">G450</f>
        <v>769.23</v>
      </c>
      <c r="H449" s="59">
        <f t="shared" si="79"/>
        <v>299.89999999999998</v>
      </c>
      <c r="I449" s="441">
        <f t="shared" si="67"/>
        <v>38.987038987038986</v>
      </c>
    </row>
    <row r="450" spans="1:11" s="202" customFormat="1" ht="15.75" x14ac:dyDescent="0.25">
      <c r="A450" s="29" t="s">
        <v>497</v>
      </c>
      <c r="B450" s="20" t="s">
        <v>1285</v>
      </c>
      <c r="C450" s="40" t="s">
        <v>498</v>
      </c>
      <c r="D450" s="40"/>
      <c r="E450" s="40"/>
      <c r="F450" s="5"/>
      <c r="G450" s="10">
        <f t="shared" si="79"/>
        <v>769.23</v>
      </c>
      <c r="H450" s="10">
        <f t="shared" si="79"/>
        <v>299.89999999999998</v>
      </c>
      <c r="I450" s="416">
        <f t="shared" si="67"/>
        <v>38.987038987038986</v>
      </c>
    </row>
    <row r="451" spans="1:11" s="202" customFormat="1" ht="15.75" x14ac:dyDescent="0.25">
      <c r="A451" s="29" t="s">
        <v>499</v>
      </c>
      <c r="B451" s="20" t="s">
        <v>1285</v>
      </c>
      <c r="C451" s="40" t="s">
        <v>498</v>
      </c>
      <c r="D451" s="40" t="s">
        <v>125</v>
      </c>
      <c r="E451" s="40"/>
      <c r="F451" s="5"/>
      <c r="G451" s="10">
        <f t="shared" si="79"/>
        <v>769.23</v>
      </c>
      <c r="H451" s="10">
        <f t="shared" si="79"/>
        <v>299.89999999999998</v>
      </c>
      <c r="I451" s="416">
        <f t="shared" si="67"/>
        <v>38.987038987038986</v>
      </c>
    </row>
    <row r="452" spans="1:11" s="202" customFormat="1" ht="47.25" x14ac:dyDescent="0.25">
      <c r="A452" s="25" t="s">
        <v>1208</v>
      </c>
      <c r="B452" s="20" t="s">
        <v>1340</v>
      </c>
      <c r="C452" s="40" t="s">
        <v>498</v>
      </c>
      <c r="D452" s="40" t="s">
        <v>125</v>
      </c>
      <c r="E452" s="40"/>
      <c r="F452" s="5"/>
      <c r="G452" s="10">
        <f t="shared" si="79"/>
        <v>769.23</v>
      </c>
      <c r="H452" s="10">
        <f t="shared" si="79"/>
        <v>299.89999999999998</v>
      </c>
      <c r="I452" s="416">
        <f t="shared" si="67"/>
        <v>38.987038987038986</v>
      </c>
    </row>
    <row r="453" spans="1:11" s="202" customFormat="1" ht="31.5" x14ac:dyDescent="0.25">
      <c r="A453" s="25" t="s">
        <v>279</v>
      </c>
      <c r="B453" s="20" t="s">
        <v>1340</v>
      </c>
      <c r="C453" s="40" t="s">
        <v>498</v>
      </c>
      <c r="D453" s="40" t="s">
        <v>125</v>
      </c>
      <c r="E453" s="40" t="s">
        <v>280</v>
      </c>
      <c r="F453" s="5"/>
      <c r="G453" s="10">
        <f t="shared" si="79"/>
        <v>769.23</v>
      </c>
      <c r="H453" s="10">
        <f t="shared" si="79"/>
        <v>299.89999999999998</v>
      </c>
      <c r="I453" s="416">
        <f t="shared" si="67"/>
        <v>38.987038987038986</v>
      </c>
    </row>
    <row r="454" spans="1:11" s="202" customFormat="1" ht="15.75" x14ac:dyDescent="0.25">
      <c r="A454" s="25" t="s">
        <v>281</v>
      </c>
      <c r="B454" s="20" t="s">
        <v>1340</v>
      </c>
      <c r="C454" s="40" t="s">
        <v>498</v>
      </c>
      <c r="D454" s="40" t="s">
        <v>125</v>
      </c>
      <c r="E454" s="40" t="s">
        <v>282</v>
      </c>
      <c r="F454" s="5"/>
      <c r="G454" s="10">
        <f>'Пр.4 ведом.21'!G785</f>
        <v>769.23</v>
      </c>
      <c r="H454" s="10">
        <f>'Пр.4 ведом.21'!H785</f>
        <v>299.89999999999998</v>
      </c>
      <c r="I454" s="416">
        <f t="shared" si="67"/>
        <v>38.987038987038986</v>
      </c>
    </row>
    <row r="455" spans="1:11" s="202" customFormat="1" ht="31.5" x14ac:dyDescent="0.25">
      <c r="A455" s="45" t="s">
        <v>487</v>
      </c>
      <c r="B455" s="20" t="s">
        <v>1340</v>
      </c>
      <c r="C455" s="40" t="s">
        <v>498</v>
      </c>
      <c r="D455" s="40" t="s">
        <v>125</v>
      </c>
      <c r="E455" s="40" t="s">
        <v>282</v>
      </c>
      <c r="F455" s="5">
        <v>907</v>
      </c>
      <c r="G455" s="10">
        <f>G449</f>
        <v>769.23</v>
      </c>
      <c r="H455" s="10">
        <f>H449</f>
        <v>299.89999999999998</v>
      </c>
      <c r="I455" s="416">
        <f t="shared" si="67"/>
        <v>38.987038987038986</v>
      </c>
    </row>
    <row r="456" spans="1:11" ht="31.5" x14ac:dyDescent="0.25">
      <c r="A456" s="41" t="s">
        <v>1368</v>
      </c>
      <c r="B456" s="7" t="s">
        <v>274</v>
      </c>
      <c r="C456" s="72"/>
      <c r="D456" s="72"/>
      <c r="E456" s="72"/>
      <c r="F456" s="3"/>
      <c r="G456" s="59">
        <f>G457+G502+G525+G544+G569+G576+G583+G590</f>
        <v>81372.289999999994</v>
      </c>
      <c r="H456" s="59">
        <f>H457+H502+H525+H544+H569+H576+H583+H590</f>
        <v>16074.154000000002</v>
      </c>
      <c r="I456" s="441">
        <f t="shared" si="67"/>
        <v>19.753842493556473</v>
      </c>
      <c r="J456">
        <v>90406.34</v>
      </c>
      <c r="K456" s="227">
        <f>J456-G456</f>
        <v>9034.0500000000029</v>
      </c>
    </row>
    <row r="457" spans="1:11" s="202" customFormat="1" ht="38.25" customHeight="1" x14ac:dyDescent="0.25">
      <c r="A457" s="23" t="s">
        <v>1314</v>
      </c>
      <c r="B457" s="24" t="s">
        <v>1218</v>
      </c>
      <c r="C457" s="7"/>
      <c r="D457" s="7"/>
      <c r="E457" s="7"/>
      <c r="F457" s="3"/>
      <c r="G457" s="59">
        <f>G474+G458+G490</f>
        <v>74801.19</v>
      </c>
      <c r="H457" s="59">
        <f>H474+H458+H490</f>
        <v>13862.903</v>
      </c>
      <c r="I457" s="441">
        <f t="shared" si="67"/>
        <v>18.532997937599653</v>
      </c>
    </row>
    <row r="458" spans="1:11" s="202" customFormat="1" ht="18.75" customHeight="1" x14ac:dyDescent="0.25">
      <c r="A458" s="25" t="s">
        <v>270</v>
      </c>
      <c r="B458" s="20" t="s">
        <v>1218</v>
      </c>
      <c r="C458" s="40" t="s">
        <v>271</v>
      </c>
      <c r="D458" s="40"/>
      <c r="E458" s="40"/>
      <c r="F458" s="2"/>
      <c r="G458" s="10">
        <f>G459</f>
        <v>15820.32</v>
      </c>
      <c r="H458" s="10">
        <f>H459</f>
        <v>2990.1059999999998</v>
      </c>
      <c r="I458" s="416">
        <f t="shared" si="67"/>
        <v>18.90041415091477</v>
      </c>
      <c r="J458" s="22">
        <f>G458+G503+G526+G545</f>
        <v>17696.72</v>
      </c>
      <c r="K458" s="22">
        <v>16998.7</v>
      </c>
    </row>
    <row r="459" spans="1:11" s="202" customFormat="1" ht="19.5" customHeight="1" x14ac:dyDescent="0.25">
      <c r="A459" s="25" t="s">
        <v>272</v>
      </c>
      <c r="B459" s="20" t="s">
        <v>1218</v>
      </c>
      <c r="C459" s="40" t="s">
        <v>271</v>
      </c>
      <c r="D459" s="40" t="s">
        <v>222</v>
      </c>
      <c r="E459" s="40"/>
      <c r="F459" s="2"/>
      <c r="G459" s="10">
        <f>G460+G470</f>
        <v>15820.32</v>
      </c>
      <c r="H459" s="10">
        <f>H460+H470</f>
        <v>2990.1059999999998</v>
      </c>
      <c r="I459" s="416">
        <f t="shared" si="67"/>
        <v>18.90041415091477</v>
      </c>
    </row>
    <row r="460" spans="1:11" s="202" customFormat="1" ht="18" customHeight="1" x14ac:dyDescent="0.25">
      <c r="A460" s="25" t="s">
        <v>810</v>
      </c>
      <c r="B460" s="20" t="s">
        <v>1219</v>
      </c>
      <c r="C460" s="40" t="s">
        <v>271</v>
      </c>
      <c r="D460" s="40" t="s">
        <v>222</v>
      </c>
      <c r="E460" s="40"/>
      <c r="F460" s="2"/>
      <c r="G460" s="10">
        <f>G461+G464+G467</f>
        <v>8901.2199999999993</v>
      </c>
      <c r="H460" s="10">
        <f>H461+H464+H467</f>
        <v>1624.5029999999999</v>
      </c>
      <c r="I460" s="416">
        <f t="shared" si="67"/>
        <v>18.250340964497003</v>
      </c>
    </row>
    <row r="461" spans="1:11" s="202" customFormat="1" ht="81" customHeight="1" x14ac:dyDescent="0.25">
      <c r="A461" s="25" t="s">
        <v>134</v>
      </c>
      <c r="B461" s="20" t="s">
        <v>1219</v>
      </c>
      <c r="C461" s="40" t="s">
        <v>271</v>
      </c>
      <c r="D461" s="40" t="s">
        <v>222</v>
      </c>
      <c r="E461" s="20" t="s">
        <v>135</v>
      </c>
      <c r="F461" s="2"/>
      <c r="G461" s="10">
        <f>G462</f>
        <v>7320.7199999999993</v>
      </c>
      <c r="H461" s="10">
        <f>H462</f>
        <v>1132.3019999999999</v>
      </c>
      <c r="I461" s="416">
        <f t="shared" si="67"/>
        <v>15.46708520473396</v>
      </c>
    </row>
    <row r="462" spans="1:11" s="202" customFormat="1" ht="20.25" customHeight="1" x14ac:dyDescent="0.25">
      <c r="A462" s="46" t="s">
        <v>349</v>
      </c>
      <c r="B462" s="20" t="s">
        <v>1219</v>
      </c>
      <c r="C462" s="40" t="s">
        <v>271</v>
      </c>
      <c r="D462" s="40" t="s">
        <v>222</v>
      </c>
      <c r="E462" s="20" t="s">
        <v>216</v>
      </c>
      <c r="F462" s="2"/>
      <c r="G462" s="10">
        <f>'Пр.4 ведом.21'!G285</f>
        <v>7320.7199999999993</v>
      </c>
      <c r="H462" s="10">
        <f>'Пр.4 ведом.21'!H285</f>
        <v>1132.3019999999999</v>
      </c>
      <c r="I462" s="416">
        <f t="shared" si="67"/>
        <v>15.46708520473396</v>
      </c>
    </row>
    <row r="463" spans="1:11" s="202" customFormat="1" ht="51.75" customHeight="1" x14ac:dyDescent="0.25">
      <c r="A463" s="45" t="s">
        <v>268</v>
      </c>
      <c r="B463" s="20" t="s">
        <v>1219</v>
      </c>
      <c r="C463" s="40" t="s">
        <v>271</v>
      </c>
      <c r="D463" s="40" t="s">
        <v>222</v>
      </c>
      <c r="E463" s="20" t="s">
        <v>216</v>
      </c>
      <c r="F463" s="2">
        <v>903</v>
      </c>
      <c r="G463" s="10">
        <f>G462</f>
        <v>7320.7199999999993</v>
      </c>
      <c r="H463" s="10">
        <f>H462</f>
        <v>1132.3019999999999</v>
      </c>
      <c r="I463" s="416">
        <f t="shared" si="67"/>
        <v>15.46708520473396</v>
      </c>
    </row>
    <row r="464" spans="1:11" s="202" customFormat="1" ht="38.25" customHeight="1" x14ac:dyDescent="0.25">
      <c r="A464" s="25" t="s">
        <v>138</v>
      </c>
      <c r="B464" s="20" t="s">
        <v>1219</v>
      </c>
      <c r="C464" s="40" t="s">
        <v>271</v>
      </c>
      <c r="D464" s="40" t="s">
        <v>222</v>
      </c>
      <c r="E464" s="20" t="s">
        <v>139</v>
      </c>
      <c r="F464" s="2"/>
      <c r="G464" s="10">
        <f>G465</f>
        <v>1513.7</v>
      </c>
      <c r="H464" s="10">
        <f>H465</f>
        <v>479.43099999999998</v>
      </c>
      <c r="I464" s="416">
        <f t="shared" si="67"/>
        <v>31.672788531413094</v>
      </c>
    </row>
    <row r="465" spans="1:11" s="202" customFormat="1" ht="33.75" customHeight="1" x14ac:dyDescent="0.25">
      <c r="A465" s="25" t="s">
        <v>140</v>
      </c>
      <c r="B465" s="20" t="s">
        <v>1219</v>
      </c>
      <c r="C465" s="40" t="s">
        <v>271</v>
      </c>
      <c r="D465" s="40" t="s">
        <v>222</v>
      </c>
      <c r="E465" s="20" t="s">
        <v>141</v>
      </c>
      <c r="F465" s="2"/>
      <c r="G465" s="10">
        <f>'Пр.4 ведом.21'!G287</f>
        <v>1513.7</v>
      </c>
      <c r="H465" s="10">
        <f>'Пр.4 ведом.21'!H287</f>
        <v>479.43099999999998</v>
      </c>
      <c r="I465" s="416">
        <f t="shared" si="67"/>
        <v>31.672788531413094</v>
      </c>
    </row>
    <row r="466" spans="1:11" s="202" customFormat="1" ht="55.5" customHeight="1" x14ac:dyDescent="0.25">
      <c r="A466" s="45" t="s">
        <v>268</v>
      </c>
      <c r="B466" s="20" t="s">
        <v>1219</v>
      </c>
      <c r="C466" s="40" t="s">
        <v>271</v>
      </c>
      <c r="D466" s="40" t="s">
        <v>222</v>
      </c>
      <c r="E466" s="20" t="s">
        <v>141</v>
      </c>
      <c r="F466" s="2">
        <v>903</v>
      </c>
      <c r="G466" s="10">
        <f>G465</f>
        <v>1513.7</v>
      </c>
      <c r="H466" s="10">
        <f>H465</f>
        <v>479.43099999999998</v>
      </c>
      <c r="I466" s="416">
        <f t="shared" ref="I466:I529" si="80">H466/G466*100</f>
        <v>31.672788531413094</v>
      </c>
    </row>
    <row r="467" spans="1:11" s="202" customFormat="1" ht="19.5" customHeight="1" x14ac:dyDescent="0.25">
      <c r="A467" s="25" t="s">
        <v>142</v>
      </c>
      <c r="B467" s="20" t="s">
        <v>1219</v>
      </c>
      <c r="C467" s="40" t="s">
        <v>271</v>
      </c>
      <c r="D467" s="40" t="s">
        <v>222</v>
      </c>
      <c r="E467" s="20" t="s">
        <v>152</v>
      </c>
      <c r="F467" s="2"/>
      <c r="G467" s="10">
        <f>G468</f>
        <v>66.8</v>
      </c>
      <c r="H467" s="10">
        <f>H468</f>
        <v>12.77</v>
      </c>
      <c r="I467" s="416">
        <f t="shared" si="80"/>
        <v>19.116766467065869</v>
      </c>
    </row>
    <row r="468" spans="1:11" s="202" customFormat="1" ht="17.45" customHeight="1" x14ac:dyDescent="0.25">
      <c r="A468" s="25" t="s">
        <v>714</v>
      </c>
      <c r="B468" s="20" t="s">
        <v>1219</v>
      </c>
      <c r="C468" s="40" t="s">
        <v>271</v>
      </c>
      <c r="D468" s="40" t="s">
        <v>222</v>
      </c>
      <c r="E468" s="20" t="s">
        <v>145</v>
      </c>
      <c r="F468" s="2"/>
      <c r="G468" s="10">
        <f>'Пр.4 ведом.21'!G289</f>
        <v>66.8</v>
      </c>
      <c r="H468" s="10">
        <f>'Пр.4 ведом.21'!H289</f>
        <v>12.77</v>
      </c>
      <c r="I468" s="416">
        <f t="shared" si="80"/>
        <v>19.116766467065869</v>
      </c>
    </row>
    <row r="469" spans="1:11" s="202" customFormat="1" ht="56.25" customHeight="1" x14ac:dyDescent="0.25">
      <c r="A469" s="45" t="s">
        <v>268</v>
      </c>
      <c r="B469" s="20" t="s">
        <v>1219</v>
      </c>
      <c r="C469" s="40" t="s">
        <v>271</v>
      </c>
      <c r="D469" s="40" t="s">
        <v>222</v>
      </c>
      <c r="E469" s="20" t="s">
        <v>145</v>
      </c>
      <c r="F469" s="2">
        <v>903</v>
      </c>
      <c r="G469" s="10">
        <f>G468</f>
        <v>66.8</v>
      </c>
      <c r="H469" s="10">
        <f>H468</f>
        <v>12.77</v>
      </c>
      <c r="I469" s="416">
        <f t="shared" si="80"/>
        <v>19.116766467065869</v>
      </c>
    </row>
    <row r="470" spans="1:11" s="202" customFormat="1" ht="31.5" x14ac:dyDescent="0.25">
      <c r="A470" s="31" t="s">
        <v>1554</v>
      </c>
      <c r="B470" s="20" t="s">
        <v>1525</v>
      </c>
      <c r="C470" s="40" t="s">
        <v>271</v>
      </c>
      <c r="D470" s="40" t="s">
        <v>222</v>
      </c>
      <c r="E470" s="20"/>
      <c r="F470" s="2"/>
      <c r="G470" s="10">
        <f>G471</f>
        <v>6919.1</v>
      </c>
      <c r="H470" s="10">
        <f>H471</f>
        <v>1365.6030000000001</v>
      </c>
      <c r="I470" s="416">
        <f t="shared" si="80"/>
        <v>19.736714312555101</v>
      </c>
    </row>
    <row r="471" spans="1:11" s="202" customFormat="1" ht="78.75" x14ac:dyDescent="0.25">
      <c r="A471" s="25" t="s">
        <v>134</v>
      </c>
      <c r="B471" s="20" t="s">
        <v>1525</v>
      </c>
      <c r="C471" s="40" t="s">
        <v>271</v>
      </c>
      <c r="D471" s="40" t="s">
        <v>222</v>
      </c>
      <c r="E471" s="20" t="s">
        <v>135</v>
      </c>
      <c r="F471" s="2"/>
      <c r="G471" s="10">
        <f>G472</f>
        <v>6919.1</v>
      </c>
      <c r="H471" s="10">
        <f>H472</f>
        <v>1365.6030000000001</v>
      </c>
      <c r="I471" s="416">
        <f t="shared" si="80"/>
        <v>19.736714312555101</v>
      </c>
    </row>
    <row r="472" spans="1:11" s="202" customFormat="1" ht="15.75" x14ac:dyDescent="0.25">
      <c r="A472" s="25" t="s">
        <v>215</v>
      </c>
      <c r="B472" s="20" t="s">
        <v>1525</v>
      </c>
      <c r="C472" s="40" t="s">
        <v>271</v>
      </c>
      <c r="D472" s="40" t="s">
        <v>222</v>
      </c>
      <c r="E472" s="20" t="s">
        <v>216</v>
      </c>
      <c r="F472" s="2"/>
      <c r="G472" s="10">
        <f>'Пр.4 ведом.21'!G292</f>
        <v>6919.1</v>
      </c>
      <c r="H472" s="10">
        <f>'Пр.4 ведом.21'!H292</f>
        <v>1365.6030000000001</v>
      </c>
      <c r="I472" s="416">
        <f t="shared" si="80"/>
        <v>19.736714312555101</v>
      </c>
    </row>
    <row r="473" spans="1:11" s="202" customFormat="1" ht="47.25" x14ac:dyDescent="0.25">
      <c r="A473" s="45" t="s">
        <v>268</v>
      </c>
      <c r="B473" s="20" t="s">
        <v>1525</v>
      </c>
      <c r="C473" s="40" t="s">
        <v>271</v>
      </c>
      <c r="D473" s="40" t="s">
        <v>222</v>
      </c>
      <c r="E473" s="20" t="s">
        <v>216</v>
      </c>
      <c r="F473" s="2">
        <v>903</v>
      </c>
      <c r="G473" s="10">
        <f>G470</f>
        <v>6919.1</v>
      </c>
      <c r="H473" s="10">
        <f>H470</f>
        <v>1365.6030000000001</v>
      </c>
      <c r="I473" s="416">
        <f t="shared" si="80"/>
        <v>19.736714312555101</v>
      </c>
    </row>
    <row r="474" spans="1:11" ht="15.75" x14ac:dyDescent="0.25">
      <c r="A474" s="73" t="s">
        <v>305</v>
      </c>
      <c r="B474" s="20" t="s">
        <v>1218</v>
      </c>
      <c r="C474" s="40" t="s">
        <v>306</v>
      </c>
      <c r="D474" s="73"/>
      <c r="E474" s="73"/>
      <c r="F474" s="2"/>
      <c r="G474" s="10">
        <f>G475</f>
        <v>53338.57</v>
      </c>
      <c r="H474" s="10">
        <f>H475</f>
        <v>9938.0290000000005</v>
      </c>
      <c r="I474" s="416">
        <f t="shared" si="80"/>
        <v>18.631974947959797</v>
      </c>
      <c r="J474" s="22">
        <f>G474+G516+G532+G559+G570+G577+G584+G591</f>
        <v>57757.27</v>
      </c>
      <c r="K474">
        <f>67542.4</f>
        <v>67542.399999999994</v>
      </c>
    </row>
    <row r="475" spans="1:11" ht="15.75" x14ac:dyDescent="0.25">
      <c r="A475" s="73" t="s">
        <v>307</v>
      </c>
      <c r="B475" s="20" t="s">
        <v>1218</v>
      </c>
      <c r="C475" s="40" t="s">
        <v>306</v>
      </c>
      <c r="D475" s="40" t="s">
        <v>125</v>
      </c>
      <c r="E475" s="73"/>
      <c r="F475" s="2"/>
      <c r="G475" s="10">
        <f>G476+G486</f>
        <v>53338.57</v>
      </c>
      <c r="H475" s="10">
        <f>H476+H486</f>
        <v>9938.0290000000005</v>
      </c>
      <c r="I475" s="416">
        <f t="shared" si="80"/>
        <v>18.631974947959797</v>
      </c>
    </row>
    <row r="476" spans="1:11" ht="15.75" x14ac:dyDescent="0.25">
      <c r="A476" s="25" t="s">
        <v>810</v>
      </c>
      <c r="B476" s="20" t="s">
        <v>1219</v>
      </c>
      <c r="C476" s="40" t="s">
        <v>306</v>
      </c>
      <c r="D476" s="40" t="s">
        <v>125</v>
      </c>
      <c r="E476" s="40"/>
      <c r="F476" s="2"/>
      <c r="G476" s="10">
        <f>G477+G480+G483</f>
        <v>11330.67</v>
      </c>
      <c r="H476" s="10">
        <f>H477+H480+H483</f>
        <v>3022.1480000000001</v>
      </c>
      <c r="I476" s="416">
        <f t="shared" si="80"/>
        <v>26.672279750447238</v>
      </c>
    </row>
    <row r="477" spans="1:11" ht="78.75" x14ac:dyDescent="0.25">
      <c r="A477" s="25" t="s">
        <v>134</v>
      </c>
      <c r="B477" s="20" t="s">
        <v>1219</v>
      </c>
      <c r="C477" s="40" t="s">
        <v>306</v>
      </c>
      <c r="D477" s="40" t="s">
        <v>125</v>
      </c>
      <c r="E477" s="40" t="s">
        <v>135</v>
      </c>
      <c r="F477" s="2"/>
      <c r="G477" s="10">
        <f>G478</f>
        <v>2256.17</v>
      </c>
      <c r="H477" s="10">
        <f>H478</f>
        <v>510.08800000000002</v>
      </c>
      <c r="I477" s="416">
        <f t="shared" si="80"/>
        <v>22.608580027214263</v>
      </c>
    </row>
    <row r="478" spans="1:11" ht="15.75" x14ac:dyDescent="0.25">
      <c r="A478" s="25" t="s">
        <v>215</v>
      </c>
      <c r="B478" s="20" t="s">
        <v>1219</v>
      </c>
      <c r="C478" s="40" t="s">
        <v>306</v>
      </c>
      <c r="D478" s="40" t="s">
        <v>125</v>
      </c>
      <c r="E478" s="40" t="s">
        <v>216</v>
      </c>
      <c r="F478" s="2"/>
      <c r="G478" s="10">
        <f>'Пр.4 ведом.21'!G352</f>
        <v>2256.17</v>
      </c>
      <c r="H478" s="10">
        <f>'Пр.4 ведом.21'!H352</f>
        <v>510.08800000000002</v>
      </c>
      <c r="I478" s="416">
        <f t="shared" si="80"/>
        <v>22.608580027214263</v>
      </c>
    </row>
    <row r="479" spans="1:11" s="202" customFormat="1" ht="47.25" x14ac:dyDescent="0.25">
      <c r="A479" s="45" t="s">
        <v>268</v>
      </c>
      <c r="B479" s="20" t="s">
        <v>1219</v>
      </c>
      <c r="C479" s="40" t="s">
        <v>306</v>
      </c>
      <c r="D479" s="40" t="s">
        <v>125</v>
      </c>
      <c r="E479" s="40" t="s">
        <v>216</v>
      </c>
      <c r="F479" s="2">
        <v>903</v>
      </c>
      <c r="G479" s="10">
        <f>G478</f>
        <v>2256.17</v>
      </c>
      <c r="H479" s="10">
        <f>H478</f>
        <v>510.08800000000002</v>
      </c>
      <c r="I479" s="416">
        <f t="shared" si="80"/>
        <v>22.608580027214263</v>
      </c>
    </row>
    <row r="480" spans="1:11" ht="31.5" x14ac:dyDescent="0.25">
      <c r="A480" s="25" t="s">
        <v>138</v>
      </c>
      <c r="B480" s="20" t="s">
        <v>1219</v>
      </c>
      <c r="C480" s="40" t="s">
        <v>306</v>
      </c>
      <c r="D480" s="40" t="s">
        <v>125</v>
      </c>
      <c r="E480" s="40" t="s">
        <v>139</v>
      </c>
      <c r="F480" s="2"/>
      <c r="G480" s="10">
        <f>G481</f>
        <v>9000.2999999999993</v>
      </c>
      <c r="H480" s="10">
        <f>H481</f>
        <v>2475.777</v>
      </c>
      <c r="I480" s="416">
        <f t="shared" si="80"/>
        <v>27.507716409453021</v>
      </c>
    </row>
    <row r="481" spans="1:9" ht="31.5" x14ac:dyDescent="0.25">
      <c r="A481" s="25" t="s">
        <v>140</v>
      </c>
      <c r="B481" s="20" t="s">
        <v>1219</v>
      </c>
      <c r="C481" s="40" t="s">
        <v>306</v>
      </c>
      <c r="D481" s="40" t="s">
        <v>125</v>
      </c>
      <c r="E481" s="40" t="s">
        <v>141</v>
      </c>
      <c r="F481" s="2"/>
      <c r="G481" s="10">
        <f>'Пр.4 ведом.21'!G354</f>
        <v>9000.2999999999993</v>
      </c>
      <c r="H481" s="10">
        <f>'Пр.4 ведом.21'!H354</f>
        <v>2475.777</v>
      </c>
      <c r="I481" s="416">
        <f t="shared" si="80"/>
        <v>27.507716409453021</v>
      </c>
    </row>
    <row r="482" spans="1:9" s="202" customFormat="1" ht="47.25" x14ac:dyDescent="0.25">
      <c r="A482" s="45" t="s">
        <v>268</v>
      </c>
      <c r="B482" s="20" t="s">
        <v>1219</v>
      </c>
      <c r="C482" s="40" t="s">
        <v>306</v>
      </c>
      <c r="D482" s="40" t="s">
        <v>125</v>
      </c>
      <c r="E482" s="40" t="s">
        <v>141</v>
      </c>
      <c r="F482" s="2">
        <v>903</v>
      </c>
      <c r="G482" s="10">
        <f>G481</f>
        <v>9000.2999999999993</v>
      </c>
      <c r="H482" s="10">
        <f>H481</f>
        <v>2475.777</v>
      </c>
      <c r="I482" s="416">
        <f t="shared" si="80"/>
        <v>27.507716409453021</v>
      </c>
    </row>
    <row r="483" spans="1:9" ht="15.75" customHeight="1" x14ac:dyDescent="0.25">
      <c r="A483" s="25" t="s">
        <v>142</v>
      </c>
      <c r="B483" s="20" t="s">
        <v>1219</v>
      </c>
      <c r="C483" s="40" t="s">
        <v>306</v>
      </c>
      <c r="D483" s="40" t="s">
        <v>125</v>
      </c>
      <c r="E483" s="40" t="s">
        <v>152</v>
      </c>
      <c r="F483" s="2"/>
      <c r="G483" s="10">
        <f>G484</f>
        <v>74.2</v>
      </c>
      <c r="H483" s="10">
        <f>H484</f>
        <v>36.283000000000001</v>
      </c>
      <c r="I483" s="416">
        <f t="shared" si="80"/>
        <v>48.898921832884099</v>
      </c>
    </row>
    <row r="484" spans="1:9" ht="15.75" customHeight="1" x14ac:dyDescent="0.25">
      <c r="A484" s="25" t="s">
        <v>144</v>
      </c>
      <c r="B484" s="20" t="s">
        <v>1219</v>
      </c>
      <c r="C484" s="40" t="s">
        <v>306</v>
      </c>
      <c r="D484" s="40" t="s">
        <v>125</v>
      </c>
      <c r="E484" s="40" t="s">
        <v>145</v>
      </c>
      <c r="F484" s="2"/>
      <c r="G484" s="10">
        <f>'Пр.4 ведом.21'!G356</f>
        <v>74.2</v>
      </c>
      <c r="H484" s="10">
        <f>'Пр.4 ведом.21'!H356</f>
        <v>36.283000000000001</v>
      </c>
      <c r="I484" s="416">
        <f t="shared" si="80"/>
        <v>48.898921832884099</v>
      </c>
    </row>
    <row r="485" spans="1:9" s="202" customFormat="1" ht="50.25" customHeight="1" x14ac:dyDescent="0.25">
      <c r="A485" s="45" t="s">
        <v>268</v>
      </c>
      <c r="B485" s="20" t="s">
        <v>1219</v>
      </c>
      <c r="C485" s="40" t="s">
        <v>306</v>
      </c>
      <c r="D485" s="40" t="s">
        <v>125</v>
      </c>
      <c r="E485" s="40" t="s">
        <v>145</v>
      </c>
      <c r="F485" s="2">
        <v>903</v>
      </c>
      <c r="G485" s="10">
        <f>G484</f>
        <v>74.2</v>
      </c>
      <c r="H485" s="10">
        <f>H484</f>
        <v>36.283000000000001</v>
      </c>
      <c r="I485" s="416">
        <f t="shared" si="80"/>
        <v>48.898921832884099</v>
      </c>
    </row>
    <row r="486" spans="1:9" s="202" customFormat="1" ht="31.5" x14ac:dyDescent="0.25">
      <c r="A486" s="31" t="s">
        <v>1554</v>
      </c>
      <c r="B486" s="20" t="s">
        <v>1525</v>
      </c>
      <c r="C486" s="40" t="s">
        <v>306</v>
      </c>
      <c r="D486" s="40" t="s">
        <v>125</v>
      </c>
      <c r="E486" s="20"/>
      <c r="F486" s="2"/>
      <c r="G486" s="10">
        <f>G487</f>
        <v>42007.9</v>
      </c>
      <c r="H486" s="10">
        <f>H487</f>
        <v>6915.8810000000003</v>
      </c>
      <c r="I486" s="416">
        <f t="shared" si="80"/>
        <v>16.463286667507777</v>
      </c>
    </row>
    <row r="487" spans="1:9" s="202" customFormat="1" ht="78.75" x14ac:dyDescent="0.25">
      <c r="A487" s="25" t="s">
        <v>134</v>
      </c>
      <c r="B487" s="20" t="s">
        <v>1525</v>
      </c>
      <c r="C487" s="40" t="s">
        <v>306</v>
      </c>
      <c r="D487" s="40" t="s">
        <v>125</v>
      </c>
      <c r="E487" s="20" t="s">
        <v>135</v>
      </c>
      <c r="F487" s="2"/>
      <c r="G487" s="10">
        <f>G488</f>
        <v>42007.9</v>
      </c>
      <c r="H487" s="10">
        <f>H488</f>
        <v>6915.8810000000003</v>
      </c>
      <c r="I487" s="416">
        <f t="shared" si="80"/>
        <v>16.463286667507777</v>
      </c>
    </row>
    <row r="488" spans="1:9" s="202" customFormat="1" ht="15.75" x14ac:dyDescent="0.25">
      <c r="A488" s="25" t="s">
        <v>215</v>
      </c>
      <c r="B488" s="20" t="s">
        <v>1525</v>
      </c>
      <c r="C488" s="40" t="s">
        <v>306</v>
      </c>
      <c r="D488" s="40" t="s">
        <v>125</v>
      </c>
      <c r="E488" s="20" t="s">
        <v>216</v>
      </c>
      <c r="F488" s="2"/>
      <c r="G488" s="10">
        <f>'Пр.4 ведом.21'!G359</f>
        <v>42007.9</v>
      </c>
      <c r="H488" s="10">
        <f>'Пр.4 ведом.21'!H359</f>
        <v>6915.8810000000003</v>
      </c>
      <c r="I488" s="416">
        <f t="shared" si="80"/>
        <v>16.463286667507777</v>
      </c>
    </row>
    <row r="489" spans="1:9" s="202" customFormat="1" ht="47.25" x14ac:dyDescent="0.25">
      <c r="A489" s="45" t="s">
        <v>268</v>
      </c>
      <c r="B489" s="20" t="s">
        <v>1525</v>
      </c>
      <c r="C489" s="40" t="s">
        <v>306</v>
      </c>
      <c r="D489" s="40" t="s">
        <v>125</v>
      </c>
      <c r="E489" s="20" t="s">
        <v>216</v>
      </c>
      <c r="F489" s="2">
        <v>903</v>
      </c>
      <c r="G489" s="10">
        <f>G486</f>
        <v>42007.9</v>
      </c>
      <c r="H489" s="10">
        <f>H486</f>
        <v>6915.8810000000003</v>
      </c>
      <c r="I489" s="416">
        <f t="shared" si="80"/>
        <v>16.463286667507777</v>
      </c>
    </row>
    <row r="490" spans="1:9" s="202" customFormat="1" ht="19.5" customHeight="1" x14ac:dyDescent="0.25">
      <c r="A490" s="25" t="s">
        <v>589</v>
      </c>
      <c r="B490" s="20" t="s">
        <v>1218</v>
      </c>
      <c r="C490" s="40" t="s">
        <v>245</v>
      </c>
      <c r="D490" s="73"/>
      <c r="E490" s="73"/>
      <c r="F490" s="2"/>
      <c r="G490" s="10">
        <f>G491</f>
        <v>5642.3</v>
      </c>
      <c r="H490" s="10">
        <f>H491</f>
        <v>934.76800000000003</v>
      </c>
      <c r="I490" s="416">
        <f t="shared" si="80"/>
        <v>16.567144604150791</v>
      </c>
    </row>
    <row r="491" spans="1:9" s="202" customFormat="1" ht="23.25" customHeight="1" x14ac:dyDescent="0.25">
      <c r="A491" s="25" t="s">
        <v>590</v>
      </c>
      <c r="B491" s="20" t="s">
        <v>1218</v>
      </c>
      <c r="C491" s="40" t="s">
        <v>245</v>
      </c>
      <c r="D491" s="40" t="s">
        <v>220</v>
      </c>
      <c r="E491" s="73"/>
      <c r="F491" s="2"/>
      <c r="G491" s="10">
        <f>G492</f>
        <v>5642.3</v>
      </c>
      <c r="H491" s="10">
        <f>H492</f>
        <v>934.76800000000003</v>
      </c>
      <c r="I491" s="416">
        <f t="shared" si="80"/>
        <v>16.567144604150791</v>
      </c>
    </row>
    <row r="492" spans="1:9" s="202" customFormat="1" ht="20.25" customHeight="1" x14ac:dyDescent="0.25">
      <c r="A492" s="25" t="s">
        <v>810</v>
      </c>
      <c r="B492" s="20" t="s">
        <v>1219</v>
      </c>
      <c r="C492" s="40" t="s">
        <v>245</v>
      </c>
      <c r="D492" s="40" t="s">
        <v>220</v>
      </c>
      <c r="E492" s="40"/>
      <c r="F492" s="2"/>
      <c r="G492" s="10">
        <f>G493+G496+G499</f>
        <v>5642.3</v>
      </c>
      <c r="H492" s="10">
        <f>H493+H496+H499</f>
        <v>934.76800000000003</v>
      </c>
      <c r="I492" s="416">
        <f t="shared" si="80"/>
        <v>16.567144604150791</v>
      </c>
    </row>
    <row r="493" spans="1:9" s="202" customFormat="1" ht="79.5" customHeight="1" x14ac:dyDescent="0.25">
      <c r="A493" s="25" t="s">
        <v>134</v>
      </c>
      <c r="B493" s="20" t="s">
        <v>1219</v>
      </c>
      <c r="C493" s="40" t="s">
        <v>245</v>
      </c>
      <c r="D493" s="40" t="s">
        <v>220</v>
      </c>
      <c r="E493" s="40" t="s">
        <v>135</v>
      </c>
      <c r="F493" s="2"/>
      <c r="G493" s="10">
        <f>G494</f>
        <v>4897.2</v>
      </c>
      <c r="H493" s="10">
        <f>H494</f>
        <v>772.89700000000005</v>
      </c>
      <c r="I493" s="416">
        <f t="shared" si="80"/>
        <v>15.782426692804052</v>
      </c>
    </row>
    <row r="494" spans="1:9" s="202" customFormat="1" ht="20.25" customHeight="1" x14ac:dyDescent="0.25">
      <c r="A494" s="25" t="s">
        <v>215</v>
      </c>
      <c r="B494" s="20" t="s">
        <v>1219</v>
      </c>
      <c r="C494" s="40" t="s">
        <v>245</v>
      </c>
      <c r="D494" s="40" t="s">
        <v>220</v>
      </c>
      <c r="E494" s="40" t="s">
        <v>216</v>
      </c>
      <c r="F494" s="2"/>
      <c r="G494" s="10">
        <f>'Пр.4 ведом.21'!G466</f>
        <v>4897.2</v>
      </c>
      <c r="H494" s="10">
        <f>'Пр.4 ведом.21'!H466</f>
        <v>772.89700000000005</v>
      </c>
      <c r="I494" s="416">
        <f t="shared" si="80"/>
        <v>15.782426692804052</v>
      </c>
    </row>
    <row r="495" spans="1:9" s="202" customFormat="1" ht="50.25" customHeight="1" x14ac:dyDescent="0.25">
      <c r="A495" s="45" t="s">
        <v>268</v>
      </c>
      <c r="B495" s="20" t="s">
        <v>1219</v>
      </c>
      <c r="C495" s="40" t="s">
        <v>245</v>
      </c>
      <c r="D495" s="40" t="s">
        <v>220</v>
      </c>
      <c r="E495" s="40" t="s">
        <v>216</v>
      </c>
      <c r="F495" s="2">
        <v>903</v>
      </c>
      <c r="G495" s="10">
        <f>G494</f>
        <v>4897.2</v>
      </c>
      <c r="H495" s="10">
        <f>H494</f>
        <v>772.89700000000005</v>
      </c>
      <c r="I495" s="416">
        <f t="shared" si="80"/>
        <v>15.782426692804052</v>
      </c>
    </row>
    <row r="496" spans="1:9" s="202" customFormat="1" ht="42.75" customHeight="1" x14ac:dyDescent="0.25">
      <c r="A496" s="25" t="s">
        <v>138</v>
      </c>
      <c r="B496" s="20" t="s">
        <v>1219</v>
      </c>
      <c r="C496" s="40" t="s">
        <v>245</v>
      </c>
      <c r="D496" s="40" t="s">
        <v>220</v>
      </c>
      <c r="E496" s="40" t="s">
        <v>139</v>
      </c>
      <c r="F496" s="2"/>
      <c r="G496" s="10">
        <f>G497</f>
        <v>715.1</v>
      </c>
      <c r="H496" s="10">
        <f>H497</f>
        <v>159.82499999999999</v>
      </c>
      <c r="I496" s="416">
        <f t="shared" si="80"/>
        <v>22.350020976087258</v>
      </c>
    </row>
    <row r="497" spans="1:9" s="202" customFormat="1" ht="36" customHeight="1" x14ac:dyDescent="0.25">
      <c r="A497" s="25" t="s">
        <v>140</v>
      </c>
      <c r="B497" s="20" t="s">
        <v>1219</v>
      </c>
      <c r="C497" s="40" t="s">
        <v>245</v>
      </c>
      <c r="D497" s="40" t="s">
        <v>220</v>
      </c>
      <c r="E497" s="40" t="s">
        <v>141</v>
      </c>
      <c r="F497" s="2"/>
      <c r="G497" s="10">
        <f>'Пр.4 ведом.21'!G468</f>
        <v>715.1</v>
      </c>
      <c r="H497" s="10">
        <f>'Пр.4 ведом.21'!H468</f>
        <v>159.82499999999999</v>
      </c>
      <c r="I497" s="416">
        <f t="shared" si="80"/>
        <v>22.350020976087258</v>
      </c>
    </row>
    <row r="498" spans="1:9" s="202" customFormat="1" ht="50.25" customHeight="1" x14ac:dyDescent="0.25">
      <c r="A498" s="45" t="s">
        <v>268</v>
      </c>
      <c r="B498" s="20" t="s">
        <v>1219</v>
      </c>
      <c r="C498" s="40" t="s">
        <v>245</v>
      </c>
      <c r="D498" s="40" t="s">
        <v>220</v>
      </c>
      <c r="E498" s="40" t="s">
        <v>141</v>
      </c>
      <c r="F498" s="2">
        <v>903</v>
      </c>
      <c r="G498" s="10">
        <f>G497</f>
        <v>715.1</v>
      </c>
      <c r="H498" s="10">
        <f>H497</f>
        <v>159.82499999999999</v>
      </c>
      <c r="I498" s="416">
        <f t="shared" si="80"/>
        <v>22.350020976087258</v>
      </c>
    </row>
    <row r="499" spans="1:9" s="202" customFormat="1" ht="19.5" customHeight="1" x14ac:dyDescent="0.25">
      <c r="A499" s="25" t="s">
        <v>142</v>
      </c>
      <c r="B499" s="20" t="s">
        <v>1219</v>
      </c>
      <c r="C499" s="40" t="s">
        <v>245</v>
      </c>
      <c r="D499" s="40" t="s">
        <v>220</v>
      </c>
      <c r="E499" s="40" t="s">
        <v>152</v>
      </c>
      <c r="F499" s="2"/>
      <c r="G499" s="10">
        <f>G500</f>
        <v>30</v>
      </c>
      <c r="H499" s="10">
        <f>H500</f>
        <v>2.0459999999999998</v>
      </c>
      <c r="I499" s="416">
        <f t="shared" si="80"/>
        <v>6.8199999999999994</v>
      </c>
    </row>
    <row r="500" spans="1:9" s="202" customFormat="1" ht="23.25" customHeight="1" x14ac:dyDescent="0.25">
      <c r="A500" s="25" t="s">
        <v>144</v>
      </c>
      <c r="B500" s="20" t="s">
        <v>1219</v>
      </c>
      <c r="C500" s="40" t="s">
        <v>245</v>
      </c>
      <c r="D500" s="40" t="s">
        <v>220</v>
      </c>
      <c r="E500" s="40" t="s">
        <v>145</v>
      </c>
      <c r="F500" s="2"/>
      <c r="G500" s="10">
        <f>'Пр.4 ведом.21'!G470</f>
        <v>30</v>
      </c>
      <c r="H500" s="10">
        <f>'Пр.4 ведом.21'!H470</f>
        <v>2.0459999999999998</v>
      </c>
      <c r="I500" s="416">
        <f t="shared" si="80"/>
        <v>6.8199999999999994</v>
      </c>
    </row>
    <row r="501" spans="1:9" s="202" customFormat="1" ht="50.25" customHeight="1" x14ac:dyDescent="0.25">
      <c r="A501" s="45" t="s">
        <v>268</v>
      </c>
      <c r="B501" s="20" t="s">
        <v>1219</v>
      </c>
      <c r="C501" s="40" t="s">
        <v>245</v>
      </c>
      <c r="D501" s="40" t="s">
        <v>220</v>
      </c>
      <c r="E501" s="40" t="s">
        <v>145</v>
      </c>
      <c r="F501" s="2">
        <v>903</v>
      </c>
      <c r="G501" s="10">
        <f>G500</f>
        <v>30</v>
      </c>
      <c r="H501" s="10">
        <f>H500</f>
        <v>2.0459999999999998</v>
      </c>
      <c r="I501" s="416">
        <f t="shared" si="80"/>
        <v>6.8199999999999994</v>
      </c>
    </row>
    <row r="502" spans="1:9" s="202" customFormat="1" ht="31.7" customHeight="1" x14ac:dyDescent="0.25">
      <c r="A502" s="212" t="s">
        <v>1316</v>
      </c>
      <c r="B502" s="24" t="s">
        <v>1220</v>
      </c>
      <c r="C502" s="7"/>
      <c r="D502" s="7"/>
      <c r="E502" s="7"/>
      <c r="F502" s="3"/>
      <c r="G502" s="59">
        <f>G503+G516</f>
        <v>1219.9000000000001</v>
      </c>
      <c r="H502" s="59">
        <f>H503+H516</f>
        <v>288.01299999999998</v>
      </c>
      <c r="I502" s="441">
        <f t="shared" si="80"/>
        <v>23.609558160504957</v>
      </c>
    </row>
    <row r="503" spans="1:9" s="202" customFormat="1" ht="21.2" customHeight="1" x14ac:dyDescent="0.25">
      <c r="A503" s="25" t="s">
        <v>270</v>
      </c>
      <c r="B503" s="20" t="s">
        <v>1220</v>
      </c>
      <c r="C503" s="40" t="s">
        <v>271</v>
      </c>
      <c r="D503" s="40"/>
      <c r="E503" s="40"/>
      <c r="F503" s="2"/>
      <c r="G503" s="10">
        <f>G504</f>
        <v>295</v>
      </c>
      <c r="H503" s="10">
        <f>H504</f>
        <v>239.87299999999999</v>
      </c>
      <c r="I503" s="416">
        <f t="shared" si="80"/>
        <v>81.312881355932205</v>
      </c>
    </row>
    <row r="504" spans="1:9" s="202" customFormat="1" ht="20.25" customHeight="1" x14ac:dyDescent="0.25">
      <c r="A504" s="25" t="s">
        <v>272</v>
      </c>
      <c r="B504" s="20" t="s">
        <v>1220</v>
      </c>
      <c r="C504" s="40" t="s">
        <v>271</v>
      </c>
      <c r="D504" s="40" t="s">
        <v>222</v>
      </c>
      <c r="E504" s="40"/>
      <c r="F504" s="2"/>
      <c r="G504" s="10">
        <f>G505</f>
        <v>295</v>
      </c>
      <c r="H504" s="10">
        <f>H505</f>
        <v>239.87299999999999</v>
      </c>
      <c r="I504" s="416">
        <f t="shared" si="80"/>
        <v>81.312881355932205</v>
      </c>
    </row>
    <row r="505" spans="1:9" s="202" customFormat="1" ht="30.6" customHeight="1" x14ac:dyDescent="0.25">
      <c r="A505" s="197" t="s">
        <v>809</v>
      </c>
      <c r="B505" s="20" t="s">
        <v>1221</v>
      </c>
      <c r="C505" s="40" t="s">
        <v>271</v>
      </c>
      <c r="D505" s="40" t="s">
        <v>222</v>
      </c>
      <c r="E505" s="20"/>
      <c r="F505" s="2"/>
      <c r="G505" s="10">
        <f>G506+G509</f>
        <v>295</v>
      </c>
      <c r="H505" s="10">
        <f>H506+H509</f>
        <v>239.87299999999999</v>
      </c>
      <c r="I505" s="416">
        <f t="shared" si="80"/>
        <v>81.312881355932205</v>
      </c>
    </row>
    <row r="506" spans="1:9" s="202" customFormat="1" ht="21.2" customHeight="1" x14ac:dyDescent="0.25">
      <c r="A506" s="25" t="s">
        <v>255</v>
      </c>
      <c r="B506" s="20" t="s">
        <v>1221</v>
      </c>
      <c r="C506" s="40" t="s">
        <v>271</v>
      </c>
      <c r="D506" s="40" t="s">
        <v>222</v>
      </c>
      <c r="E506" s="20" t="s">
        <v>256</v>
      </c>
      <c r="F506" s="2"/>
      <c r="G506" s="10">
        <f>G507</f>
        <v>45</v>
      </c>
      <c r="H506" s="10">
        <f>H507</f>
        <v>0</v>
      </c>
      <c r="I506" s="416">
        <f t="shared" si="80"/>
        <v>0</v>
      </c>
    </row>
    <row r="507" spans="1:9" s="202" customFormat="1" ht="19.5" customHeight="1" x14ac:dyDescent="0.25">
      <c r="A507" s="25" t="s">
        <v>830</v>
      </c>
      <c r="B507" s="20" t="s">
        <v>1221</v>
      </c>
      <c r="C507" s="40" t="s">
        <v>271</v>
      </c>
      <c r="D507" s="40" t="s">
        <v>222</v>
      </c>
      <c r="E507" s="20" t="s">
        <v>829</v>
      </c>
      <c r="F507" s="2"/>
      <c r="G507" s="10">
        <f>'Пр.4 ведом.21'!G296</f>
        <v>45</v>
      </c>
      <c r="H507" s="10">
        <f>'Пр.4 ведом.21'!H296</f>
        <v>0</v>
      </c>
      <c r="I507" s="416">
        <f t="shared" si="80"/>
        <v>0</v>
      </c>
    </row>
    <row r="508" spans="1:9" s="202" customFormat="1" ht="54" customHeight="1" x14ac:dyDescent="0.25">
      <c r="A508" s="45" t="s">
        <v>268</v>
      </c>
      <c r="B508" s="20" t="s">
        <v>1221</v>
      </c>
      <c r="C508" s="40" t="s">
        <v>271</v>
      </c>
      <c r="D508" s="40" t="s">
        <v>222</v>
      </c>
      <c r="E508" s="20" t="s">
        <v>829</v>
      </c>
      <c r="F508" s="2">
        <v>903</v>
      </c>
      <c r="G508" s="10">
        <f>G507</f>
        <v>45</v>
      </c>
      <c r="H508" s="10">
        <f>H507</f>
        <v>0</v>
      </c>
      <c r="I508" s="416">
        <f t="shared" si="80"/>
        <v>0</v>
      </c>
    </row>
    <row r="509" spans="1:9" s="202" customFormat="1" ht="31.7" customHeight="1" x14ac:dyDescent="0.25">
      <c r="A509" s="31" t="s">
        <v>826</v>
      </c>
      <c r="B509" s="20" t="s">
        <v>1222</v>
      </c>
      <c r="C509" s="40" t="s">
        <v>271</v>
      </c>
      <c r="D509" s="40" t="s">
        <v>222</v>
      </c>
      <c r="E509" s="20"/>
      <c r="F509" s="2"/>
      <c r="G509" s="10">
        <f>G510+G513</f>
        <v>250.00000000000003</v>
      </c>
      <c r="H509" s="10">
        <f>H510+H513</f>
        <v>239.87299999999999</v>
      </c>
      <c r="I509" s="416">
        <f t="shared" si="80"/>
        <v>95.94919999999999</v>
      </c>
    </row>
    <row r="510" spans="1:9" s="202" customFormat="1" ht="31.7" customHeight="1" x14ac:dyDescent="0.25">
      <c r="A510" s="25" t="s">
        <v>134</v>
      </c>
      <c r="B510" s="20" t="s">
        <v>1222</v>
      </c>
      <c r="C510" s="40" t="s">
        <v>271</v>
      </c>
      <c r="D510" s="40" t="s">
        <v>222</v>
      </c>
      <c r="E510" s="20" t="s">
        <v>135</v>
      </c>
      <c r="F510" s="2"/>
      <c r="G510" s="10">
        <f>G511</f>
        <v>250.00000000000003</v>
      </c>
      <c r="H510" s="10">
        <f>H511</f>
        <v>239.87299999999999</v>
      </c>
      <c r="I510" s="416">
        <f t="shared" si="80"/>
        <v>95.94919999999999</v>
      </c>
    </row>
    <row r="511" spans="1:9" s="202" customFormat="1" ht="21.2" customHeight="1" x14ac:dyDescent="0.25">
      <c r="A511" s="46" t="s">
        <v>349</v>
      </c>
      <c r="B511" s="20" t="s">
        <v>1222</v>
      </c>
      <c r="C511" s="40" t="s">
        <v>271</v>
      </c>
      <c r="D511" s="40" t="s">
        <v>222</v>
      </c>
      <c r="E511" s="20" t="s">
        <v>216</v>
      </c>
      <c r="F511" s="2"/>
      <c r="G511" s="10">
        <f>'Пр.4 ведом.21'!G299</f>
        <v>250.00000000000003</v>
      </c>
      <c r="H511" s="10">
        <f>'Пр.4 ведом.21'!H299</f>
        <v>239.87299999999999</v>
      </c>
      <c r="I511" s="416">
        <f t="shared" si="80"/>
        <v>95.94919999999999</v>
      </c>
    </row>
    <row r="512" spans="1:9" s="202" customFormat="1" ht="52.5" customHeight="1" x14ac:dyDescent="0.25">
      <c r="A512" s="45" t="s">
        <v>268</v>
      </c>
      <c r="B512" s="20" t="s">
        <v>1222</v>
      </c>
      <c r="C512" s="40" t="s">
        <v>271</v>
      </c>
      <c r="D512" s="40" t="s">
        <v>222</v>
      </c>
      <c r="E512" s="20" t="s">
        <v>216</v>
      </c>
      <c r="F512" s="2">
        <v>903</v>
      </c>
      <c r="G512" s="10">
        <f>G511</f>
        <v>250.00000000000003</v>
      </c>
      <c r="H512" s="10">
        <f>H511</f>
        <v>239.87299999999999</v>
      </c>
      <c r="I512" s="416">
        <f t="shared" si="80"/>
        <v>95.94919999999999</v>
      </c>
    </row>
    <row r="513" spans="1:9" s="202" customFormat="1" ht="31.7" hidden="1" customHeight="1" x14ac:dyDescent="0.25">
      <c r="A513" s="25" t="s">
        <v>138</v>
      </c>
      <c r="B513" s="20" t="s">
        <v>1222</v>
      </c>
      <c r="C513" s="40" t="s">
        <v>271</v>
      </c>
      <c r="D513" s="40" t="s">
        <v>222</v>
      </c>
      <c r="E513" s="20" t="s">
        <v>139</v>
      </c>
      <c r="F513" s="2"/>
      <c r="G513" s="10">
        <f>G514</f>
        <v>0</v>
      </c>
      <c r="H513" s="10">
        <f>H514</f>
        <v>0</v>
      </c>
      <c r="I513" s="416" t="e">
        <f t="shared" si="80"/>
        <v>#DIV/0!</v>
      </c>
    </row>
    <row r="514" spans="1:9" s="202" customFormat="1" ht="31.7" hidden="1" customHeight="1" x14ac:dyDescent="0.25">
      <c r="A514" s="25" t="s">
        <v>140</v>
      </c>
      <c r="B514" s="20" t="s">
        <v>1222</v>
      </c>
      <c r="C514" s="40" t="s">
        <v>271</v>
      </c>
      <c r="D514" s="40" t="s">
        <v>222</v>
      </c>
      <c r="E514" s="20" t="s">
        <v>141</v>
      </c>
      <c r="F514" s="2"/>
      <c r="G514" s="10">
        <f>'Пр.4 ведом.21'!G301</f>
        <v>0</v>
      </c>
      <c r="H514" s="10">
        <f>'Пр.4 ведом.21'!H301</f>
        <v>0</v>
      </c>
      <c r="I514" s="416" t="e">
        <f t="shared" si="80"/>
        <v>#DIV/0!</v>
      </c>
    </row>
    <row r="515" spans="1:9" s="202" customFormat="1" ht="55.5" hidden="1" customHeight="1" x14ac:dyDescent="0.25">
      <c r="A515" s="45" t="s">
        <v>268</v>
      </c>
      <c r="B515" s="20" t="s">
        <v>1222</v>
      </c>
      <c r="C515" s="40" t="s">
        <v>271</v>
      </c>
      <c r="D515" s="40" t="s">
        <v>222</v>
      </c>
      <c r="E515" s="20" t="s">
        <v>141</v>
      </c>
      <c r="F515" s="2">
        <v>903</v>
      </c>
      <c r="G515" s="10">
        <f>G514</f>
        <v>0</v>
      </c>
      <c r="H515" s="10">
        <f>H514</f>
        <v>0</v>
      </c>
      <c r="I515" s="416" t="e">
        <f t="shared" si="80"/>
        <v>#DIV/0!</v>
      </c>
    </row>
    <row r="516" spans="1:9" s="202" customFormat="1" ht="16.5" customHeight="1" x14ac:dyDescent="0.25">
      <c r="A516" s="73" t="s">
        <v>305</v>
      </c>
      <c r="B516" s="20" t="s">
        <v>1220</v>
      </c>
      <c r="C516" s="40" t="s">
        <v>306</v>
      </c>
      <c r="D516" s="73"/>
      <c r="E516" s="73"/>
      <c r="F516" s="2"/>
      <c r="G516" s="10">
        <f>G517</f>
        <v>924.9</v>
      </c>
      <c r="H516" s="10">
        <f>H517</f>
        <v>48.14</v>
      </c>
      <c r="I516" s="416">
        <f t="shared" si="80"/>
        <v>5.204887014812412</v>
      </c>
    </row>
    <row r="517" spans="1:9" s="202" customFormat="1" ht="16.5" customHeight="1" x14ac:dyDescent="0.25">
      <c r="A517" s="73" t="s">
        <v>307</v>
      </c>
      <c r="B517" s="20" t="s">
        <v>1220</v>
      </c>
      <c r="C517" s="40" t="s">
        <v>306</v>
      </c>
      <c r="D517" s="40" t="s">
        <v>125</v>
      </c>
      <c r="E517" s="73"/>
      <c r="F517" s="2"/>
      <c r="G517" s="10">
        <f>G518+G522</f>
        <v>924.9</v>
      </c>
      <c r="H517" s="10">
        <f>H518+H522</f>
        <v>48.14</v>
      </c>
      <c r="I517" s="416">
        <f t="shared" si="80"/>
        <v>5.204887014812412</v>
      </c>
    </row>
    <row r="518" spans="1:9" s="202" customFormat="1" ht="41.25" customHeight="1" x14ac:dyDescent="0.25">
      <c r="A518" s="31" t="s">
        <v>826</v>
      </c>
      <c r="B518" s="20" t="s">
        <v>1222</v>
      </c>
      <c r="C518" s="40" t="s">
        <v>306</v>
      </c>
      <c r="D518" s="40" t="s">
        <v>125</v>
      </c>
      <c r="E518" s="40"/>
      <c r="F518" s="2"/>
      <c r="G518" s="10">
        <f>G519</f>
        <v>924.9</v>
      </c>
      <c r="H518" s="10">
        <f>H519</f>
        <v>48.14</v>
      </c>
      <c r="I518" s="416">
        <f t="shared" si="80"/>
        <v>5.204887014812412</v>
      </c>
    </row>
    <row r="519" spans="1:9" s="202" customFormat="1" ht="83.25" customHeight="1" x14ac:dyDescent="0.25">
      <c r="A519" s="25" t="s">
        <v>134</v>
      </c>
      <c r="B519" s="20" t="s">
        <v>1222</v>
      </c>
      <c r="C519" s="40" t="s">
        <v>306</v>
      </c>
      <c r="D519" s="40" t="s">
        <v>125</v>
      </c>
      <c r="E519" s="40" t="s">
        <v>135</v>
      </c>
      <c r="F519" s="2"/>
      <c r="G519" s="10">
        <f>G520</f>
        <v>924.9</v>
      </c>
      <c r="H519" s="10">
        <f>H520</f>
        <v>48.14</v>
      </c>
      <c r="I519" s="416">
        <f t="shared" si="80"/>
        <v>5.204887014812412</v>
      </c>
    </row>
    <row r="520" spans="1:9" s="202" customFormat="1" ht="15.75" customHeight="1" x14ac:dyDescent="0.25">
      <c r="A520" s="25" t="s">
        <v>215</v>
      </c>
      <c r="B520" s="20" t="s">
        <v>1222</v>
      </c>
      <c r="C520" s="40" t="s">
        <v>306</v>
      </c>
      <c r="D520" s="40" t="s">
        <v>125</v>
      </c>
      <c r="E520" s="40" t="s">
        <v>216</v>
      </c>
      <c r="F520" s="2"/>
      <c r="G520" s="10">
        <f>'Пр.3 Рд,пр, ЦС,ВР 21'!F756</f>
        <v>924.9</v>
      </c>
      <c r="H520" s="10">
        <f>'Пр.3 Рд,пр, ЦС,ВР 21'!G756</f>
        <v>48.14</v>
      </c>
      <c r="I520" s="416">
        <f t="shared" si="80"/>
        <v>5.204887014812412</v>
      </c>
    </row>
    <row r="521" spans="1:9" s="202" customFormat="1" ht="40.15" customHeight="1" x14ac:dyDescent="0.25">
      <c r="A521" s="45" t="s">
        <v>268</v>
      </c>
      <c r="B521" s="20" t="s">
        <v>1222</v>
      </c>
      <c r="C521" s="40" t="s">
        <v>306</v>
      </c>
      <c r="D521" s="40" t="s">
        <v>125</v>
      </c>
      <c r="E521" s="40" t="s">
        <v>216</v>
      </c>
      <c r="F521" s="2">
        <v>903</v>
      </c>
      <c r="G521" s="10">
        <f>G520</f>
        <v>924.9</v>
      </c>
      <c r="H521" s="10">
        <f>H520</f>
        <v>48.14</v>
      </c>
      <c r="I521" s="416">
        <f t="shared" si="80"/>
        <v>5.204887014812412</v>
      </c>
    </row>
    <row r="522" spans="1:9" s="202" customFormat="1" ht="40.700000000000003" hidden="1" customHeight="1" x14ac:dyDescent="0.25">
      <c r="A522" s="25" t="s">
        <v>138</v>
      </c>
      <c r="B522" s="20" t="s">
        <v>1222</v>
      </c>
      <c r="C522" s="40" t="s">
        <v>306</v>
      </c>
      <c r="D522" s="40" t="s">
        <v>125</v>
      </c>
      <c r="E522" s="40" t="s">
        <v>139</v>
      </c>
      <c r="F522" s="2"/>
      <c r="G522" s="10">
        <f>G523</f>
        <v>0</v>
      </c>
      <c r="H522" s="10">
        <f>H523</f>
        <v>0</v>
      </c>
      <c r="I522" s="416" t="e">
        <f t="shared" si="80"/>
        <v>#DIV/0!</v>
      </c>
    </row>
    <row r="523" spans="1:9" s="202" customFormat="1" ht="40.700000000000003" hidden="1" customHeight="1" x14ac:dyDescent="0.25">
      <c r="A523" s="25" t="s">
        <v>140</v>
      </c>
      <c r="B523" s="20" t="s">
        <v>1222</v>
      </c>
      <c r="C523" s="40" t="s">
        <v>306</v>
      </c>
      <c r="D523" s="40" t="s">
        <v>125</v>
      </c>
      <c r="E523" s="40" t="s">
        <v>141</v>
      </c>
      <c r="F523" s="2"/>
      <c r="G523" s="10">
        <f>'Пр.3 Рд,пр, ЦС,ВР 21'!F758</f>
        <v>0</v>
      </c>
      <c r="H523" s="10">
        <f>'Пр.3 Рд,пр, ЦС,ВР 21'!G758</f>
        <v>0</v>
      </c>
      <c r="I523" s="416" t="e">
        <f t="shared" si="80"/>
        <v>#DIV/0!</v>
      </c>
    </row>
    <row r="524" spans="1:9" s="202" customFormat="1" ht="46.5" hidden="1" customHeight="1" x14ac:dyDescent="0.25">
      <c r="A524" s="45" t="s">
        <v>268</v>
      </c>
      <c r="B524" s="20" t="s">
        <v>1222</v>
      </c>
      <c r="C524" s="40" t="s">
        <v>306</v>
      </c>
      <c r="D524" s="40" t="s">
        <v>125</v>
      </c>
      <c r="E524" s="40" t="s">
        <v>141</v>
      </c>
      <c r="F524" s="2">
        <v>903</v>
      </c>
      <c r="G524" s="10">
        <f>G523</f>
        <v>0</v>
      </c>
      <c r="H524" s="10">
        <f>H523</f>
        <v>0</v>
      </c>
      <c r="I524" s="416" t="e">
        <f t="shared" si="80"/>
        <v>#DIV/0!</v>
      </c>
    </row>
    <row r="525" spans="1:9" s="202" customFormat="1" ht="35.450000000000003" customHeight="1" x14ac:dyDescent="0.25">
      <c r="A525" s="23" t="s">
        <v>957</v>
      </c>
      <c r="B525" s="24" t="s">
        <v>1223</v>
      </c>
      <c r="C525" s="7"/>
      <c r="D525" s="7"/>
      <c r="E525" s="7"/>
      <c r="F525" s="3"/>
      <c r="G525" s="59">
        <f>G534+G527+G538</f>
        <v>1715.1</v>
      </c>
      <c r="H525" s="59">
        <f>H534+H527+H538</f>
        <v>1363.6289999999999</v>
      </c>
      <c r="I525" s="441">
        <f t="shared" si="80"/>
        <v>79.507259051950314</v>
      </c>
    </row>
    <row r="526" spans="1:9" s="202" customFormat="1" ht="18" customHeight="1" x14ac:dyDescent="0.25">
      <c r="A526" s="25" t="s">
        <v>270</v>
      </c>
      <c r="B526" s="20" t="s">
        <v>1223</v>
      </c>
      <c r="C526" s="40" t="s">
        <v>271</v>
      </c>
      <c r="D526" s="40"/>
      <c r="E526" s="40"/>
      <c r="F526" s="2"/>
      <c r="G526" s="10">
        <f t="shared" ref="G526:H529" si="81">G527</f>
        <v>506</v>
      </c>
      <c r="H526" s="10">
        <f t="shared" si="81"/>
        <v>301.49799999999999</v>
      </c>
      <c r="I526" s="416">
        <f t="shared" si="80"/>
        <v>59.584584980237153</v>
      </c>
    </row>
    <row r="527" spans="1:9" s="202" customFormat="1" ht="22.7" customHeight="1" x14ac:dyDescent="0.25">
      <c r="A527" s="25" t="s">
        <v>272</v>
      </c>
      <c r="B527" s="20" t="s">
        <v>1223</v>
      </c>
      <c r="C527" s="40" t="s">
        <v>271</v>
      </c>
      <c r="D527" s="40" t="s">
        <v>222</v>
      </c>
      <c r="E527" s="40"/>
      <c r="F527" s="2"/>
      <c r="G527" s="10">
        <f t="shared" si="81"/>
        <v>506</v>
      </c>
      <c r="H527" s="10">
        <f t="shared" si="81"/>
        <v>301.49799999999999</v>
      </c>
      <c r="I527" s="416">
        <f t="shared" si="80"/>
        <v>59.584584980237153</v>
      </c>
    </row>
    <row r="528" spans="1:9" s="202" customFormat="1" ht="49.7" customHeight="1" x14ac:dyDescent="0.25">
      <c r="A528" s="25" t="s">
        <v>849</v>
      </c>
      <c r="B528" s="20" t="s">
        <v>1224</v>
      </c>
      <c r="C528" s="40" t="s">
        <v>271</v>
      </c>
      <c r="D528" s="40" t="s">
        <v>222</v>
      </c>
      <c r="E528" s="20"/>
      <c r="F528" s="2"/>
      <c r="G528" s="10">
        <f t="shared" si="81"/>
        <v>506</v>
      </c>
      <c r="H528" s="10">
        <f t="shared" si="81"/>
        <v>301.49799999999999</v>
      </c>
      <c r="I528" s="416">
        <f t="shared" si="80"/>
        <v>59.584584980237153</v>
      </c>
    </row>
    <row r="529" spans="1:9" s="202" customFormat="1" ht="88.5" customHeight="1" x14ac:dyDescent="0.25">
      <c r="A529" s="25" t="s">
        <v>134</v>
      </c>
      <c r="B529" s="20" t="s">
        <v>1224</v>
      </c>
      <c r="C529" s="40" t="s">
        <v>271</v>
      </c>
      <c r="D529" s="40" t="s">
        <v>222</v>
      </c>
      <c r="E529" s="20" t="s">
        <v>135</v>
      </c>
      <c r="F529" s="2"/>
      <c r="G529" s="10">
        <f t="shared" si="81"/>
        <v>506</v>
      </c>
      <c r="H529" s="10">
        <f t="shared" si="81"/>
        <v>301.49799999999999</v>
      </c>
      <c r="I529" s="416">
        <f t="shared" si="80"/>
        <v>59.584584980237153</v>
      </c>
    </row>
    <row r="530" spans="1:9" s="202" customFormat="1" ht="36.75" customHeight="1" x14ac:dyDescent="0.25">
      <c r="A530" s="25" t="s">
        <v>136</v>
      </c>
      <c r="B530" s="20" t="s">
        <v>1224</v>
      </c>
      <c r="C530" s="40" t="s">
        <v>271</v>
      </c>
      <c r="D530" s="40" t="s">
        <v>222</v>
      </c>
      <c r="E530" s="20" t="s">
        <v>216</v>
      </c>
      <c r="F530" s="2"/>
      <c r="G530" s="10">
        <f>'Пр.4 ведом.21'!G305</f>
        <v>506</v>
      </c>
      <c r="H530" s="10">
        <f>'Пр.4 ведом.21'!H305</f>
        <v>301.49799999999999</v>
      </c>
      <c r="I530" s="416">
        <f t="shared" ref="I530:I593" si="82">H530/G530*100</f>
        <v>59.584584980237153</v>
      </c>
    </row>
    <row r="531" spans="1:9" s="202" customFormat="1" ht="58.7" customHeight="1" x14ac:dyDescent="0.25">
      <c r="A531" s="45" t="s">
        <v>268</v>
      </c>
      <c r="B531" s="20" t="s">
        <v>1224</v>
      </c>
      <c r="C531" s="40" t="s">
        <v>271</v>
      </c>
      <c r="D531" s="40" t="s">
        <v>222</v>
      </c>
      <c r="E531" s="20" t="s">
        <v>216</v>
      </c>
      <c r="F531" s="2">
        <v>903</v>
      </c>
      <c r="G531" s="10">
        <f>G530</f>
        <v>506</v>
      </c>
      <c r="H531" s="10">
        <f>H530</f>
        <v>301.49799999999999</v>
      </c>
      <c r="I531" s="416">
        <f t="shared" si="82"/>
        <v>59.584584980237153</v>
      </c>
    </row>
    <row r="532" spans="1:9" s="202" customFormat="1" ht="16.5" customHeight="1" x14ac:dyDescent="0.25">
      <c r="A532" s="73" t="s">
        <v>305</v>
      </c>
      <c r="B532" s="20" t="s">
        <v>1223</v>
      </c>
      <c r="C532" s="40" t="s">
        <v>306</v>
      </c>
      <c r="D532" s="73"/>
      <c r="E532" s="73"/>
      <c r="F532" s="2"/>
      <c r="G532" s="10">
        <f t="shared" ref="G532:H535" si="83">G533</f>
        <v>933.1</v>
      </c>
      <c r="H532" s="10">
        <f t="shared" si="83"/>
        <v>933.13099999999997</v>
      </c>
      <c r="I532" s="416">
        <f t="shared" si="82"/>
        <v>100.00332225913621</v>
      </c>
    </row>
    <row r="533" spans="1:9" s="202" customFormat="1" ht="18.75" customHeight="1" x14ac:dyDescent="0.25">
      <c r="A533" s="73" t="s">
        <v>307</v>
      </c>
      <c r="B533" s="20" t="s">
        <v>1223</v>
      </c>
      <c r="C533" s="40" t="s">
        <v>306</v>
      </c>
      <c r="D533" s="40" t="s">
        <v>125</v>
      </c>
      <c r="E533" s="73"/>
      <c r="F533" s="2"/>
      <c r="G533" s="10">
        <f t="shared" si="83"/>
        <v>933.1</v>
      </c>
      <c r="H533" s="10">
        <f t="shared" si="83"/>
        <v>933.13099999999997</v>
      </c>
      <c r="I533" s="416">
        <f t="shared" si="82"/>
        <v>100.00332225913621</v>
      </c>
    </row>
    <row r="534" spans="1:9" s="202" customFormat="1" ht="43.5" customHeight="1" x14ac:dyDescent="0.25">
      <c r="A534" s="25" t="s">
        <v>849</v>
      </c>
      <c r="B534" s="20" t="s">
        <v>1224</v>
      </c>
      <c r="C534" s="40" t="s">
        <v>306</v>
      </c>
      <c r="D534" s="40" t="s">
        <v>125</v>
      </c>
      <c r="E534" s="40"/>
      <c r="F534" s="2"/>
      <c r="G534" s="10">
        <f t="shared" si="83"/>
        <v>933.1</v>
      </c>
      <c r="H534" s="10">
        <f t="shared" si="83"/>
        <v>933.13099999999997</v>
      </c>
      <c r="I534" s="416">
        <f t="shared" si="82"/>
        <v>100.00332225913621</v>
      </c>
    </row>
    <row r="535" spans="1:9" s="202" customFormat="1" ht="81" customHeight="1" x14ac:dyDescent="0.25">
      <c r="A535" s="25" t="s">
        <v>134</v>
      </c>
      <c r="B535" s="20" t="s">
        <v>1224</v>
      </c>
      <c r="C535" s="40" t="s">
        <v>306</v>
      </c>
      <c r="D535" s="40" t="s">
        <v>125</v>
      </c>
      <c r="E535" s="40" t="s">
        <v>135</v>
      </c>
      <c r="F535" s="2"/>
      <c r="G535" s="10">
        <f t="shared" si="83"/>
        <v>933.1</v>
      </c>
      <c r="H535" s="10">
        <f t="shared" si="83"/>
        <v>933.13099999999997</v>
      </c>
      <c r="I535" s="416">
        <f t="shared" si="82"/>
        <v>100.00332225913621</v>
      </c>
    </row>
    <row r="536" spans="1:9" s="202" customFormat="1" ht="38.25" customHeight="1" x14ac:dyDescent="0.25">
      <c r="A536" s="25" t="s">
        <v>136</v>
      </c>
      <c r="B536" s="20" t="s">
        <v>1224</v>
      </c>
      <c r="C536" s="40" t="s">
        <v>306</v>
      </c>
      <c r="D536" s="40" t="s">
        <v>125</v>
      </c>
      <c r="E536" s="40" t="s">
        <v>216</v>
      </c>
      <c r="F536" s="2"/>
      <c r="G536" s="10">
        <f>'Пр.3 Рд,пр, ЦС,ВР 21'!F762</f>
        <v>933.1</v>
      </c>
      <c r="H536" s="10">
        <f>'Пр.3 Рд,пр, ЦС,ВР 21'!G762</f>
        <v>933.13099999999997</v>
      </c>
      <c r="I536" s="416">
        <f t="shared" si="82"/>
        <v>100.00332225913621</v>
      </c>
    </row>
    <row r="537" spans="1:9" s="202" customFormat="1" ht="47.25" customHeight="1" x14ac:dyDescent="0.25">
      <c r="A537" s="45" t="s">
        <v>268</v>
      </c>
      <c r="B537" s="20" t="s">
        <v>1224</v>
      </c>
      <c r="C537" s="40" t="s">
        <v>306</v>
      </c>
      <c r="D537" s="40" t="s">
        <v>125</v>
      </c>
      <c r="E537" s="40" t="s">
        <v>216</v>
      </c>
      <c r="F537" s="2">
        <v>903</v>
      </c>
      <c r="G537" s="10">
        <f>G536</f>
        <v>933.1</v>
      </c>
      <c r="H537" s="10">
        <f>H536</f>
        <v>933.13099999999997</v>
      </c>
      <c r="I537" s="416">
        <f t="shared" si="82"/>
        <v>100.00332225913621</v>
      </c>
    </row>
    <row r="538" spans="1:9" s="202" customFormat="1" ht="16.5" customHeight="1" x14ac:dyDescent="0.25">
      <c r="A538" s="68" t="s">
        <v>589</v>
      </c>
      <c r="B538" s="20" t="s">
        <v>1223</v>
      </c>
      <c r="C538" s="40" t="s">
        <v>245</v>
      </c>
      <c r="D538" s="73"/>
      <c r="E538" s="73"/>
      <c r="F538" s="2"/>
      <c r="G538" s="10">
        <f t="shared" ref="G538:H541" si="84">G539</f>
        <v>276</v>
      </c>
      <c r="H538" s="10">
        <f t="shared" si="84"/>
        <v>129</v>
      </c>
      <c r="I538" s="416">
        <f t="shared" si="82"/>
        <v>46.739130434782609</v>
      </c>
    </row>
    <row r="539" spans="1:9" s="202" customFormat="1" ht="18" customHeight="1" x14ac:dyDescent="0.25">
      <c r="A539" s="25" t="s">
        <v>590</v>
      </c>
      <c r="B539" s="20" t="s">
        <v>1223</v>
      </c>
      <c r="C539" s="40" t="s">
        <v>245</v>
      </c>
      <c r="D539" s="40" t="s">
        <v>220</v>
      </c>
      <c r="E539" s="73"/>
      <c r="F539" s="2"/>
      <c r="G539" s="10">
        <f t="shared" si="84"/>
        <v>276</v>
      </c>
      <c r="H539" s="10">
        <f t="shared" si="84"/>
        <v>129</v>
      </c>
      <c r="I539" s="416">
        <f t="shared" si="82"/>
        <v>46.739130434782609</v>
      </c>
    </row>
    <row r="540" spans="1:9" s="202" customFormat="1" ht="47.25" customHeight="1" x14ac:dyDescent="0.25">
      <c r="A540" s="25" t="s">
        <v>849</v>
      </c>
      <c r="B540" s="20" t="s">
        <v>1224</v>
      </c>
      <c r="C540" s="40" t="s">
        <v>245</v>
      </c>
      <c r="D540" s="40" t="s">
        <v>220</v>
      </c>
      <c r="E540" s="40"/>
      <c r="F540" s="2"/>
      <c r="G540" s="10">
        <f t="shared" si="84"/>
        <v>276</v>
      </c>
      <c r="H540" s="10">
        <f t="shared" si="84"/>
        <v>129</v>
      </c>
      <c r="I540" s="416">
        <f t="shared" si="82"/>
        <v>46.739130434782609</v>
      </c>
    </row>
    <row r="541" spans="1:9" s="202" customFormat="1" ht="47.25" customHeight="1" x14ac:dyDescent="0.25">
      <c r="A541" s="25" t="s">
        <v>134</v>
      </c>
      <c r="B541" s="20" t="s">
        <v>1224</v>
      </c>
      <c r="C541" s="40" t="s">
        <v>245</v>
      </c>
      <c r="D541" s="40" t="s">
        <v>220</v>
      </c>
      <c r="E541" s="40" t="s">
        <v>135</v>
      </c>
      <c r="F541" s="2"/>
      <c r="G541" s="10">
        <f t="shared" si="84"/>
        <v>276</v>
      </c>
      <c r="H541" s="10">
        <f t="shared" si="84"/>
        <v>129</v>
      </c>
      <c r="I541" s="416">
        <f t="shared" si="82"/>
        <v>46.739130434782609</v>
      </c>
    </row>
    <row r="542" spans="1:9" s="202" customFormat="1" ht="47.25" customHeight="1" x14ac:dyDescent="0.25">
      <c r="A542" s="25" t="s">
        <v>136</v>
      </c>
      <c r="B542" s="20" t="s">
        <v>1224</v>
      </c>
      <c r="C542" s="40" t="s">
        <v>245</v>
      </c>
      <c r="D542" s="40" t="s">
        <v>220</v>
      </c>
      <c r="E542" s="40" t="s">
        <v>216</v>
      </c>
      <c r="F542" s="2"/>
      <c r="G542" s="10">
        <f>'Пр.4 ведом.21'!G474</f>
        <v>276</v>
      </c>
      <c r="H542" s="10">
        <f>'Пр.4 ведом.21'!H474</f>
        <v>129</v>
      </c>
      <c r="I542" s="416">
        <f t="shared" si="82"/>
        <v>46.739130434782609</v>
      </c>
    </row>
    <row r="543" spans="1:9" s="202" customFormat="1" ht="47.25" customHeight="1" x14ac:dyDescent="0.25">
      <c r="A543" s="45" t="s">
        <v>268</v>
      </c>
      <c r="B543" s="20" t="s">
        <v>1224</v>
      </c>
      <c r="C543" s="40" t="s">
        <v>245</v>
      </c>
      <c r="D543" s="40" t="s">
        <v>220</v>
      </c>
      <c r="E543" s="40" t="s">
        <v>216</v>
      </c>
      <c r="F543" s="2">
        <v>903</v>
      </c>
      <c r="G543" s="10">
        <f>G542</f>
        <v>276</v>
      </c>
      <c r="H543" s="10">
        <f>H542</f>
        <v>129</v>
      </c>
      <c r="I543" s="416">
        <f t="shared" si="82"/>
        <v>46.739130434782609</v>
      </c>
    </row>
    <row r="544" spans="1:9" s="202" customFormat="1" ht="48.2" customHeight="1" x14ac:dyDescent="0.25">
      <c r="A544" s="213" t="s">
        <v>910</v>
      </c>
      <c r="B544" s="24" t="s">
        <v>1225</v>
      </c>
      <c r="C544" s="7"/>
      <c r="D544" s="7"/>
      <c r="E544" s="7"/>
      <c r="F544" s="3"/>
      <c r="G544" s="59">
        <f>G545+G560</f>
        <v>3517.4</v>
      </c>
      <c r="H544" s="59">
        <f>H545+H560</f>
        <v>524.69899999999996</v>
      </c>
      <c r="I544" s="441">
        <f t="shared" si="82"/>
        <v>14.917240006823221</v>
      </c>
    </row>
    <row r="545" spans="1:10" s="202" customFormat="1" ht="21.75" customHeight="1" x14ac:dyDescent="0.25">
      <c r="A545" s="25" t="s">
        <v>270</v>
      </c>
      <c r="B545" s="20" t="s">
        <v>1225</v>
      </c>
      <c r="C545" s="40" t="s">
        <v>271</v>
      </c>
      <c r="D545" s="40"/>
      <c r="E545" s="40"/>
      <c r="F545" s="2"/>
      <c r="G545" s="10">
        <f>G546</f>
        <v>1075.4000000000001</v>
      </c>
      <c r="H545" s="10">
        <f>H546</f>
        <v>119.244</v>
      </c>
      <c r="I545" s="416">
        <f t="shared" si="82"/>
        <v>11.08833922261484</v>
      </c>
    </row>
    <row r="546" spans="1:10" s="202" customFormat="1" ht="18" customHeight="1" x14ac:dyDescent="0.25">
      <c r="A546" s="25" t="s">
        <v>272</v>
      </c>
      <c r="B546" s="20" t="s">
        <v>1225</v>
      </c>
      <c r="C546" s="40" t="s">
        <v>271</v>
      </c>
      <c r="D546" s="40" t="s">
        <v>222</v>
      </c>
      <c r="E546" s="40"/>
      <c r="F546" s="2"/>
      <c r="G546" s="10">
        <f>G551+G555+G547</f>
        <v>1075.4000000000001</v>
      </c>
      <c r="H546" s="10">
        <f>H551+H555+H547</f>
        <v>119.244</v>
      </c>
      <c r="I546" s="416">
        <f t="shared" si="82"/>
        <v>11.08833922261484</v>
      </c>
    </row>
    <row r="547" spans="1:10" s="202" customFormat="1" ht="97.15" customHeight="1" x14ac:dyDescent="0.25">
      <c r="A547" s="31" t="s">
        <v>300</v>
      </c>
      <c r="B547" s="20" t="s">
        <v>1420</v>
      </c>
      <c r="C547" s="40" t="s">
        <v>271</v>
      </c>
      <c r="D547" s="40" t="s">
        <v>222</v>
      </c>
      <c r="E547" s="20"/>
      <c r="F547" s="2"/>
      <c r="G547" s="10">
        <f>G548</f>
        <v>671</v>
      </c>
      <c r="H547" s="10">
        <f>H548</f>
        <v>73.436999999999998</v>
      </c>
      <c r="I547" s="416">
        <f t="shared" si="82"/>
        <v>10.944411326378539</v>
      </c>
      <c r="J547" s="227">
        <f>G547+G561</f>
        <v>2771.6</v>
      </c>
    </row>
    <row r="548" spans="1:10" s="202" customFormat="1" ht="84.2" customHeight="1" x14ac:dyDescent="0.25">
      <c r="A548" s="25" t="s">
        <v>134</v>
      </c>
      <c r="B548" s="20" t="s">
        <v>1420</v>
      </c>
      <c r="C548" s="40" t="s">
        <v>271</v>
      </c>
      <c r="D548" s="40" t="s">
        <v>222</v>
      </c>
      <c r="E548" s="20" t="s">
        <v>135</v>
      </c>
      <c r="F548" s="2"/>
      <c r="G548" s="10">
        <f>G549</f>
        <v>671</v>
      </c>
      <c r="H548" s="10">
        <f>H549</f>
        <v>73.436999999999998</v>
      </c>
      <c r="I548" s="416">
        <f t="shared" si="82"/>
        <v>10.944411326378539</v>
      </c>
    </row>
    <row r="549" spans="1:10" s="202" customFormat="1" ht="15" customHeight="1" x14ac:dyDescent="0.25">
      <c r="A549" s="46" t="s">
        <v>349</v>
      </c>
      <c r="B549" s="20" t="s">
        <v>1420</v>
      </c>
      <c r="C549" s="40" t="s">
        <v>271</v>
      </c>
      <c r="D549" s="40" t="s">
        <v>222</v>
      </c>
      <c r="E549" s="20" t="s">
        <v>216</v>
      </c>
      <c r="F549" s="2"/>
      <c r="G549" s="10">
        <f>'Пр.4 ведом.21'!G309</f>
        <v>671</v>
      </c>
      <c r="H549" s="10">
        <f>'Пр.4 ведом.21'!H309</f>
        <v>73.436999999999998</v>
      </c>
      <c r="I549" s="416">
        <f t="shared" si="82"/>
        <v>10.944411326378539</v>
      </c>
    </row>
    <row r="550" spans="1:10" s="202" customFormat="1" ht="57.75" customHeight="1" x14ac:dyDescent="0.25">
      <c r="A550" s="45" t="s">
        <v>268</v>
      </c>
      <c r="B550" s="20" t="s">
        <v>1420</v>
      </c>
      <c r="C550" s="40" t="s">
        <v>271</v>
      </c>
      <c r="D550" s="40" t="s">
        <v>222</v>
      </c>
      <c r="E550" s="20" t="s">
        <v>216</v>
      </c>
      <c r="F550" s="2">
        <v>903</v>
      </c>
      <c r="G550" s="10">
        <f>G549</f>
        <v>671</v>
      </c>
      <c r="H550" s="10">
        <f>H549</f>
        <v>73.436999999999998</v>
      </c>
      <c r="I550" s="416">
        <f t="shared" si="82"/>
        <v>10.944411326378539</v>
      </c>
    </row>
    <row r="551" spans="1:10" s="202" customFormat="1" ht="74.25" customHeight="1" x14ac:dyDescent="0.25">
      <c r="A551" s="31" t="s">
        <v>296</v>
      </c>
      <c r="B551" s="20" t="s">
        <v>1226</v>
      </c>
      <c r="C551" s="40" t="s">
        <v>271</v>
      </c>
      <c r="D551" s="40" t="s">
        <v>222</v>
      </c>
      <c r="E551" s="20"/>
      <c r="F551" s="2"/>
      <c r="G551" s="10">
        <f>G552</f>
        <v>106</v>
      </c>
      <c r="H551" s="10">
        <f>H552</f>
        <v>12.95</v>
      </c>
      <c r="I551" s="416">
        <f t="shared" si="82"/>
        <v>12.216981132075471</v>
      </c>
    </row>
    <row r="552" spans="1:10" s="202" customFormat="1" ht="79.5" customHeight="1" x14ac:dyDescent="0.25">
      <c r="A552" s="25" t="s">
        <v>134</v>
      </c>
      <c r="B552" s="20" t="s">
        <v>1226</v>
      </c>
      <c r="C552" s="40" t="s">
        <v>271</v>
      </c>
      <c r="D552" s="40" t="s">
        <v>222</v>
      </c>
      <c r="E552" s="20" t="s">
        <v>135</v>
      </c>
      <c r="F552" s="2"/>
      <c r="G552" s="10">
        <f>G553</f>
        <v>106</v>
      </c>
      <c r="H552" s="10">
        <f>H553</f>
        <v>12.95</v>
      </c>
      <c r="I552" s="416">
        <f t="shared" si="82"/>
        <v>12.216981132075471</v>
      </c>
    </row>
    <row r="553" spans="1:10" s="202" customFormat="1" ht="20.25" customHeight="1" x14ac:dyDescent="0.25">
      <c r="A553" s="46" t="s">
        <v>349</v>
      </c>
      <c r="B553" s="20" t="s">
        <v>1226</v>
      </c>
      <c r="C553" s="40" t="s">
        <v>271</v>
      </c>
      <c r="D553" s="40" t="s">
        <v>222</v>
      </c>
      <c r="E553" s="20" t="s">
        <v>216</v>
      </c>
      <c r="F553" s="2"/>
      <c r="G553" s="10">
        <f>'Пр.4 ведом.21'!G312</f>
        <v>106</v>
      </c>
      <c r="H553" s="10">
        <f>'Пр.4 ведом.21'!H312</f>
        <v>12.95</v>
      </c>
      <c r="I553" s="416">
        <f t="shared" si="82"/>
        <v>12.216981132075471</v>
      </c>
    </row>
    <row r="554" spans="1:10" s="202" customFormat="1" ht="58.7" customHeight="1" x14ac:dyDescent="0.25">
      <c r="A554" s="45" t="s">
        <v>268</v>
      </c>
      <c r="B554" s="20" t="s">
        <v>1226</v>
      </c>
      <c r="C554" s="40" t="s">
        <v>271</v>
      </c>
      <c r="D554" s="40" t="s">
        <v>222</v>
      </c>
      <c r="E554" s="20" t="s">
        <v>216</v>
      </c>
      <c r="F554" s="2">
        <v>903</v>
      </c>
      <c r="G554" s="10">
        <f>G553</f>
        <v>106</v>
      </c>
      <c r="H554" s="10">
        <f>H553</f>
        <v>12.95</v>
      </c>
      <c r="I554" s="416">
        <f t="shared" si="82"/>
        <v>12.216981132075471</v>
      </c>
    </row>
    <row r="555" spans="1:10" s="202" customFormat="1" ht="69.75" customHeight="1" x14ac:dyDescent="0.25">
      <c r="A555" s="31" t="s">
        <v>298</v>
      </c>
      <c r="B555" s="20" t="s">
        <v>1227</v>
      </c>
      <c r="C555" s="40" t="s">
        <v>271</v>
      </c>
      <c r="D555" s="40" t="s">
        <v>222</v>
      </c>
      <c r="E555" s="20"/>
      <c r="F555" s="2"/>
      <c r="G555" s="10">
        <f>G556</f>
        <v>298.40000000000003</v>
      </c>
      <c r="H555" s="10">
        <f>H556</f>
        <v>32.856999999999999</v>
      </c>
      <c r="I555" s="416">
        <f t="shared" si="82"/>
        <v>11.011058981233242</v>
      </c>
    </row>
    <row r="556" spans="1:10" s="202" customFormat="1" ht="86.25" customHeight="1" x14ac:dyDescent="0.25">
      <c r="A556" s="25" t="s">
        <v>134</v>
      </c>
      <c r="B556" s="20" t="s">
        <v>1227</v>
      </c>
      <c r="C556" s="40" t="s">
        <v>271</v>
      </c>
      <c r="D556" s="40" t="s">
        <v>222</v>
      </c>
      <c r="E556" s="20" t="s">
        <v>135</v>
      </c>
      <c r="F556" s="2"/>
      <c r="G556" s="10">
        <f>G557</f>
        <v>298.40000000000003</v>
      </c>
      <c r="H556" s="10">
        <f>H557</f>
        <v>32.856999999999999</v>
      </c>
      <c r="I556" s="416">
        <f t="shared" si="82"/>
        <v>11.011058981233242</v>
      </c>
    </row>
    <row r="557" spans="1:10" s="202" customFormat="1" ht="23.25" customHeight="1" x14ac:dyDescent="0.25">
      <c r="A557" s="46" t="s">
        <v>349</v>
      </c>
      <c r="B557" s="20" t="s">
        <v>1227</v>
      </c>
      <c r="C557" s="40" t="s">
        <v>271</v>
      </c>
      <c r="D557" s="40" t="s">
        <v>222</v>
      </c>
      <c r="E557" s="20" t="s">
        <v>216</v>
      </c>
      <c r="F557" s="2"/>
      <c r="G557" s="10">
        <f>'Пр.4 ведом.21'!G315</f>
        <v>298.40000000000003</v>
      </c>
      <c r="H557" s="10">
        <f>'Пр.4 ведом.21'!H315</f>
        <v>32.856999999999999</v>
      </c>
      <c r="I557" s="416">
        <f t="shared" si="82"/>
        <v>11.011058981233242</v>
      </c>
    </row>
    <row r="558" spans="1:10" s="202" customFormat="1" ht="55.5" customHeight="1" x14ac:dyDescent="0.25">
      <c r="A558" s="45" t="s">
        <v>268</v>
      </c>
      <c r="B558" s="20" t="s">
        <v>1227</v>
      </c>
      <c r="C558" s="40" t="s">
        <v>271</v>
      </c>
      <c r="D558" s="40" t="s">
        <v>222</v>
      </c>
      <c r="E558" s="20" t="s">
        <v>216</v>
      </c>
      <c r="F558" s="2">
        <v>903</v>
      </c>
      <c r="G558" s="10">
        <f>G557</f>
        <v>298.40000000000003</v>
      </c>
      <c r="H558" s="10">
        <f>H557</f>
        <v>32.856999999999999</v>
      </c>
      <c r="I558" s="416">
        <f t="shared" si="82"/>
        <v>11.011058981233242</v>
      </c>
    </row>
    <row r="559" spans="1:10" s="202" customFormat="1" ht="17.45" customHeight="1" x14ac:dyDescent="0.25">
      <c r="A559" s="73" t="s">
        <v>305</v>
      </c>
      <c r="B559" s="20" t="s">
        <v>1225</v>
      </c>
      <c r="C559" s="40" t="s">
        <v>306</v>
      </c>
      <c r="D559" s="73"/>
      <c r="E559" s="73"/>
      <c r="F559" s="2"/>
      <c r="G559" s="10">
        <f>G560</f>
        <v>2442</v>
      </c>
      <c r="H559" s="10">
        <f>H560</f>
        <v>405.45499999999998</v>
      </c>
      <c r="I559" s="416">
        <f t="shared" si="82"/>
        <v>16.603398853398854</v>
      </c>
    </row>
    <row r="560" spans="1:10" s="202" customFormat="1" ht="18" customHeight="1" x14ac:dyDescent="0.25">
      <c r="A560" s="73" t="s">
        <v>307</v>
      </c>
      <c r="B560" s="20" t="s">
        <v>1225</v>
      </c>
      <c r="C560" s="40" t="s">
        <v>306</v>
      </c>
      <c r="D560" s="40" t="s">
        <v>125</v>
      </c>
      <c r="E560" s="73"/>
      <c r="F560" s="2"/>
      <c r="G560" s="10">
        <f>G561+G565</f>
        <v>2442</v>
      </c>
      <c r="H560" s="10">
        <f>H561+H565</f>
        <v>405.45499999999998</v>
      </c>
      <c r="I560" s="416">
        <f t="shared" si="82"/>
        <v>16.603398853398854</v>
      </c>
    </row>
    <row r="561" spans="1:9" s="202" customFormat="1" ht="103.9" customHeight="1" x14ac:dyDescent="0.25">
      <c r="A561" s="31" t="s">
        <v>300</v>
      </c>
      <c r="B561" s="20" t="s">
        <v>1420</v>
      </c>
      <c r="C561" s="40" t="s">
        <v>306</v>
      </c>
      <c r="D561" s="40" t="s">
        <v>125</v>
      </c>
      <c r="E561" s="40"/>
      <c r="F561" s="2"/>
      <c r="G561" s="10">
        <f>G562</f>
        <v>2100.6</v>
      </c>
      <c r="H561" s="10">
        <f>H562</f>
        <v>374.185</v>
      </c>
      <c r="I561" s="416">
        <f t="shared" si="82"/>
        <v>17.813243835094735</v>
      </c>
    </row>
    <row r="562" spans="1:9" s="202" customFormat="1" ht="79.5" customHeight="1" x14ac:dyDescent="0.25">
      <c r="A562" s="25" t="s">
        <v>134</v>
      </c>
      <c r="B562" s="20" t="s">
        <v>1420</v>
      </c>
      <c r="C562" s="40" t="s">
        <v>306</v>
      </c>
      <c r="D562" s="40" t="s">
        <v>125</v>
      </c>
      <c r="E562" s="40" t="s">
        <v>135</v>
      </c>
      <c r="F562" s="2"/>
      <c r="G562" s="10">
        <f>G563</f>
        <v>2100.6</v>
      </c>
      <c r="H562" s="10">
        <f>H563</f>
        <v>374.185</v>
      </c>
      <c r="I562" s="416">
        <f t="shared" si="82"/>
        <v>17.813243835094735</v>
      </c>
    </row>
    <row r="563" spans="1:9" s="202" customFormat="1" ht="19.149999999999999" customHeight="1" x14ac:dyDescent="0.25">
      <c r="A563" s="25" t="s">
        <v>215</v>
      </c>
      <c r="B563" s="20" t="s">
        <v>1420</v>
      </c>
      <c r="C563" s="40" t="s">
        <v>306</v>
      </c>
      <c r="D563" s="40" t="s">
        <v>125</v>
      </c>
      <c r="E563" s="40" t="s">
        <v>216</v>
      </c>
      <c r="F563" s="2"/>
      <c r="G563" s="10">
        <f>'Пр.3 Рд,пр, ЦС,ВР 21'!F766</f>
        <v>2100.6</v>
      </c>
      <c r="H563" s="10">
        <f>'Пр.3 Рд,пр, ЦС,ВР 21'!G766</f>
        <v>374.185</v>
      </c>
      <c r="I563" s="416">
        <f t="shared" si="82"/>
        <v>17.813243835094735</v>
      </c>
    </row>
    <row r="564" spans="1:9" s="202" customFormat="1" ht="44.1" customHeight="1" x14ac:dyDescent="0.25">
      <c r="A564" s="45" t="s">
        <v>268</v>
      </c>
      <c r="B564" s="20" t="s">
        <v>1420</v>
      </c>
      <c r="C564" s="40" t="s">
        <v>306</v>
      </c>
      <c r="D564" s="40" t="s">
        <v>125</v>
      </c>
      <c r="E564" s="40" t="s">
        <v>216</v>
      </c>
      <c r="F564" s="2">
        <v>903</v>
      </c>
      <c r="G564" s="10">
        <f>G563</f>
        <v>2100.6</v>
      </c>
      <c r="H564" s="10">
        <f>H563</f>
        <v>374.185</v>
      </c>
      <c r="I564" s="416">
        <f t="shared" si="82"/>
        <v>17.813243835094735</v>
      </c>
    </row>
    <row r="565" spans="1:9" s="202" customFormat="1" ht="70.5" customHeight="1" x14ac:dyDescent="0.25">
      <c r="A565" s="25" t="s">
        <v>338</v>
      </c>
      <c r="B565" s="20" t="s">
        <v>1306</v>
      </c>
      <c r="C565" s="20" t="s">
        <v>306</v>
      </c>
      <c r="D565" s="20" t="s">
        <v>125</v>
      </c>
      <c r="E565" s="20"/>
      <c r="F565" s="20"/>
      <c r="G565" s="10">
        <f>G566</f>
        <v>341.4</v>
      </c>
      <c r="H565" s="10">
        <f>H566</f>
        <v>31.27</v>
      </c>
      <c r="I565" s="416">
        <f t="shared" si="82"/>
        <v>9.1593438781487997</v>
      </c>
    </row>
    <row r="566" spans="1:9" s="202" customFormat="1" ht="82.5" customHeight="1" x14ac:dyDescent="0.25">
      <c r="A566" s="25" t="s">
        <v>134</v>
      </c>
      <c r="B566" s="20" t="s">
        <v>1306</v>
      </c>
      <c r="C566" s="20" t="s">
        <v>306</v>
      </c>
      <c r="D566" s="20" t="s">
        <v>125</v>
      </c>
      <c r="E566" s="20" t="s">
        <v>135</v>
      </c>
      <c r="F566" s="20"/>
      <c r="G566" s="10">
        <f>G567</f>
        <v>341.4</v>
      </c>
      <c r="H566" s="10">
        <f>H567</f>
        <v>31.27</v>
      </c>
      <c r="I566" s="416">
        <f t="shared" si="82"/>
        <v>9.1593438781487997</v>
      </c>
    </row>
    <row r="567" spans="1:9" s="202" customFormat="1" ht="21.75" customHeight="1" x14ac:dyDescent="0.25">
      <c r="A567" s="25" t="s">
        <v>215</v>
      </c>
      <c r="B567" s="20" t="s">
        <v>1306</v>
      </c>
      <c r="C567" s="20" t="s">
        <v>306</v>
      </c>
      <c r="D567" s="20" t="s">
        <v>125</v>
      </c>
      <c r="E567" s="20" t="s">
        <v>216</v>
      </c>
      <c r="F567" s="20"/>
      <c r="G567" s="10">
        <f>'Пр.4 ведом.21'!G376</f>
        <v>341.4</v>
      </c>
      <c r="H567" s="10">
        <f>'Пр.4 ведом.21'!H376</f>
        <v>31.27</v>
      </c>
      <c r="I567" s="416">
        <f t="shared" si="82"/>
        <v>9.1593438781487997</v>
      </c>
    </row>
    <row r="568" spans="1:9" s="202" customFormat="1" ht="51" customHeight="1" x14ac:dyDescent="0.25">
      <c r="A568" s="45" t="s">
        <v>268</v>
      </c>
      <c r="B568" s="20" t="s">
        <v>1306</v>
      </c>
      <c r="C568" s="20" t="s">
        <v>306</v>
      </c>
      <c r="D568" s="20" t="s">
        <v>125</v>
      </c>
      <c r="E568" s="20" t="s">
        <v>216</v>
      </c>
      <c r="F568" s="20" t="s">
        <v>635</v>
      </c>
      <c r="G568" s="10">
        <f>G567</f>
        <v>341.4</v>
      </c>
      <c r="H568" s="10">
        <f>H567</f>
        <v>31.27</v>
      </c>
      <c r="I568" s="416">
        <f t="shared" si="82"/>
        <v>9.1593438781487997</v>
      </c>
    </row>
    <row r="569" spans="1:9" s="202" customFormat="1" ht="36" customHeight="1" x14ac:dyDescent="0.25">
      <c r="A569" s="23" t="s">
        <v>912</v>
      </c>
      <c r="B569" s="24" t="s">
        <v>1230</v>
      </c>
      <c r="C569" s="40"/>
      <c r="D569" s="40"/>
      <c r="E569" s="40"/>
      <c r="F569" s="2"/>
      <c r="G569" s="59">
        <f t="shared" ref="G569:H573" si="85">G570</f>
        <v>50</v>
      </c>
      <c r="H569" s="59">
        <f t="shared" si="85"/>
        <v>34.909999999999997</v>
      </c>
      <c r="I569" s="441">
        <f t="shared" si="82"/>
        <v>69.819999999999993</v>
      </c>
    </row>
    <row r="570" spans="1:9" s="202" customFormat="1" ht="20.100000000000001" customHeight="1" x14ac:dyDescent="0.25">
      <c r="A570" s="73" t="s">
        <v>305</v>
      </c>
      <c r="B570" s="20" t="s">
        <v>1230</v>
      </c>
      <c r="C570" s="40" t="s">
        <v>306</v>
      </c>
      <c r="D570" s="40"/>
      <c r="E570" s="40"/>
      <c r="F570" s="2"/>
      <c r="G570" s="10">
        <f t="shared" si="85"/>
        <v>50</v>
      </c>
      <c r="H570" s="10">
        <f t="shared" si="85"/>
        <v>34.909999999999997</v>
      </c>
      <c r="I570" s="416">
        <f t="shared" si="82"/>
        <v>69.819999999999993</v>
      </c>
    </row>
    <row r="571" spans="1:9" s="202" customFormat="1" ht="20.100000000000001" customHeight="1" x14ac:dyDescent="0.25">
      <c r="A571" s="73" t="s">
        <v>307</v>
      </c>
      <c r="B571" s="20" t="s">
        <v>1230</v>
      </c>
      <c r="C571" s="40" t="s">
        <v>306</v>
      </c>
      <c r="D571" s="40" t="s">
        <v>125</v>
      </c>
      <c r="E571" s="40"/>
      <c r="F571" s="2"/>
      <c r="G571" s="10">
        <f t="shared" si="85"/>
        <v>50</v>
      </c>
      <c r="H571" s="10">
        <f t="shared" si="85"/>
        <v>34.909999999999997</v>
      </c>
      <c r="I571" s="416">
        <f t="shared" si="82"/>
        <v>69.819999999999993</v>
      </c>
    </row>
    <row r="572" spans="1:9" s="202" customFormat="1" ht="35.450000000000003" customHeight="1" x14ac:dyDescent="0.25">
      <c r="A572" s="25" t="s">
        <v>831</v>
      </c>
      <c r="B572" s="20" t="s">
        <v>1231</v>
      </c>
      <c r="C572" s="40" t="s">
        <v>306</v>
      </c>
      <c r="D572" s="40" t="s">
        <v>125</v>
      </c>
      <c r="E572" s="40"/>
      <c r="F572" s="2"/>
      <c r="G572" s="10">
        <f t="shared" si="85"/>
        <v>50</v>
      </c>
      <c r="H572" s="10">
        <f t="shared" si="85"/>
        <v>34.909999999999997</v>
      </c>
      <c r="I572" s="416">
        <f t="shared" si="82"/>
        <v>69.819999999999993</v>
      </c>
    </row>
    <row r="573" spans="1:9" s="202" customFormat="1" ht="36.75" customHeight="1" x14ac:dyDescent="0.25">
      <c r="A573" s="25" t="s">
        <v>138</v>
      </c>
      <c r="B573" s="20" t="s">
        <v>1231</v>
      </c>
      <c r="C573" s="40" t="s">
        <v>306</v>
      </c>
      <c r="D573" s="40" t="s">
        <v>125</v>
      </c>
      <c r="E573" s="40" t="s">
        <v>139</v>
      </c>
      <c r="F573" s="2"/>
      <c r="G573" s="10">
        <f t="shared" si="85"/>
        <v>50</v>
      </c>
      <c r="H573" s="10">
        <f t="shared" si="85"/>
        <v>34.909999999999997</v>
      </c>
      <c r="I573" s="416">
        <f t="shared" si="82"/>
        <v>69.819999999999993</v>
      </c>
    </row>
    <row r="574" spans="1:9" s="202" customFormat="1" ht="33" customHeight="1" x14ac:dyDescent="0.25">
      <c r="A574" s="25" t="s">
        <v>140</v>
      </c>
      <c r="B574" s="20" t="s">
        <v>1231</v>
      </c>
      <c r="C574" s="40" t="s">
        <v>306</v>
      </c>
      <c r="D574" s="40" t="s">
        <v>125</v>
      </c>
      <c r="E574" s="40" t="s">
        <v>141</v>
      </c>
      <c r="F574" s="2"/>
      <c r="G574" s="10">
        <f>'Пр.4 ведом.21'!G380</f>
        <v>50</v>
      </c>
      <c r="H574" s="10">
        <f>'Пр.4 ведом.21'!H380</f>
        <v>34.909999999999997</v>
      </c>
      <c r="I574" s="416">
        <f t="shared" si="82"/>
        <v>69.819999999999993</v>
      </c>
    </row>
    <row r="575" spans="1:9" s="202" customFormat="1" ht="51" customHeight="1" x14ac:dyDescent="0.25">
      <c r="A575" s="45" t="s">
        <v>268</v>
      </c>
      <c r="B575" s="20" t="s">
        <v>1231</v>
      </c>
      <c r="C575" s="40" t="s">
        <v>306</v>
      </c>
      <c r="D575" s="40" t="s">
        <v>125</v>
      </c>
      <c r="E575" s="40" t="s">
        <v>141</v>
      </c>
      <c r="F575" s="2">
        <v>903</v>
      </c>
      <c r="G575" s="10">
        <f>G574</f>
        <v>50</v>
      </c>
      <c r="H575" s="10">
        <f>H574</f>
        <v>34.909999999999997</v>
      </c>
      <c r="I575" s="416">
        <f t="shared" si="82"/>
        <v>69.819999999999993</v>
      </c>
    </row>
    <row r="576" spans="1:9" s="202" customFormat="1" ht="39.200000000000003" customHeight="1" x14ac:dyDescent="0.25">
      <c r="A576" s="23" t="s">
        <v>1020</v>
      </c>
      <c r="B576" s="24" t="s">
        <v>1232</v>
      </c>
      <c r="C576" s="7"/>
      <c r="D576" s="7"/>
      <c r="E576" s="7"/>
      <c r="F576" s="3"/>
      <c r="G576" s="59">
        <f>G577</f>
        <v>68.7</v>
      </c>
      <c r="H576" s="59">
        <f>H577</f>
        <v>0</v>
      </c>
      <c r="I576" s="441">
        <f t="shared" si="82"/>
        <v>0</v>
      </c>
    </row>
    <row r="577" spans="1:9" s="202" customFormat="1" ht="20.100000000000001" customHeight="1" x14ac:dyDescent="0.25">
      <c r="A577" s="68" t="s">
        <v>305</v>
      </c>
      <c r="B577" s="20" t="s">
        <v>1232</v>
      </c>
      <c r="C577" s="40" t="s">
        <v>306</v>
      </c>
      <c r="D577" s="40"/>
      <c r="E577" s="40"/>
      <c r="F577" s="74"/>
      <c r="G577" s="10">
        <f t="shared" ref="G577:H577" si="86">G578</f>
        <v>68.7</v>
      </c>
      <c r="H577" s="10">
        <f t="shared" si="86"/>
        <v>0</v>
      </c>
      <c r="I577" s="416">
        <f t="shared" si="82"/>
        <v>0</v>
      </c>
    </row>
    <row r="578" spans="1:9" s="202" customFormat="1" ht="20.100000000000001" customHeight="1" x14ac:dyDescent="0.25">
      <c r="A578" s="68" t="s">
        <v>307</v>
      </c>
      <c r="B578" s="20" t="s">
        <v>1232</v>
      </c>
      <c r="C578" s="40" t="s">
        <v>306</v>
      </c>
      <c r="D578" s="40" t="s">
        <v>125</v>
      </c>
      <c r="E578" s="40"/>
      <c r="F578" s="74"/>
      <c r="G578" s="10">
        <f t="shared" ref="G578:H580" si="87">G579</f>
        <v>68.7</v>
      </c>
      <c r="H578" s="10">
        <f t="shared" si="87"/>
        <v>0</v>
      </c>
      <c r="I578" s="416">
        <f t="shared" si="82"/>
        <v>0</v>
      </c>
    </row>
    <row r="579" spans="1:9" s="202" customFormat="1" ht="31.5" x14ac:dyDescent="0.25">
      <c r="A579" s="25" t="s">
        <v>1529</v>
      </c>
      <c r="B579" s="20" t="s">
        <v>1233</v>
      </c>
      <c r="C579" s="40" t="s">
        <v>306</v>
      </c>
      <c r="D579" s="40" t="s">
        <v>125</v>
      </c>
      <c r="E579" s="40"/>
      <c r="F579" s="2"/>
      <c r="G579" s="10">
        <f t="shared" si="87"/>
        <v>68.7</v>
      </c>
      <c r="H579" s="10">
        <f t="shared" si="87"/>
        <v>0</v>
      </c>
      <c r="I579" s="416">
        <f t="shared" si="82"/>
        <v>0</v>
      </c>
    </row>
    <row r="580" spans="1:9" s="202" customFormat="1" ht="39.200000000000003" customHeight="1" x14ac:dyDescent="0.25">
      <c r="A580" s="25" t="s">
        <v>138</v>
      </c>
      <c r="B580" s="20" t="s">
        <v>1233</v>
      </c>
      <c r="C580" s="40" t="s">
        <v>306</v>
      </c>
      <c r="D580" s="40" t="s">
        <v>125</v>
      </c>
      <c r="E580" s="40" t="s">
        <v>139</v>
      </c>
      <c r="F580" s="2"/>
      <c r="G580" s="10">
        <f t="shared" si="87"/>
        <v>68.7</v>
      </c>
      <c r="H580" s="10">
        <f t="shared" si="87"/>
        <v>0</v>
      </c>
      <c r="I580" s="416">
        <f t="shared" si="82"/>
        <v>0</v>
      </c>
    </row>
    <row r="581" spans="1:9" s="202" customFormat="1" ht="36.75" customHeight="1" x14ac:dyDescent="0.25">
      <c r="A581" s="25" t="s">
        <v>140</v>
      </c>
      <c r="B581" s="20" t="s">
        <v>1233</v>
      </c>
      <c r="C581" s="40" t="s">
        <v>306</v>
      </c>
      <c r="D581" s="40" t="s">
        <v>125</v>
      </c>
      <c r="E581" s="40" t="s">
        <v>141</v>
      </c>
      <c r="F581" s="2"/>
      <c r="G581" s="10">
        <f>'Пр.4 ведом.21'!G384</f>
        <v>68.7</v>
      </c>
      <c r="H581" s="10">
        <f>'Пр.4 ведом.21'!H384</f>
        <v>0</v>
      </c>
      <c r="I581" s="416">
        <f t="shared" si="82"/>
        <v>0</v>
      </c>
    </row>
    <row r="582" spans="1:9" s="202" customFormat="1" ht="54.75" customHeight="1" x14ac:dyDescent="0.25">
      <c r="A582" s="45" t="s">
        <v>268</v>
      </c>
      <c r="B582" s="20" t="s">
        <v>1233</v>
      </c>
      <c r="C582" s="40" t="s">
        <v>306</v>
      </c>
      <c r="D582" s="40" t="s">
        <v>125</v>
      </c>
      <c r="E582" s="40" t="s">
        <v>141</v>
      </c>
      <c r="F582" s="2">
        <v>903</v>
      </c>
      <c r="G582" s="10">
        <f>G581</f>
        <v>68.7</v>
      </c>
      <c r="H582" s="10">
        <f>H581</f>
        <v>0</v>
      </c>
      <c r="I582" s="416">
        <f t="shared" si="82"/>
        <v>0</v>
      </c>
    </row>
    <row r="583" spans="1:9" s="202" customFormat="1" ht="33.75" hidden="1" customHeight="1" x14ac:dyDescent="0.25">
      <c r="A583" s="255" t="s">
        <v>1193</v>
      </c>
      <c r="B583" s="24" t="s">
        <v>1228</v>
      </c>
      <c r="C583" s="24"/>
      <c r="D583" s="24"/>
      <c r="E583" s="40"/>
      <c r="F583" s="2"/>
      <c r="G583" s="59">
        <f>G586</f>
        <v>0</v>
      </c>
      <c r="H583" s="59">
        <f>H586</f>
        <v>0</v>
      </c>
      <c r="I583" s="416" t="e">
        <f t="shared" si="82"/>
        <v>#DIV/0!</v>
      </c>
    </row>
    <row r="584" spans="1:9" s="202" customFormat="1" ht="19.5" hidden="1" customHeight="1" x14ac:dyDescent="0.25">
      <c r="A584" s="68" t="s">
        <v>305</v>
      </c>
      <c r="B584" s="20" t="s">
        <v>1228</v>
      </c>
      <c r="C584" s="20" t="s">
        <v>306</v>
      </c>
      <c r="D584" s="20"/>
      <c r="E584" s="40"/>
      <c r="F584" s="2"/>
      <c r="G584" s="10">
        <f t="shared" ref="G584:H587" si="88">G585</f>
        <v>0</v>
      </c>
      <c r="H584" s="10">
        <f t="shared" si="88"/>
        <v>0</v>
      </c>
      <c r="I584" s="416" t="e">
        <f t="shared" si="82"/>
        <v>#DIV/0!</v>
      </c>
    </row>
    <row r="585" spans="1:9" s="202" customFormat="1" ht="18" hidden="1" customHeight="1" x14ac:dyDescent="0.25">
      <c r="A585" s="68" t="s">
        <v>307</v>
      </c>
      <c r="B585" s="20" t="s">
        <v>1228</v>
      </c>
      <c r="C585" s="20" t="s">
        <v>306</v>
      </c>
      <c r="D585" s="20" t="s">
        <v>125</v>
      </c>
      <c r="E585" s="40"/>
      <c r="F585" s="2"/>
      <c r="G585" s="10">
        <f t="shared" si="88"/>
        <v>0</v>
      </c>
      <c r="H585" s="10">
        <f t="shared" si="88"/>
        <v>0</v>
      </c>
      <c r="I585" s="416" t="e">
        <f t="shared" si="82"/>
        <v>#DIV/0!</v>
      </c>
    </row>
    <row r="586" spans="1:9" s="202" customFormat="1" ht="18" hidden="1" customHeight="1" x14ac:dyDescent="0.25">
      <c r="A586" s="98" t="s">
        <v>1200</v>
      </c>
      <c r="B586" s="20" t="s">
        <v>1229</v>
      </c>
      <c r="C586" s="20" t="s">
        <v>306</v>
      </c>
      <c r="D586" s="20" t="s">
        <v>125</v>
      </c>
      <c r="E586" s="40"/>
      <c r="F586" s="2"/>
      <c r="G586" s="10">
        <f t="shared" si="88"/>
        <v>0</v>
      </c>
      <c r="H586" s="10">
        <f t="shared" si="88"/>
        <v>0</v>
      </c>
      <c r="I586" s="416" t="e">
        <f t="shared" si="82"/>
        <v>#DIV/0!</v>
      </c>
    </row>
    <row r="587" spans="1:9" s="202" customFormat="1" ht="35.450000000000003" hidden="1" customHeight="1" x14ac:dyDescent="0.25">
      <c r="A587" s="25" t="s">
        <v>138</v>
      </c>
      <c r="B587" s="20" t="s">
        <v>1229</v>
      </c>
      <c r="C587" s="20" t="s">
        <v>306</v>
      </c>
      <c r="D587" s="20" t="s">
        <v>125</v>
      </c>
      <c r="E587" s="40" t="s">
        <v>139</v>
      </c>
      <c r="F587" s="2"/>
      <c r="G587" s="10">
        <f t="shared" si="88"/>
        <v>0</v>
      </c>
      <c r="H587" s="10">
        <f t="shared" si="88"/>
        <v>0</v>
      </c>
      <c r="I587" s="416" t="e">
        <f t="shared" si="82"/>
        <v>#DIV/0!</v>
      </c>
    </row>
    <row r="588" spans="1:9" s="202" customFormat="1" ht="36" hidden="1" customHeight="1" x14ac:dyDescent="0.25">
      <c r="A588" s="25" t="s">
        <v>140</v>
      </c>
      <c r="B588" s="20" t="s">
        <v>1229</v>
      </c>
      <c r="C588" s="20" t="s">
        <v>306</v>
      </c>
      <c r="D588" s="20" t="s">
        <v>125</v>
      </c>
      <c r="E588" s="40" t="s">
        <v>141</v>
      </c>
      <c r="F588" s="2"/>
      <c r="G588" s="10">
        <f>'Пр.4 ведом.21'!G388</f>
        <v>0</v>
      </c>
      <c r="H588" s="10">
        <f>'Пр.4 ведом.21'!H388</f>
        <v>0</v>
      </c>
      <c r="I588" s="416" t="e">
        <f t="shared" si="82"/>
        <v>#DIV/0!</v>
      </c>
    </row>
    <row r="589" spans="1:9" s="202" customFormat="1" ht="50.25" hidden="1" customHeight="1" x14ac:dyDescent="0.25">
      <c r="A589" s="45" t="s">
        <v>268</v>
      </c>
      <c r="B589" s="20" t="s">
        <v>1229</v>
      </c>
      <c r="C589" s="20" t="s">
        <v>306</v>
      </c>
      <c r="D589" s="20" t="s">
        <v>125</v>
      </c>
      <c r="E589" s="40" t="s">
        <v>141</v>
      </c>
      <c r="F589" s="2">
        <v>903</v>
      </c>
      <c r="G589" s="10">
        <f>G583</f>
        <v>0</v>
      </c>
      <c r="H589" s="10">
        <f>H583</f>
        <v>0</v>
      </c>
      <c r="I589" s="416" t="e">
        <f t="shared" si="82"/>
        <v>#DIV/0!</v>
      </c>
    </row>
    <row r="590" spans="1:9" s="202" customFormat="1" ht="50.25" hidden="1" customHeight="1" x14ac:dyDescent="0.25">
      <c r="A590" s="272" t="s">
        <v>1234</v>
      </c>
      <c r="B590" s="273"/>
      <c r="C590" s="20"/>
      <c r="D590" s="20"/>
      <c r="E590" s="40"/>
      <c r="F590" s="2"/>
      <c r="G590" s="59">
        <f t="shared" ref="G590:H594" si="89">G591</f>
        <v>0</v>
      </c>
      <c r="H590" s="59">
        <f t="shared" si="89"/>
        <v>0</v>
      </c>
      <c r="I590" s="416" t="e">
        <f t="shared" si="82"/>
        <v>#DIV/0!</v>
      </c>
    </row>
    <row r="591" spans="1:9" s="202" customFormat="1" ht="18.75" hidden="1" customHeight="1" x14ac:dyDescent="0.25">
      <c r="A591" s="68" t="s">
        <v>305</v>
      </c>
      <c r="B591" s="273"/>
      <c r="C591" s="20" t="s">
        <v>306</v>
      </c>
      <c r="D591" s="20"/>
      <c r="E591" s="40"/>
      <c r="F591" s="2"/>
      <c r="G591" s="10">
        <f t="shared" si="89"/>
        <v>0</v>
      </c>
      <c r="H591" s="10">
        <f t="shared" si="89"/>
        <v>0</v>
      </c>
      <c r="I591" s="416" t="e">
        <f t="shared" si="82"/>
        <v>#DIV/0!</v>
      </c>
    </row>
    <row r="592" spans="1:9" s="202" customFormat="1" ht="14.25" hidden="1" customHeight="1" x14ac:dyDescent="0.25">
      <c r="A592" s="68" t="s">
        <v>307</v>
      </c>
      <c r="B592" s="273"/>
      <c r="C592" s="20" t="s">
        <v>306</v>
      </c>
      <c r="D592" s="20" t="s">
        <v>125</v>
      </c>
      <c r="E592" s="40"/>
      <c r="F592" s="2"/>
      <c r="G592" s="10">
        <f t="shared" si="89"/>
        <v>0</v>
      </c>
      <c r="H592" s="10">
        <f t="shared" si="89"/>
        <v>0</v>
      </c>
      <c r="I592" s="416" t="e">
        <f t="shared" si="82"/>
        <v>#DIV/0!</v>
      </c>
    </row>
    <row r="593" spans="1:9" s="202" customFormat="1" ht="19.5" hidden="1" customHeight="1" x14ac:dyDescent="0.25">
      <c r="A593" s="282"/>
      <c r="B593" s="273"/>
      <c r="C593" s="20" t="s">
        <v>306</v>
      </c>
      <c r="D593" s="20" t="s">
        <v>125</v>
      </c>
      <c r="E593" s="40"/>
      <c r="F593" s="2"/>
      <c r="G593" s="10">
        <f t="shared" si="89"/>
        <v>0</v>
      </c>
      <c r="H593" s="10">
        <f t="shared" si="89"/>
        <v>0</v>
      </c>
      <c r="I593" s="416" t="e">
        <f t="shared" si="82"/>
        <v>#DIV/0!</v>
      </c>
    </row>
    <row r="594" spans="1:9" s="202" customFormat="1" ht="36.75" hidden="1" customHeight="1" x14ac:dyDescent="0.25">
      <c r="A594" s="25" t="s">
        <v>138</v>
      </c>
      <c r="B594" s="273"/>
      <c r="C594" s="20" t="s">
        <v>306</v>
      </c>
      <c r="D594" s="20" t="s">
        <v>125</v>
      </c>
      <c r="E594" s="40" t="s">
        <v>139</v>
      </c>
      <c r="F594" s="2"/>
      <c r="G594" s="10">
        <f t="shared" si="89"/>
        <v>0</v>
      </c>
      <c r="H594" s="10">
        <f t="shared" si="89"/>
        <v>0</v>
      </c>
      <c r="I594" s="416" t="e">
        <f t="shared" ref="I594:I657" si="90">H594/G594*100</f>
        <v>#DIV/0!</v>
      </c>
    </row>
    <row r="595" spans="1:9" s="202" customFormat="1" ht="33.75" hidden="1" customHeight="1" x14ac:dyDescent="0.25">
      <c r="A595" s="25" t="s">
        <v>140</v>
      </c>
      <c r="B595" s="273"/>
      <c r="C595" s="20" t="s">
        <v>306</v>
      </c>
      <c r="D595" s="20" t="s">
        <v>125</v>
      </c>
      <c r="E595" s="40" t="s">
        <v>141</v>
      </c>
      <c r="F595" s="2"/>
      <c r="G595" s="10">
        <f>'Пр.4 ведом.21'!G392</f>
        <v>0</v>
      </c>
      <c r="H595" s="10">
        <f>'Пр.4 ведом.21'!H392</f>
        <v>0</v>
      </c>
      <c r="I595" s="416" t="e">
        <f t="shared" si="90"/>
        <v>#DIV/0!</v>
      </c>
    </row>
    <row r="596" spans="1:9" s="202" customFormat="1" ht="43.5" hidden="1" customHeight="1" x14ac:dyDescent="0.25">
      <c r="A596" s="45" t="s">
        <v>268</v>
      </c>
      <c r="B596" s="273"/>
      <c r="C596" s="20" t="s">
        <v>306</v>
      </c>
      <c r="D596" s="20" t="s">
        <v>125</v>
      </c>
      <c r="E596" s="40" t="s">
        <v>141</v>
      </c>
      <c r="F596" s="2">
        <v>903</v>
      </c>
      <c r="G596" s="10">
        <f>G595</f>
        <v>0</v>
      </c>
      <c r="H596" s="10">
        <f>H595</f>
        <v>0</v>
      </c>
      <c r="I596" s="416" t="e">
        <f t="shared" si="90"/>
        <v>#DIV/0!</v>
      </c>
    </row>
    <row r="597" spans="1:9" s="1" customFormat="1" ht="51" customHeight="1" x14ac:dyDescent="0.25">
      <c r="A597" s="41" t="s">
        <v>1374</v>
      </c>
      <c r="B597" s="7" t="s">
        <v>331</v>
      </c>
      <c r="C597" s="72"/>
      <c r="D597" s="72"/>
      <c r="E597" s="72"/>
      <c r="F597" s="72"/>
      <c r="G597" s="59">
        <f>G598</f>
        <v>107</v>
      </c>
      <c r="H597" s="59">
        <f>H598</f>
        <v>0</v>
      </c>
      <c r="I597" s="441">
        <f t="shared" si="90"/>
        <v>0</v>
      </c>
    </row>
    <row r="598" spans="1:9" s="203" customFormat="1" ht="64.5" customHeight="1" x14ac:dyDescent="0.25">
      <c r="A598" s="34" t="s">
        <v>1035</v>
      </c>
      <c r="B598" s="7" t="s">
        <v>944</v>
      </c>
      <c r="C598" s="7"/>
      <c r="D598" s="7"/>
      <c r="E598" s="72"/>
      <c r="F598" s="72"/>
      <c r="G598" s="59">
        <f>G599+G605+G616+G622</f>
        <v>107</v>
      </c>
      <c r="H598" s="59">
        <f>H599+H605+H616+H622</f>
        <v>0</v>
      </c>
      <c r="I598" s="441">
        <f t="shared" si="90"/>
        <v>0</v>
      </c>
    </row>
    <row r="599" spans="1:9" s="203" customFormat="1" ht="18.75" hidden="1" customHeight="1" x14ac:dyDescent="0.25">
      <c r="A599" s="31" t="s">
        <v>397</v>
      </c>
      <c r="B599" s="40" t="s">
        <v>944</v>
      </c>
      <c r="C599" s="40" t="s">
        <v>241</v>
      </c>
      <c r="D599" s="40"/>
      <c r="E599" s="72"/>
      <c r="F599" s="72"/>
      <c r="G599" s="10">
        <f t="shared" ref="G599:H603" si="91">G600</f>
        <v>0</v>
      </c>
      <c r="H599" s="10">
        <f t="shared" si="91"/>
        <v>0</v>
      </c>
      <c r="I599" s="416" t="e">
        <f t="shared" si="90"/>
        <v>#DIV/0!</v>
      </c>
    </row>
    <row r="600" spans="1:9" s="203" customFormat="1" ht="37.5" hidden="1" customHeight="1" x14ac:dyDescent="0.25">
      <c r="A600" s="31" t="s">
        <v>576</v>
      </c>
      <c r="B600" s="40" t="s">
        <v>944</v>
      </c>
      <c r="C600" s="40" t="s">
        <v>241</v>
      </c>
      <c r="D600" s="40" t="s">
        <v>241</v>
      </c>
      <c r="E600" s="72"/>
      <c r="F600" s="72"/>
      <c r="G600" s="10">
        <f t="shared" si="91"/>
        <v>0</v>
      </c>
      <c r="H600" s="10">
        <f t="shared" si="91"/>
        <v>0</v>
      </c>
      <c r="I600" s="416" t="e">
        <f t="shared" si="90"/>
        <v>#DIV/0!</v>
      </c>
    </row>
    <row r="601" spans="1:9" s="203" customFormat="1" ht="51.75" hidden="1" customHeight="1" x14ac:dyDescent="0.25">
      <c r="A601" s="31" t="s">
        <v>1091</v>
      </c>
      <c r="B601" s="20" t="s">
        <v>1036</v>
      </c>
      <c r="C601" s="40" t="s">
        <v>241</v>
      </c>
      <c r="D601" s="40" t="s">
        <v>241</v>
      </c>
      <c r="E601" s="72"/>
      <c r="F601" s="72"/>
      <c r="G601" s="10">
        <f t="shared" si="91"/>
        <v>0</v>
      </c>
      <c r="H601" s="10">
        <f t="shared" si="91"/>
        <v>0</v>
      </c>
      <c r="I601" s="416" t="e">
        <f t="shared" si="90"/>
        <v>#DIV/0!</v>
      </c>
    </row>
    <row r="602" spans="1:9" s="203" customFormat="1" ht="35.450000000000003" hidden="1" customHeight="1" x14ac:dyDescent="0.25">
      <c r="A602" s="25" t="s">
        <v>138</v>
      </c>
      <c r="B602" s="20" t="s">
        <v>1036</v>
      </c>
      <c r="C602" s="40" t="s">
        <v>241</v>
      </c>
      <c r="D602" s="40" t="s">
        <v>241</v>
      </c>
      <c r="E602" s="2">
        <v>200</v>
      </c>
      <c r="F602" s="72"/>
      <c r="G602" s="10">
        <f t="shared" si="91"/>
        <v>0</v>
      </c>
      <c r="H602" s="10">
        <f t="shared" si="91"/>
        <v>0</v>
      </c>
      <c r="I602" s="416" t="e">
        <f t="shared" si="90"/>
        <v>#DIV/0!</v>
      </c>
    </row>
    <row r="603" spans="1:9" s="203" customFormat="1" ht="34.5" hidden="1" customHeight="1" x14ac:dyDescent="0.25">
      <c r="A603" s="25" t="s">
        <v>140</v>
      </c>
      <c r="B603" s="20" t="s">
        <v>1036</v>
      </c>
      <c r="C603" s="40" t="s">
        <v>241</v>
      </c>
      <c r="D603" s="40" t="s">
        <v>241</v>
      </c>
      <c r="E603" s="2">
        <v>240</v>
      </c>
      <c r="F603" s="72"/>
      <c r="G603" s="10">
        <f t="shared" si="91"/>
        <v>0</v>
      </c>
      <c r="H603" s="10">
        <f t="shared" si="91"/>
        <v>0</v>
      </c>
      <c r="I603" s="416" t="e">
        <f t="shared" si="90"/>
        <v>#DIV/0!</v>
      </c>
    </row>
    <row r="604" spans="1:9" s="203" customFormat="1" ht="37.35" hidden="1" customHeight="1" x14ac:dyDescent="0.25">
      <c r="A604" s="45" t="s">
        <v>631</v>
      </c>
      <c r="B604" s="20" t="s">
        <v>1036</v>
      </c>
      <c r="C604" s="40" t="s">
        <v>241</v>
      </c>
      <c r="D604" s="40" t="s">
        <v>241</v>
      </c>
      <c r="E604" s="2">
        <v>240</v>
      </c>
      <c r="F604" s="2">
        <v>908</v>
      </c>
      <c r="G604" s="10">
        <f>'Пр.4 ведом.21'!G1028</f>
        <v>0</v>
      </c>
      <c r="H604" s="10">
        <f>'Пр.4 ведом.21'!H1028</f>
        <v>0</v>
      </c>
      <c r="I604" s="416" t="e">
        <f t="shared" si="90"/>
        <v>#DIV/0!</v>
      </c>
    </row>
    <row r="605" spans="1:9" s="1" customFormat="1" ht="15.75" x14ac:dyDescent="0.25">
      <c r="A605" s="25" t="s">
        <v>270</v>
      </c>
      <c r="B605" s="40" t="s">
        <v>944</v>
      </c>
      <c r="C605" s="40" t="s">
        <v>271</v>
      </c>
      <c r="D605" s="73"/>
      <c r="E605" s="73"/>
      <c r="F605" s="73"/>
      <c r="G605" s="10">
        <f>G606+G611</f>
        <v>103</v>
      </c>
      <c r="H605" s="10">
        <f>H606+H611</f>
        <v>0</v>
      </c>
      <c r="I605" s="416">
        <f t="shared" si="90"/>
        <v>0</v>
      </c>
    </row>
    <row r="606" spans="1:9" s="1" customFormat="1" ht="15.75" x14ac:dyDescent="0.25">
      <c r="A606" s="25" t="s">
        <v>411</v>
      </c>
      <c r="B606" s="40" t="s">
        <v>944</v>
      </c>
      <c r="C606" s="40" t="s">
        <v>271</v>
      </c>
      <c r="D606" s="40" t="s">
        <v>125</v>
      </c>
      <c r="E606" s="73"/>
      <c r="F606" s="73"/>
      <c r="G606" s="10">
        <f t="shared" ref="G606:H608" si="92">G607</f>
        <v>95</v>
      </c>
      <c r="H606" s="10">
        <f t="shared" si="92"/>
        <v>0</v>
      </c>
      <c r="I606" s="416">
        <f t="shared" si="90"/>
        <v>0</v>
      </c>
    </row>
    <row r="607" spans="1:9" s="1" customFormat="1" ht="47.25" x14ac:dyDescent="0.25">
      <c r="A607" s="31" t="s">
        <v>1092</v>
      </c>
      <c r="B607" s="20" t="s">
        <v>945</v>
      </c>
      <c r="C607" s="40" t="s">
        <v>271</v>
      </c>
      <c r="D607" s="40" t="s">
        <v>125</v>
      </c>
      <c r="E607" s="72"/>
      <c r="F607" s="72"/>
      <c r="G607" s="10">
        <f t="shared" si="92"/>
        <v>95</v>
      </c>
      <c r="H607" s="10">
        <f t="shared" si="92"/>
        <v>0</v>
      </c>
      <c r="I607" s="416">
        <f t="shared" si="90"/>
        <v>0</v>
      </c>
    </row>
    <row r="608" spans="1:9" s="1" customFormat="1" ht="31.5" x14ac:dyDescent="0.25">
      <c r="A608" s="31" t="s">
        <v>279</v>
      </c>
      <c r="B608" s="20" t="s">
        <v>945</v>
      </c>
      <c r="C608" s="40" t="s">
        <v>271</v>
      </c>
      <c r="D608" s="40" t="s">
        <v>125</v>
      </c>
      <c r="E608" s="40" t="s">
        <v>280</v>
      </c>
      <c r="F608" s="72"/>
      <c r="G608" s="10">
        <f t="shared" si="92"/>
        <v>95</v>
      </c>
      <c r="H608" s="10">
        <f t="shared" si="92"/>
        <v>0</v>
      </c>
      <c r="I608" s="416">
        <f t="shared" si="90"/>
        <v>0</v>
      </c>
    </row>
    <row r="609" spans="1:9" s="1" customFormat="1" ht="15.75" x14ac:dyDescent="0.25">
      <c r="A609" s="31" t="s">
        <v>281</v>
      </c>
      <c r="B609" s="20" t="s">
        <v>945</v>
      </c>
      <c r="C609" s="40" t="s">
        <v>271</v>
      </c>
      <c r="D609" s="40" t="s">
        <v>125</v>
      </c>
      <c r="E609" s="40" t="s">
        <v>282</v>
      </c>
      <c r="F609" s="72"/>
      <c r="G609" s="10">
        <f>'Пр.4 ведом.21'!G592</f>
        <v>95</v>
      </c>
      <c r="H609" s="10">
        <f>'Пр.4 ведом.21'!H592</f>
        <v>0</v>
      </c>
      <c r="I609" s="416">
        <f t="shared" si="90"/>
        <v>0</v>
      </c>
    </row>
    <row r="610" spans="1:9" s="203" customFormat="1" ht="31.5" x14ac:dyDescent="0.25">
      <c r="A610" s="31" t="s">
        <v>410</v>
      </c>
      <c r="B610" s="20" t="s">
        <v>945</v>
      </c>
      <c r="C610" s="40" t="s">
        <v>271</v>
      </c>
      <c r="D610" s="40" t="s">
        <v>125</v>
      </c>
      <c r="E610" s="40" t="s">
        <v>282</v>
      </c>
      <c r="F610" s="2">
        <v>906</v>
      </c>
      <c r="G610" s="10">
        <f>G609</f>
        <v>95</v>
      </c>
      <c r="H610" s="10">
        <f>H609</f>
        <v>0</v>
      </c>
      <c r="I610" s="416">
        <f t="shared" si="90"/>
        <v>0</v>
      </c>
    </row>
    <row r="611" spans="1:9" s="1" customFormat="1" ht="15.75" x14ac:dyDescent="0.25">
      <c r="A611" s="29" t="s">
        <v>272</v>
      </c>
      <c r="B611" s="40" t="s">
        <v>944</v>
      </c>
      <c r="C611" s="40" t="s">
        <v>271</v>
      </c>
      <c r="D611" s="40" t="s">
        <v>222</v>
      </c>
      <c r="E611" s="40"/>
      <c r="F611" s="73"/>
      <c r="G611" s="10">
        <f t="shared" ref="G611:H613" si="93">G612</f>
        <v>8</v>
      </c>
      <c r="H611" s="10">
        <f t="shared" si="93"/>
        <v>0</v>
      </c>
      <c r="I611" s="416">
        <f t="shared" si="90"/>
        <v>0</v>
      </c>
    </row>
    <row r="612" spans="1:9" s="1" customFormat="1" ht="47.25" x14ac:dyDescent="0.25">
      <c r="A612" s="31" t="s">
        <v>1091</v>
      </c>
      <c r="B612" s="20" t="s">
        <v>1036</v>
      </c>
      <c r="C612" s="40" t="s">
        <v>271</v>
      </c>
      <c r="D612" s="40" t="s">
        <v>222</v>
      </c>
      <c r="E612" s="40"/>
      <c r="F612" s="72"/>
      <c r="G612" s="10">
        <f t="shared" si="93"/>
        <v>8</v>
      </c>
      <c r="H612" s="10">
        <f t="shared" si="93"/>
        <v>0</v>
      </c>
      <c r="I612" s="416">
        <f t="shared" si="90"/>
        <v>0</v>
      </c>
    </row>
    <row r="613" spans="1:9" s="1" customFormat="1" ht="31.5" x14ac:dyDescent="0.25">
      <c r="A613" s="31" t="s">
        <v>279</v>
      </c>
      <c r="B613" s="20" t="s">
        <v>1036</v>
      </c>
      <c r="C613" s="40" t="s">
        <v>271</v>
      </c>
      <c r="D613" s="40" t="s">
        <v>222</v>
      </c>
      <c r="E613" s="40" t="s">
        <v>139</v>
      </c>
      <c r="F613" s="72"/>
      <c r="G613" s="10">
        <f t="shared" si="93"/>
        <v>8</v>
      </c>
      <c r="H613" s="10">
        <f t="shared" si="93"/>
        <v>0</v>
      </c>
      <c r="I613" s="416">
        <f t="shared" si="90"/>
        <v>0</v>
      </c>
    </row>
    <row r="614" spans="1:9" s="1" customFormat="1" ht="15.75" x14ac:dyDescent="0.25">
      <c r="A614" s="31" t="s">
        <v>281</v>
      </c>
      <c r="B614" s="20" t="s">
        <v>1036</v>
      </c>
      <c r="C614" s="40" t="s">
        <v>271</v>
      </c>
      <c r="D614" s="40" t="s">
        <v>222</v>
      </c>
      <c r="E614" s="40" t="s">
        <v>141</v>
      </c>
      <c r="F614" s="72"/>
      <c r="G614" s="10">
        <f>'Пр.4 ведом.21'!G320</f>
        <v>8</v>
      </c>
      <c r="H614" s="10">
        <f>'Пр.4 ведом.21'!H320</f>
        <v>0</v>
      </c>
      <c r="I614" s="416">
        <f t="shared" si="90"/>
        <v>0</v>
      </c>
    </row>
    <row r="615" spans="1:9" s="1" customFormat="1" ht="47.25" x14ac:dyDescent="0.25">
      <c r="A615" s="45" t="s">
        <v>268</v>
      </c>
      <c r="B615" s="20" t="s">
        <v>1036</v>
      </c>
      <c r="C615" s="40" t="s">
        <v>271</v>
      </c>
      <c r="D615" s="40" t="s">
        <v>222</v>
      </c>
      <c r="E615" s="40" t="s">
        <v>141</v>
      </c>
      <c r="F615" s="2">
        <v>903</v>
      </c>
      <c r="G615" s="10">
        <f>G614</f>
        <v>8</v>
      </c>
      <c r="H615" s="10">
        <f>H614</f>
        <v>0</v>
      </c>
      <c r="I615" s="416">
        <f t="shared" si="90"/>
        <v>0</v>
      </c>
    </row>
    <row r="616" spans="1:9" s="203" customFormat="1" ht="15.75" x14ac:dyDescent="0.25">
      <c r="A616" s="31" t="s">
        <v>305</v>
      </c>
      <c r="B616" s="20" t="s">
        <v>944</v>
      </c>
      <c r="C616" s="40" t="s">
        <v>306</v>
      </c>
      <c r="D616" s="40"/>
      <c r="E616" s="40"/>
      <c r="F616" s="2"/>
      <c r="G616" s="10">
        <f t="shared" ref="G616:H619" si="94">G617</f>
        <v>4</v>
      </c>
      <c r="H616" s="10">
        <f t="shared" si="94"/>
        <v>0</v>
      </c>
      <c r="I616" s="416">
        <f t="shared" si="90"/>
        <v>0</v>
      </c>
    </row>
    <row r="617" spans="1:9" s="203" customFormat="1" ht="15.75" x14ac:dyDescent="0.25">
      <c r="A617" s="31" t="s">
        <v>307</v>
      </c>
      <c r="B617" s="20" t="s">
        <v>944</v>
      </c>
      <c r="C617" s="40" t="s">
        <v>306</v>
      </c>
      <c r="D617" s="40" t="s">
        <v>157</v>
      </c>
      <c r="E617" s="40"/>
      <c r="F617" s="2"/>
      <c r="G617" s="10">
        <f t="shared" si="94"/>
        <v>4</v>
      </c>
      <c r="H617" s="10">
        <f t="shared" si="94"/>
        <v>0</v>
      </c>
      <c r="I617" s="416">
        <f t="shared" si="90"/>
        <v>0</v>
      </c>
    </row>
    <row r="618" spans="1:9" s="203" customFormat="1" ht="47.25" x14ac:dyDescent="0.25">
      <c r="A618" s="31" t="s">
        <v>1091</v>
      </c>
      <c r="B618" s="20" t="s">
        <v>1036</v>
      </c>
      <c r="C618" s="40" t="s">
        <v>306</v>
      </c>
      <c r="D618" s="40" t="s">
        <v>157</v>
      </c>
      <c r="E618" s="40"/>
      <c r="F618" s="2"/>
      <c r="G618" s="10">
        <f t="shared" si="94"/>
        <v>4</v>
      </c>
      <c r="H618" s="10">
        <f t="shared" si="94"/>
        <v>0</v>
      </c>
      <c r="I618" s="416">
        <f t="shared" si="90"/>
        <v>0</v>
      </c>
    </row>
    <row r="619" spans="1:9" s="203" customFormat="1" ht="31.5" x14ac:dyDescent="0.25">
      <c r="A619" s="25" t="s">
        <v>138</v>
      </c>
      <c r="B619" s="20" t="s">
        <v>1036</v>
      </c>
      <c r="C619" s="40" t="s">
        <v>306</v>
      </c>
      <c r="D619" s="40" t="s">
        <v>157</v>
      </c>
      <c r="E619" s="40" t="s">
        <v>139</v>
      </c>
      <c r="F619" s="2"/>
      <c r="G619" s="10">
        <f t="shared" si="94"/>
        <v>4</v>
      </c>
      <c r="H619" s="10">
        <f t="shared" si="94"/>
        <v>0</v>
      </c>
      <c r="I619" s="416">
        <f t="shared" si="90"/>
        <v>0</v>
      </c>
    </row>
    <row r="620" spans="1:9" s="203" customFormat="1" ht="31.5" x14ac:dyDescent="0.25">
      <c r="A620" s="25" t="s">
        <v>140</v>
      </c>
      <c r="B620" s="20" t="s">
        <v>1036</v>
      </c>
      <c r="C620" s="40" t="s">
        <v>306</v>
      </c>
      <c r="D620" s="40" t="s">
        <v>157</v>
      </c>
      <c r="E620" s="40" t="s">
        <v>141</v>
      </c>
      <c r="F620" s="2"/>
      <c r="G620" s="10">
        <f>'Пр.4 ведом.21'!G436</f>
        <v>4</v>
      </c>
      <c r="H620" s="10">
        <f>'Пр.4 ведом.21'!H436</f>
        <v>0</v>
      </c>
      <c r="I620" s="416">
        <f t="shared" si="90"/>
        <v>0</v>
      </c>
    </row>
    <row r="621" spans="1:9" s="203" customFormat="1" ht="47.25" x14ac:dyDescent="0.25">
      <c r="A621" s="45" t="s">
        <v>268</v>
      </c>
      <c r="B621" s="20" t="s">
        <v>1036</v>
      </c>
      <c r="C621" s="40" t="s">
        <v>306</v>
      </c>
      <c r="D621" s="40" t="s">
        <v>157</v>
      </c>
      <c r="E621" s="40" t="s">
        <v>141</v>
      </c>
      <c r="F621" s="2">
        <v>903</v>
      </c>
      <c r="G621" s="381">
        <f>G618</f>
        <v>4</v>
      </c>
      <c r="H621" s="381">
        <f>H618</f>
        <v>0</v>
      </c>
      <c r="I621" s="416">
        <f t="shared" si="90"/>
        <v>0</v>
      </c>
    </row>
    <row r="622" spans="1:9" s="1" customFormat="1" ht="15.75" hidden="1" customHeight="1" x14ac:dyDescent="0.25">
      <c r="A622" s="73" t="s">
        <v>497</v>
      </c>
      <c r="B622" s="40" t="s">
        <v>944</v>
      </c>
      <c r="C622" s="40" t="s">
        <v>498</v>
      </c>
      <c r="D622" s="73"/>
      <c r="E622" s="73"/>
      <c r="F622" s="73"/>
      <c r="G622" s="10">
        <f t="shared" ref="G622:H622" si="95">G623</f>
        <v>0</v>
      </c>
      <c r="H622" s="10">
        <f t="shared" si="95"/>
        <v>0</v>
      </c>
      <c r="I622" s="416" t="e">
        <f t="shared" si="90"/>
        <v>#DIV/0!</v>
      </c>
    </row>
    <row r="623" spans="1:9" s="1" customFormat="1" ht="15.75" hidden="1" customHeight="1" x14ac:dyDescent="0.25">
      <c r="A623" s="73" t="s">
        <v>499</v>
      </c>
      <c r="B623" s="40" t="s">
        <v>944</v>
      </c>
      <c r="C623" s="40" t="s">
        <v>498</v>
      </c>
      <c r="D623" s="40" t="s">
        <v>125</v>
      </c>
      <c r="E623" s="73"/>
      <c r="F623" s="73"/>
      <c r="G623" s="10">
        <f t="shared" ref="G623:H623" si="96">G624</f>
        <v>0</v>
      </c>
      <c r="H623" s="10">
        <f t="shared" si="96"/>
        <v>0</v>
      </c>
      <c r="I623" s="416" t="e">
        <f t="shared" si="90"/>
        <v>#DIV/0!</v>
      </c>
    </row>
    <row r="624" spans="1:9" s="1" customFormat="1" ht="47.25" hidden="1" customHeight="1" x14ac:dyDescent="0.25">
      <c r="A624" s="31" t="s">
        <v>1092</v>
      </c>
      <c r="B624" s="40" t="s">
        <v>945</v>
      </c>
      <c r="C624" s="40" t="s">
        <v>498</v>
      </c>
      <c r="D624" s="40" t="s">
        <v>125</v>
      </c>
      <c r="E624" s="73"/>
      <c r="F624" s="73"/>
      <c r="G624" s="10">
        <f>G625</f>
        <v>0</v>
      </c>
      <c r="H624" s="10">
        <f>H625</f>
        <v>0</v>
      </c>
      <c r="I624" s="416" t="e">
        <f t="shared" si="90"/>
        <v>#DIV/0!</v>
      </c>
    </row>
    <row r="625" spans="1:9" s="1" customFormat="1" ht="31.7" hidden="1" customHeight="1" x14ac:dyDescent="0.25">
      <c r="A625" s="25" t="s">
        <v>279</v>
      </c>
      <c r="B625" s="40" t="s">
        <v>945</v>
      </c>
      <c r="C625" s="40" t="s">
        <v>498</v>
      </c>
      <c r="D625" s="40" t="s">
        <v>125</v>
      </c>
      <c r="E625" s="40" t="s">
        <v>280</v>
      </c>
      <c r="F625" s="73"/>
      <c r="G625" s="10">
        <f>G626</f>
        <v>0</v>
      </c>
      <c r="H625" s="10">
        <f>H626</f>
        <v>0</v>
      </c>
      <c r="I625" s="416" t="e">
        <f t="shared" si="90"/>
        <v>#DIV/0!</v>
      </c>
    </row>
    <row r="626" spans="1:9" s="1" customFormat="1" ht="15.75" hidden="1" customHeight="1" x14ac:dyDescent="0.25">
      <c r="A626" s="25" t="s">
        <v>281</v>
      </c>
      <c r="B626" s="40" t="s">
        <v>945</v>
      </c>
      <c r="C626" s="40" t="s">
        <v>498</v>
      </c>
      <c r="D626" s="40" t="s">
        <v>125</v>
      </c>
      <c r="E626" s="40" t="s">
        <v>282</v>
      </c>
      <c r="F626" s="73"/>
      <c r="G626" s="10"/>
      <c r="H626" s="10"/>
      <c r="I626" s="416" t="e">
        <f t="shared" si="90"/>
        <v>#DIV/0!</v>
      </c>
    </row>
    <row r="627" spans="1:9" s="1" customFormat="1" ht="31.7" hidden="1" customHeight="1" x14ac:dyDescent="0.25">
      <c r="A627" s="45" t="s">
        <v>487</v>
      </c>
      <c r="B627" s="40" t="s">
        <v>945</v>
      </c>
      <c r="C627" s="40" t="s">
        <v>498</v>
      </c>
      <c r="D627" s="40" t="s">
        <v>125</v>
      </c>
      <c r="E627" s="40" t="s">
        <v>282</v>
      </c>
      <c r="F627" s="2">
        <v>907</v>
      </c>
      <c r="G627" s="10">
        <f>G626</f>
        <v>0</v>
      </c>
      <c r="H627" s="10">
        <f>H626</f>
        <v>0</v>
      </c>
      <c r="I627" s="416" t="e">
        <f t="shared" si="90"/>
        <v>#DIV/0!</v>
      </c>
    </row>
    <row r="628" spans="1:9" ht="37.5" customHeight="1" x14ac:dyDescent="0.25">
      <c r="A628" s="41" t="s">
        <v>1379</v>
      </c>
      <c r="B628" s="7" t="s">
        <v>550</v>
      </c>
      <c r="C628" s="2"/>
      <c r="D628" s="2"/>
      <c r="E628" s="2"/>
      <c r="F628" s="2"/>
      <c r="G628" s="59">
        <f>G629+G636+G676</f>
        <v>3935.2</v>
      </c>
      <c r="H628" s="59">
        <f>H629+H636+H676</f>
        <v>421.90800000000002</v>
      </c>
      <c r="I628" s="441">
        <f t="shared" si="90"/>
        <v>10.721386460662737</v>
      </c>
    </row>
    <row r="629" spans="1:9" s="202" customFormat="1" ht="47.25" hidden="1" x14ac:dyDescent="0.25">
      <c r="A629" s="23" t="s">
        <v>1452</v>
      </c>
      <c r="B629" s="7" t="s">
        <v>1288</v>
      </c>
      <c r="C629" s="7"/>
      <c r="D629" s="7"/>
      <c r="E629" s="3"/>
      <c r="F629" s="3"/>
      <c r="G629" s="59">
        <f t="shared" ref="G629:H633" si="97">G630</f>
        <v>0</v>
      </c>
      <c r="H629" s="59">
        <f t="shared" si="97"/>
        <v>0</v>
      </c>
      <c r="I629" s="441" t="e">
        <f t="shared" si="90"/>
        <v>#DIV/0!</v>
      </c>
    </row>
    <row r="630" spans="1:9" ht="15.75" hidden="1" x14ac:dyDescent="0.25">
      <c r="A630" s="73" t="s">
        <v>397</v>
      </c>
      <c r="B630" s="40" t="s">
        <v>1288</v>
      </c>
      <c r="C630" s="40" t="s">
        <v>241</v>
      </c>
      <c r="D630" s="40"/>
      <c r="E630" s="2"/>
      <c r="F630" s="2"/>
      <c r="G630" s="10">
        <f t="shared" si="97"/>
        <v>0</v>
      </c>
      <c r="H630" s="10">
        <f t="shared" si="97"/>
        <v>0</v>
      </c>
      <c r="I630" s="441" t="e">
        <f t="shared" si="90"/>
        <v>#DIV/0!</v>
      </c>
    </row>
    <row r="631" spans="1:9" ht="15.75" hidden="1" x14ac:dyDescent="0.25">
      <c r="A631" s="73" t="s">
        <v>548</v>
      </c>
      <c r="B631" s="40" t="s">
        <v>1288</v>
      </c>
      <c r="C631" s="40" t="s">
        <v>241</v>
      </c>
      <c r="D631" s="40" t="s">
        <v>222</v>
      </c>
      <c r="E631" s="2"/>
      <c r="F631" s="2"/>
      <c r="G631" s="10">
        <f t="shared" si="97"/>
        <v>0</v>
      </c>
      <c r="H631" s="10">
        <f t="shared" si="97"/>
        <v>0</v>
      </c>
      <c r="I631" s="441" t="e">
        <f t="shared" si="90"/>
        <v>#DIV/0!</v>
      </c>
    </row>
    <row r="632" spans="1:9" s="202" customFormat="1" ht="31.5" hidden="1" x14ac:dyDescent="0.25">
      <c r="A632" s="312" t="s">
        <v>1453</v>
      </c>
      <c r="B632" s="20" t="s">
        <v>1436</v>
      </c>
      <c r="C632" s="40" t="s">
        <v>241</v>
      </c>
      <c r="D632" s="40" t="s">
        <v>222</v>
      </c>
      <c r="E632" s="2"/>
      <c r="F632" s="2"/>
      <c r="G632" s="10">
        <f t="shared" si="97"/>
        <v>0</v>
      </c>
      <c r="H632" s="10">
        <f t="shared" si="97"/>
        <v>0</v>
      </c>
      <c r="I632" s="441" t="e">
        <f t="shared" si="90"/>
        <v>#DIV/0!</v>
      </c>
    </row>
    <row r="633" spans="1:9" s="202" customFormat="1" ht="31.5" hidden="1" x14ac:dyDescent="0.25">
      <c r="A633" s="25" t="s">
        <v>138</v>
      </c>
      <c r="B633" s="20" t="s">
        <v>1436</v>
      </c>
      <c r="C633" s="40" t="s">
        <v>241</v>
      </c>
      <c r="D633" s="40" t="s">
        <v>222</v>
      </c>
      <c r="E633" s="2">
        <v>200</v>
      </c>
      <c r="F633" s="2"/>
      <c r="G633" s="10">
        <f t="shared" si="97"/>
        <v>0</v>
      </c>
      <c r="H633" s="10">
        <f t="shared" si="97"/>
        <v>0</v>
      </c>
      <c r="I633" s="441" t="e">
        <f t="shared" si="90"/>
        <v>#DIV/0!</v>
      </c>
    </row>
    <row r="634" spans="1:9" s="202" customFormat="1" ht="31.5" hidden="1" x14ac:dyDescent="0.25">
      <c r="A634" s="25" t="s">
        <v>140</v>
      </c>
      <c r="B634" s="20" t="s">
        <v>1436</v>
      </c>
      <c r="C634" s="40" t="s">
        <v>241</v>
      </c>
      <c r="D634" s="40" t="s">
        <v>222</v>
      </c>
      <c r="E634" s="2">
        <v>240</v>
      </c>
      <c r="F634" s="2"/>
      <c r="G634" s="10">
        <f>'Пр.4 ведом.21'!G952</f>
        <v>0</v>
      </c>
      <c r="H634" s="10">
        <f>'Пр.4 ведом.21'!H952</f>
        <v>0</v>
      </c>
      <c r="I634" s="441" t="e">
        <f t="shared" si="90"/>
        <v>#DIV/0!</v>
      </c>
    </row>
    <row r="635" spans="1:9" s="202" customFormat="1" ht="31.5" hidden="1" x14ac:dyDescent="0.25">
      <c r="A635" s="45" t="s">
        <v>631</v>
      </c>
      <c r="B635" s="20" t="s">
        <v>1436</v>
      </c>
      <c r="C635" s="40" t="s">
        <v>241</v>
      </c>
      <c r="D635" s="40" t="s">
        <v>222</v>
      </c>
      <c r="E635" s="2">
        <v>240</v>
      </c>
      <c r="F635" s="2">
        <v>908</v>
      </c>
      <c r="G635" s="10">
        <f>G632</f>
        <v>0</v>
      </c>
      <c r="H635" s="10">
        <f>H632</f>
        <v>0</v>
      </c>
      <c r="I635" s="441" t="e">
        <f t="shared" si="90"/>
        <v>#DIV/0!</v>
      </c>
    </row>
    <row r="636" spans="1:9" s="202" customFormat="1" ht="31.5" x14ac:dyDescent="0.25">
      <c r="A636" s="23" t="s">
        <v>1455</v>
      </c>
      <c r="B636" s="7" t="s">
        <v>1289</v>
      </c>
      <c r="C636" s="40"/>
      <c r="D636" s="40"/>
      <c r="E636" s="2"/>
      <c r="F636" s="2"/>
      <c r="G636" s="59">
        <f>G637</f>
        <v>2078</v>
      </c>
      <c r="H636" s="59">
        <f>H637</f>
        <v>421.90800000000002</v>
      </c>
      <c r="I636" s="441">
        <f t="shared" si="90"/>
        <v>20.303561116458134</v>
      </c>
    </row>
    <row r="637" spans="1:9" s="202" customFormat="1" ht="15.75" x14ac:dyDescent="0.25">
      <c r="A637" s="73" t="s">
        <v>397</v>
      </c>
      <c r="B637" s="40" t="s">
        <v>1289</v>
      </c>
      <c r="C637" s="40"/>
      <c r="D637" s="40"/>
      <c r="E637" s="2"/>
      <c r="F637" s="2"/>
      <c r="G637" s="10">
        <f>G638</f>
        <v>2078</v>
      </c>
      <c r="H637" s="10">
        <f>H638</f>
        <v>421.90800000000002</v>
      </c>
      <c r="I637" s="416">
        <f t="shared" si="90"/>
        <v>20.303561116458134</v>
      </c>
    </row>
    <row r="638" spans="1:9" s="202" customFormat="1" ht="15.75" x14ac:dyDescent="0.25">
      <c r="A638" s="73" t="s">
        <v>548</v>
      </c>
      <c r="B638" s="40" t="s">
        <v>1289</v>
      </c>
      <c r="C638" s="40"/>
      <c r="D638" s="40"/>
      <c r="E638" s="2"/>
      <c r="F638" s="2"/>
      <c r="G638" s="10">
        <f>G639+G643+G653+G657+G661+G668+G672</f>
        <v>2078</v>
      </c>
      <c r="H638" s="10">
        <f>H639+H643+H653+H657+H661+H668+H672</f>
        <v>421.90800000000002</v>
      </c>
      <c r="I638" s="416">
        <f t="shared" si="90"/>
        <v>20.303561116458134</v>
      </c>
    </row>
    <row r="639" spans="1:9" ht="15.75" customHeight="1" x14ac:dyDescent="0.25">
      <c r="A639" s="25" t="s">
        <v>553</v>
      </c>
      <c r="B639" s="20" t="s">
        <v>1451</v>
      </c>
      <c r="C639" s="40" t="s">
        <v>241</v>
      </c>
      <c r="D639" s="40" t="s">
        <v>222</v>
      </c>
      <c r="E639" s="2"/>
      <c r="F639" s="2"/>
      <c r="G639" s="10">
        <f t="shared" ref="G639:H640" si="98">G640</f>
        <v>365</v>
      </c>
      <c r="H639" s="10">
        <f t="shared" si="98"/>
        <v>0</v>
      </c>
      <c r="I639" s="416">
        <f t="shared" si="90"/>
        <v>0</v>
      </c>
    </row>
    <row r="640" spans="1:9" ht="41.25" customHeight="1" x14ac:dyDescent="0.25">
      <c r="A640" s="25" t="s">
        <v>138</v>
      </c>
      <c r="B640" s="20" t="s">
        <v>1451</v>
      </c>
      <c r="C640" s="40" t="s">
        <v>241</v>
      </c>
      <c r="D640" s="40" t="s">
        <v>222</v>
      </c>
      <c r="E640" s="2">
        <v>200</v>
      </c>
      <c r="F640" s="2"/>
      <c r="G640" s="10">
        <f t="shared" si="98"/>
        <v>365</v>
      </c>
      <c r="H640" s="10">
        <f t="shared" si="98"/>
        <v>0</v>
      </c>
      <c r="I640" s="416">
        <f t="shared" si="90"/>
        <v>0</v>
      </c>
    </row>
    <row r="641" spans="1:9" ht="31.7" customHeight="1" x14ac:dyDescent="0.25">
      <c r="A641" s="25" t="s">
        <v>140</v>
      </c>
      <c r="B641" s="20" t="s">
        <v>1451</v>
      </c>
      <c r="C641" s="40" t="s">
        <v>241</v>
      </c>
      <c r="D641" s="40" t="s">
        <v>222</v>
      </c>
      <c r="E641" s="2">
        <v>240</v>
      </c>
      <c r="F641" s="2"/>
      <c r="G641" s="10">
        <f>'Пр.4 ведом.21'!G956</f>
        <v>365</v>
      </c>
      <c r="H641" s="10">
        <f>'Пр.4 ведом.21'!H956</f>
        <v>0</v>
      </c>
      <c r="I641" s="416">
        <f t="shared" si="90"/>
        <v>0</v>
      </c>
    </row>
    <row r="642" spans="1:9" s="202" customFormat="1" ht="31.7" customHeight="1" x14ac:dyDescent="0.25">
      <c r="A642" s="45" t="s">
        <v>631</v>
      </c>
      <c r="B642" s="20" t="s">
        <v>1451</v>
      </c>
      <c r="C642" s="40" t="s">
        <v>241</v>
      </c>
      <c r="D642" s="40" t="s">
        <v>222</v>
      </c>
      <c r="E642" s="2">
        <v>240</v>
      </c>
      <c r="F642" s="2">
        <v>908</v>
      </c>
      <c r="G642" s="10">
        <f>G641</f>
        <v>365</v>
      </c>
      <c r="H642" s="10">
        <f>H641</f>
        <v>0</v>
      </c>
      <c r="I642" s="416">
        <f t="shared" si="90"/>
        <v>0</v>
      </c>
    </row>
    <row r="643" spans="1:9" ht="17.45" customHeight="1" x14ac:dyDescent="0.25">
      <c r="A643" s="25" t="s">
        <v>555</v>
      </c>
      <c r="B643" s="20" t="s">
        <v>1435</v>
      </c>
      <c r="C643" s="40" t="s">
        <v>241</v>
      </c>
      <c r="D643" s="40" t="s">
        <v>222</v>
      </c>
      <c r="E643" s="2"/>
      <c r="F643" s="2"/>
      <c r="G643" s="10">
        <f>G644+G647+G650</f>
        <v>1238</v>
      </c>
      <c r="H643" s="10">
        <f>H644+H647+H650</f>
        <v>421.90800000000002</v>
      </c>
      <c r="I643" s="416">
        <f t="shared" si="90"/>
        <v>34.079806138933769</v>
      </c>
    </row>
    <row r="644" spans="1:9" ht="31.5" x14ac:dyDescent="0.25">
      <c r="A644" s="25" t="s">
        <v>138</v>
      </c>
      <c r="B644" s="20" t="s">
        <v>1435</v>
      </c>
      <c r="C644" s="40" t="s">
        <v>241</v>
      </c>
      <c r="D644" s="40" t="s">
        <v>222</v>
      </c>
      <c r="E644" s="2">
        <v>200</v>
      </c>
      <c r="F644" s="2"/>
      <c r="G644" s="10">
        <f t="shared" ref="G644:H644" si="99">G645</f>
        <v>1238</v>
      </c>
      <c r="H644" s="10">
        <f t="shared" si="99"/>
        <v>421.90800000000002</v>
      </c>
      <c r="I644" s="416">
        <f t="shared" si="90"/>
        <v>34.079806138933769</v>
      </c>
    </row>
    <row r="645" spans="1:9" ht="31.5" x14ac:dyDescent="0.25">
      <c r="A645" s="25" t="s">
        <v>140</v>
      </c>
      <c r="B645" s="20" t="s">
        <v>1435</v>
      </c>
      <c r="C645" s="40" t="s">
        <v>241</v>
      </c>
      <c r="D645" s="40" t="s">
        <v>222</v>
      </c>
      <c r="E645" s="2">
        <v>240</v>
      </c>
      <c r="F645" s="2"/>
      <c r="G645" s="10">
        <f>'Пр.4 ведом.21'!G959</f>
        <v>1238</v>
      </c>
      <c r="H645" s="10">
        <f>'Пр.4 ведом.21'!H959</f>
        <v>421.90800000000002</v>
      </c>
      <c r="I645" s="416">
        <f t="shared" si="90"/>
        <v>34.079806138933769</v>
      </c>
    </row>
    <row r="646" spans="1:9" s="202" customFormat="1" ht="37.5" customHeight="1" x14ac:dyDescent="0.25">
      <c r="A646" s="45" t="s">
        <v>631</v>
      </c>
      <c r="B646" s="20" t="s">
        <v>1435</v>
      </c>
      <c r="C646" s="40" t="s">
        <v>241</v>
      </c>
      <c r="D646" s="40" t="s">
        <v>222</v>
      </c>
      <c r="E646" s="2">
        <v>240</v>
      </c>
      <c r="F646" s="2">
        <v>908</v>
      </c>
      <c r="G646" s="10">
        <f>G645</f>
        <v>1238</v>
      </c>
      <c r="H646" s="10">
        <f>H645</f>
        <v>421.90800000000002</v>
      </c>
      <c r="I646" s="416">
        <f t="shared" si="90"/>
        <v>34.079806138933769</v>
      </c>
    </row>
    <row r="647" spans="1:9" ht="15.75" hidden="1" x14ac:dyDescent="0.25">
      <c r="A647" s="25" t="s">
        <v>142</v>
      </c>
      <c r="B647" s="20" t="s">
        <v>1435</v>
      </c>
      <c r="C647" s="40" t="s">
        <v>241</v>
      </c>
      <c r="D647" s="40" t="s">
        <v>222</v>
      </c>
      <c r="E647" s="2">
        <v>800</v>
      </c>
      <c r="F647" s="2"/>
      <c r="G647" s="10">
        <f>G648</f>
        <v>0</v>
      </c>
      <c r="H647" s="10">
        <f>H648</f>
        <v>0</v>
      </c>
      <c r="I647" s="416" t="e">
        <f t="shared" si="90"/>
        <v>#DIV/0!</v>
      </c>
    </row>
    <row r="648" spans="1:9" s="202" customFormat="1" ht="47.25" hidden="1" x14ac:dyDescent="0.25">
      <c r="A648" s="25" t="s">
        <v>846</v>
      </c>
      <c r="B648" s="20" t="s">
        <v>1435</v>
      </c>
      <c r="C648" s="40" t="s">
        <v>241</v>
      </c>
      <c r="D648" s="40" t="s">
        <v>222</v>
      </c>
      <c r="E648" s="2">
        <v>830</v>
      </c>
      <c r="F648" s="2"/>
      <c r="G648" s="10">
        <f>'Пр.3 Рд,пр, ЦС,ВР 21'!F403</f>
        <v>0</v>
      </c>
      <c r="H648" s="10">
        <f>'Пр.3 Рд,пр, ЦС,ВР 21'!G403</f>
        <v>0</v>
      </c>
      <c r="I648" s="416" t="e">
        <f t="shared" si="90"/>
        <v>#DIV/0!</v>
      </c>
    </row>
    <row r="649" spans="1:9" s="202" customFormat="1" ht="31.5" hidden="1" x14ac:dyDescent="0.25">
      <c r="A649" s="45" t="s">
        <v>631</v>
      </c>
      <c r="B649" s="20" t="s">
        <v>1435</v>
      </c>
      <c r="C649" s="40" t="s">
        <v>241</v>
      </c>
      <c r="D649" s="40" t="s">
        <v>222</v>
      </c>
      <c r="E649" s="2">
        <v>830</v>
      </c>
      <c r="F649" s="2">
        <v>908</v>
      </c>
      <c r="G649" s="10">
        <f>G648</f>
        <v>0</v>
      </c>
      <c r="H649" s="10">
        <f>H648</f>
        <v>0</v>
      </c>
      <c r="I649" s="416" t="e">
        <f t="shared" si="90"/>
        <v>#DIV/0!</v>
      </c>
    </row>
    <row r="650" spans="1:9" s="202" customFormat="1" ht="15.75" hidden="1" x14ac:dyDescent="0.25">
      <c r="A650" s="25" t="s">
        <v>142</v>
      </c>
      <c r="B650" s="20" t="s">
        <v>1435</v>
      </c>
      <c r="C650" s="40" t="s">
        <v>241</v>
      </c>
      <c r="D650" s="40" t="s">
        <v>222</v>
      </c>
      <c r="E650" s="2">
        <v>800</v>
      </c>
      <c r="F650" s="2"/>
      <c r="G650" s="10">
        <f>G651</f>
        <v>0</v>
      </c>
      <c r="H650" s="10">
        <f>H651</f>
        <v>0</v>
      </c>
      <c r="I650" s="416" t="e">
        <f t="shared" si="90"/>
        <v>#DIV/0!</v>
      </c>
    </row>
    <row r="651" spans="1:9" ht="15.75" hidden="1" x14ac:dyDescent="0.25">
      <c r="A651" s="25" t="s">
        <v>1088</v>
      </c>
      <c r="B651" s="20" t="s">
        <v>1435</v>
      </c>
      <c r="C651" s="40" t="s">
        <v>241</v>
      </c>
      <c r="D651" s="40" t="s">
        <v>222</v>
      </c>
      <c r="E651" s="2">
        <v>850</v>
      </c>
      <c r="F651" s="2"/>
      <c r="G651" s="10">
        <f>'Пр.3 Рд,пр, ЦС,ВР 21'!F404</f>
        <v>0</v>
      </c>
      <c r="H651" s="10">
        <f>'Пр.3 Рд,пр, ЦС,ВР 21'!G404</f>
        <v>0</v>
      </c>
      <c r="I651" s="416" t="e">
        <f t="shared" si="90"/>
        <v>#DIV/0!</v>
      </c>
    </row>
    <row r="652" spans="1:9" s="202" customFormat="1" ht="31.5" hidden="1" x14ac:dyDescent="0.25">
      <c r="A652" s="45" t="s">
        <v>631</v>
      </c>
      <c r="B652" s="20" t="s">
        <v>1435</v>
      </c>
      <c r="C652" s="40" t="s">
        <v>241</v>
      </c>
      <c r="D652" s="40" t="s">
        <v>222</v>
      </c>
      <c r="E652" s="2">
        <v>850</v>
      </c>
      <c r="F652" s="2">
        <v>908</v>
      </c>
      <c r="G652" s="10">
        <f>G651</f>
        <v>0</v>
      </c>
      <c r="H652" s="10">
        <f>H651</f>
        <v>0</v>
      </c>
      <c r="I652" s="416" t="e">
        <f t="shared" si="90"/>
        <v>#DIV/0!</v>
      </c>
    </row>
    <row r="653" spans="1:9" ht="15.75" hidden="1" x14ac:dyDescent="0.25">
      <c r="A653" s="25" t="s">
        <v>557</v>
      </c>
      <c r="B653" s="20" t="s">
        <v>1313</v>
      </c>
      <c r="C653" s="40" t="s">
        <v>241</v>
      </c>
      <c r="D653" s="40" t="s">
        <v>222</v>
      </c>
      <c r="E653" s="2"/>
      <c r="F653" s="2"/>
      <c r="G653" s="10">
        <f t="shared" ref="G653:H653" si="100">G654</f>
        <v>0</v>
      </c>
      <c r="H653" s="10">
        <f t="shared" si="100"/>
        <v>0</v>
      </c>
      <c r="I653" s="416" t="e">
        <f t="shared" si="90"/>
        <v>#DIV/0!</v>
      </c>
    </row>
    <row r="654" spans="1:9" ht="31.5" hidden="1" x14ac:dyDescent="0.25">
      <c r="A654" s="25" t="s">
        <v>138</v>
      </c>
      <c r="B654" s="20" t="s">
        <v>1313</v>
      </c>
      <c r="C654" s="40" t="s">
        <v>241</v>
      </c>
      <c r="D654" s="40" t="s">
        <v>222</v>
      </c>
      <c r="E654" s="2">
        <v>200</v>
      </c>
      <c r="F654" s="2"/>
      <c r="G654" s="10">
        <f>G655</f>
        <v>0</v>
      </c>
      <c r="H654" s="10">
        <f>H655</f>
        <v>0</v>
      </c>
      <c r="I654" s="416" t="e">
        <f t="shared" si="90"/>
        <v>#DIV/0!</v>
      </c>
    </row>
    <row r="655" spans="1:9" ht="31.5" hidden="1" x14ac:dyDescent="0.25">
      <c r="A655" s="25" t="s">
        <v>140</v>
      </c>
      <c r="B655" s="20" t="s">
        <v>1313</v>
      </c>
      <c r="C655" s="40" t="s">
        <v>241</v>
      </c>
      <c r="D655" s="40" t="s">
        <v>222</v>
      </c>
      <c r="E655" s="2">
        <v>240</v>
      </c>
      <c r="F655" s="2"/>
      <c r="G655" s="10">
        <f>'Пр.4 ведом.21'!G965</f>
        <v>0</v>
      </c>
      <c r="H655" s="10">
        <f>'Пр.4 ведом.21'!H965</f>
        <v>0</v>
      </c>
      <c r="I655" s="416" t="e">
        <f t="shared" si="90"/>
        <v>#DIV/0!</v>
      </c>
    </row>
    <row r="656" spans="1:9" ht="37.5" hidden="1" customHeight="1" x14ac:dyDescent="0.25">
      <c r="A656" s="45" t="s">
        <v>631</v>
      </c>
      <c r="B656" s="20" t="s">
        <v>1313</v>
      </c>
      <c r="C656" s="40" t="s">
        <v>241</v>
      </c>
      <c r="D656" s="40" t="s">
        <v>222</v>
      </c>
      <c r="E656" s="2">
        <v>240</v>
      </c>
      <c r="F656" s="2">
        <v>908</v>
      </c>
      <c r="G656" s="10">
        <f>G655</f>
        <v>0</v>
      </c>
      <c r="H656" s="10">
        <f>H655</f>
        <v>0</v>
      </c>
      <c r="I656" s="416" t="e">
        <f t="shared" si="90"/>
        <v>#DIV/0!</v>
      </c>
    </row>
    <row r="657" spans="1:9" ht="15.75" x14ac:dyDescent="0.25">
      <c r="A657" s="25" t="s">
        <v>562</v>
      </c>
      <c r="B657" s="20" t="s">
        <v>1290</v>
      </c>
      <c r="C657" s="40" t="s">
        <v>241</v>
      </c>
      <c r="D657" s="40" t="s">
        <v>222</v>
      </c>
      <c r="E657" s="2"/>
      <c r="F657" s="2"/>
      <c r="G657" s="10">
        <f t="shared" ref="G657:H658" si="101">G658</f>
        <v>50</v>
      </c>
      <c r="H657" s="10">
        <f t="shared" si="101"/>
        <v>0</v>
      </c>
      <c r="I657" s="416">
        <f t="shared" si="90"/>
        <v>0</v>
      </c>
    </row>
    <row r="658" spans="1:9" ht="31.5" x14ac:dyDescent="0.25">
      <c r="A658" s="25" t="s">
        <v>138</v>
      </c>
      <c r="B658" s="20" t="s">
        <v>1290</v>
      </c>
      <c r="C658" s="40" t="s">
        <v>241</v>
      </c>
      <c r="D658" s="40" t="s">
        <v>222</v>
      </c>
      <c r="E658" s="2">
        <v>200</v>
      </c>
      <c r="F658" s="2"/>
      <c r="G658" s="10">
        <f t="shared" si="101"/>
        <v>50</v>
      </c>
      <c r="H658" s="10">
        <f t="shared" si="101"/>
        <v>0</v>
      </c>
      <c r="I658" s="416">
        <f t="shared" ref="I658:I721" si="102">H658/G658*100</f>
        <v>0</v>
      </c>
    </row>
    <row r="659" spans="1:9" ht="31.5" x14ac:dyDescent="0.25">
      <c r="A659" s="25" t="s">
        <v>140</v>
      </c>
      <c r="B659" s="20" t="s">
        <v>1290</v>
      </c>
      <c r="C659" s="40" t="s">
        <v>241</v>
      </c>
      <c r="D659" s="40" t="s">
        <v>222</v>
      </c>
      <c r="E659" s="2">
        <v>240</v>
      </c>
      <c r="F659" s="2"/>
      <c r="G659" s="10">
        <f>'Пр.4 ведом.21'!G968</f>
        <v>50</v>
      </c>
      <c r="H659" s="10">
        <f>'Пр.4 ведом.21'!H968</f>
        <v>0</v>
      </c>
      <c r="I659" s="416">
        <f t="shared" si="102"/>
        <v>0</v>
      </c>
    </row>
    <row r="660" spans="1:9" s="202" customFormat="1" ht="39.200000000000003" customHeight="1" x14ac:dyDescent="0.25">
      <c r="A660" s="45" t="s">
        <v>631</v>
      </c>
      <c r="B660" s="20" t="s">
        <v>1290</v>
      </c>
      <c r="C660" s="40" t="s">
        <v>241</v>
      </c>
      <c r="D660" s="40" t="s">
        <v>222</v>
      </c>
      <c r="E660" s="2">
        <v>240</v>
      </c>
      <c r="F660" s="2">
        <v>908</v>
      </c>
      <c r="G660" s="10">
        <f>G659</f>
        <v>50</v>
      </c>
      <c r="H660" s="10">
        <f>H659</f>
        <v>0</v>
      </c>
      <c r="I660" s="416">
        <f t="shared" si="102"/>
        <v>0</v>
      </c>
    </row>
    <row r="661" spans="1:9" ht="31.5" x14ac:dyDescent="0.25">
      <c r="A661" s="310" t="s">
        <v>1454</v>
      </c>
      <c r="B661" s="20" t="s">
        <v>1291</v>
      </c>
      <c r="C661" s="40" t="s">
        <v>241</v>
      </c>
      <c r="D661" s="40" t="s">
        <v>222</v>
      </c>
      <c r="E661" s="2"/>
      <c r="F661" s="2"/>
      <c r="G661" s="10">
        <f>G662+G665</f>
        <v>375</v>
      </c>
      <c r="H661" s="10">
        <f>H662+H665</f>
        <v>0</v>
      </c>
      <c r="I661" s="416">
        <f t="shared" si="102"/>
        <v>0</v>
      </c>
    </row>
    <row r="662" spans="1:9" ht="31.5" x14ac:dyDescent="0.25">
      <c r="A662" s="25" t="s">
        <v>138</v>
      </c>
      <c r="B662" s="20" t="s">
        <v>1291</v>
      </c>
      <c r="C662" s="40" t="s">
        <v>241</v>
      </c>
      <c r="D662" s="40" t="s">
        <v>222</v>
      </c>
      <c r="E662" s="2">
        <v>200</v>
      </c>
      <c r="F662" s="2"/>
      <c r="G662" s="10">
        <f t="shared" ref="G662:H662" si="103">G663</f>
        <v>300</v>
      </c>
      <c r="H662" s="10">
        <f t="shared" si="103"/>
        <v>0</v>
      </c>
      <c r="I662" s="416">
        <f t="shared" si="102"/>
        <v>0</v>
      </c>
    </row>
    <row r="663" spans="1:9" ht="31.5" x14ac:dyDescent="0.25">
      <c r="A663" s="25" t="s">
        <v>140</v>
      </c>
      <c r="B663" s="20" t="s">
        <v>1291</v>
      </c>
      <c r="C663" s="40" t="s">
        <v>241</v>
      </c>
      <c r="D663" s="40" t="s">
        <v>222</v>
      </c>
      <c r="E663" s="2">
        <v>240</v>
      </c>
      <c r="F663" s="2"/>
      <c r="G663" s="10">
        <f>'Пр.4 ведом.21'!G971</f>
        <v>300</v>
      </c>
      <c r="H663" s="10">
        <f>'Пр.4 ведом.21'!H971</f>
        <v>0</v>
      </c>
      <c r="I663" s="416">
        <f t="shared" si="102"/>
        <v>0</v>
      </c>
    </row>
    <row r="664" spans="1:9" s="202" customFormat="1" ht="42" customHeight="1" x14ac:dyDescent="0.25">
      <c r="A664" s="45" t="s">
        <v>631</v>
      </c>
      <c r="B664" s="20" t="s">
        <v>1291</v>
      </c>
      <c r="C664" s="40" t="s">
        <v>241</v>
      </c>
      <c r="D664" s="40" t="s">
        <v>222</v>
      </c>
      <c r="E664" s="2">
        <v>240</v>
      </c>
      <c r="F664" s="2">
        <v>908</v>
      </c>
      <c r="G664" s="10">
        <f>G663</f>
        <v>300</v>
      </c>
      <c r="H664" s="10">
        <f>H663</f>
        <v>0</v>
      </c>
      <c r="I664" s="416">
        <f t="shared" si="102"/>
        <v>0</v>
      </c>
    </row>
    <row r="665" spans="1:9" s="202" customFormat="1" ht="15.75" x14ac:dyDescent="0.25">
      <c r="A665" s="29" t="s">
        <v>142</v>
      </c>
      <c r="B665" s="20" t="s">
        <v>1291</v>
      </c>
      <c r="C665" s="40" t="s">
        <v>241</v>
      </c>
      <c r="D665" s="40" t="s">
        <v>222</v>
      </c>
      <c r="E665" s="2">
        <v>800</v>
      </c>
      <c r="F665" s="2"/>
      <c r="G665" s="10">
        <f>G666</f>
        <v>75</v>
      </c>
      <c r="H665" s="10">
        <f>H666</f>
        <v>0</v>
      </c>
      <c r="I665" s="416">
        <f t="shared" si="102"/>
        <v>0</v>
      </c>
    </row>
    <row r="666" spans="1:9" s="202" customFormat="1" ht="15.75" x14ac:dyDescent="0.25">
      <c r="A666" s="25" t="s">
        <v>714</v>
      </c>
      <c r="B666" s="20" t="s">
        <v>1291</v>
      </c>
      <c r="C666" s="40" t="s">
        <v>241</v>
      </c>
      <c r="D666" s="40" t="s">
        <v>222</v>
      </c>
      <c r="E666" s="2">
        <v>850</v>
      </c>
      <c r="F666" s="2"/>
      <c r="G666" s="10">
        <f>'Пр.4 ведом.21'!G973</f>
        <v>75</v>
      </c>
      <c r="H666" s="10">
        <f>'Пр.4 ведом.21'!H973</f>
        <v>0</v>
      </c>
      <c r="I666" s="416">
        <f t="shared" si="102"/>
        <v>0</v>
      </c>
    </row>
    <row r="667" spans="1:9" s="202" customFormat="1" ht="31.5" x14ac:dyDescent="0.25">
      <c r="A667" s="45" t="s">
        <v>631</v>
      </c>
      <c r="B667" s="20" t="s">
        <v>1291</v>
      </c>
      <c r="C667" s="40" t="s">
        <v>241</v>
      </c>
      <c r="D667" s="40" t="s">
        <v>222</v>
      </c>
      <c r="E667" s="2">
        <v>850</v>
      </c>
      <c r="F667" s="2">
        <v>908</v>
      </c>
      <c r="G667" s="10">
        <f>G666</f>
        <v>75</v>
      </c>
      <c r="H667" s="10">
        <f>H666</f>
        <v>0</v>
      </c>
      <c r="I667" s="416">
        <f t="shared" si="102"/>
        <v>0</v>
      </c>
    </row>
    <row r="668" spans="1:9" ht="15.75" hidden="1" customHeight="1" x14ac:dyDescent="0.25">
      <c r="A668" s="45" t="s">
        <v>566</v>
      </c>
      <c r="B668" s="20" t="s">
        <v>1292</v>
      </c>
      <c r="C668" s="40" t="s">
        <v>241</v>
      </c>
      <c r="D668" s="40" t="s">
        <v>222</v>
      </c>
      <c r="E668" s="2"/>
      <c r="F668" s="2"/>
      <c r="G668" s="10">
        <f t="shared" ref="G668:H669" si="104">G669</f>
        <v>0</v>
      </c>
      <c r="H668" s="10">
        <f t="shared" si="104"/>
        <v>0</v>
      </c>
      <c r="I668" s="416" t="e">
        <f t="shared" si="102"/>
        <v>#DIV/0!</v>
      </c>
    </row>
    <row r="669" spans="1:9" ht="31.7" hidden="1" customHeight="1" x14ac:dyDescent="0.25">
      <c r="A669" s="25" t="s">
        <v>138</v>
      </c>
      <c r="B669" s="20" t="s">
        <v>1292</v>
      </c>
      <c r="C669" s="40" t="s">
        <v>241</v>
      </c>
      <c r="D669" s="40" t="s">
        <v>222</v>
      </c>
      <c r="E669" s="2">
        <v>200</v>
      </c>
      <c r="F669" s="2"/>
      <c r="G669" s="10">
        <f t="shared" si="104"/>
        <v>0</v>
      </c>
      <c r="H669" s="10">
        <f t="shared" si="104"/>
        <v>0</v>
      </c>
      <c r="I669" s="416" t="e">
        <f t="shared" si="102"/>
        <v>#DIV/0!</v>
      </c>
    </row>
    <row r="670" spans="1:9" ht="31.7" hidden="1" customHeight="1" x14ac:dyDescent="0.25">
      <c r="A670" s="25" t="s">
        <v>140</v>
      </c>
      <c r="B670" s="20" t="s">
        <v>1292</v>
      </c>
      <c r="C670" s="40" t="s">
        <v>241</v>
      </c>
      <c r="D670" s="40" t="s">
        <v>222</v>
      </c>
      <c r="E670" s="2">
        <v>240</v>
      </c>
      <c r="F670" s="2"/>
      <c r="G670" s="10">
        <f>'Пр.3 Рд,пр, ЦС,ВР 21'!F418</f>
        <v>0</v>
      </c>
      <c r="H670" s="10">
        <f>'Пр.3 Рд,пр, ЦС,ВР 21'!G418</f>
        <v>0</v>
      </c>
      <c r="I670" s="416" t="e">
        <f t="shared" si="102"/>
        <v>#DIV/0!</v>
      </c>
    </row>
    <row r="671" spans="1:9" ht="31.5" hidden="1" x14ac:dyDescent="0.25">
      <c r="A671" s="45" t="s">
        <v>631</v>
      </c>
      <c r="B671" s="20" t="s">
        <v>1292</v>
      </c>
      <c r="C671" s="40" t="s">
        <v>241</v>
      </c>
      <c r="D671" s="40" t="s">
        <v>222</v>
      </c>
      <c r="E671" s="2">
        <v>850</v>
      </c>
      <c r="F671" s="2">
        <v>908</v>
      </c>
      <c r="G671" s="10">
        <f>G670</f>
        <v>0</v>
      </c>
      <c r="H671" s="10">
        <f>H670</f>
        <v>0</v>
      </c>
      <c r="I671" s="416" t="e">
        <f t="shared" si="102"/>
        <v>#DIV/0!</v>
      </c>
    </row>
    <row r="672" spans="1:9" s="202" customFormat="1" ht="31.5" x14ac:dyDescent="0.25">
      <c r="A672" s="224" t="s">
        <v>1099</v>
      </c>
      <c r="B672" s="20" t="s">
        <v>1293</v>
      </c>
      <c r="C672" s="40" t="s">
        <v>241</v>
      </c>
      <c r="D672" s="40" t="s">
        <v>222</v>
      </c>
      <c r="E672" s="2"/>
      <c r="F672" s="2"/>
      <c r="G672" s="10">
        <f>G673</f>
        <v>50</v>
      </c>
      <c r="H672" s="10">
        <f>H673</f>
        <v>0</v>
      </c>
      <c r="I672" s="416">
        <f t="shared" si="102"/>
        <v>0</v>
      </c>
    </row>
    <row r="673" spans="1:9" s="202" customFormat="1" ht="31.5" x14ac:dyDescent="0.25">
      <c r="A673" s="25" t="s">
        <v>138</v>
      </c>
      <c r="B673" s="20" t="s">
        <v>1293</v>
      </c>
      <c r="C673" s="40" t="s">
        <v>241</v>
      </c>
      <c r="D673" s="40" t="s">
        <v>222</v>
      </c>
      <c r="E673" s="2">
        <v>200</v>
      </c>
      <c r="F673" s="2"/>
      <c r="G673" s="10">
        <f>G674</f>
        <v>50</v>
      </c>
      <c r="H673" s="10">
        <f>H674</f>
        <v>0</v>
      </c>
      <c r="I673" s="416">
        <f t="shared" si="102"/>
        <v>0</v>
      </c>
    </row>
    <row r="674" spans="1:9" s="202" customFormat="1" ht="31.5" x14ac:dyDescent="0.25">
      <c r="A674" s="25" t="s">
        <v>140</v>
      </c>
      <c r="B674" s="20" t="s">
        <v>1293</v>
      </c>
      <c r="C674" s="40" t="s">
        <v>241</v>
      </c>
      <c r="D674" s="40" t="s">
        <v>222</v>
      </c>
      <c r="E674" s="2">
        <v>240</v>
      </c>
      <c r="F674" s="2"/>
      <c r="G674" s="10">
        <f>'Пр.4 ведом.21'!G979</f>
        <v>50</v>
      </c>
      <c r="H674" s="10">
        <f>'Пр.4 ведом.21'!H979</f>
        <v>0</v>
      </c>
      <c r="I674" s="416">
        <f t="shared" si="102"/>
        <v>0</v>
      </c>
    </row>
    <row r="675" spans="1:9" s="202" customFormat="1" ht="36.75" customHeight="1" x14ac:dyDescent="0.25">
      <c r="A675" s="45" t="s">
        <v>631</v>
      </c>
      <c r="B675" s="20" t="s">
        <v>1293</v>
      </c>
      <c r="C675" s="40" t="s">
        <v>241</v>
      </c>
      <c r="D675" s="40" t="s">
        <v>222</v>
      </c>
      <c r="E675" s="2">
        <v>240</v>
      </c>
      <c r="F675" s="2">
        <v>908</v>
      </c>
      <c r="G675" s="10">
        <f>G674</f>
        <v>50</v>
      </c>
      <c r="H675" s="10">
        <f>H674</f>
        <v>0</v>
      </c>
      <c r="I675" s="416">
        <f t="shared" si="102"/>
        <v>0</v>
      </c>
    </row>
    <row r="676" spans="1:9" s="202" customFormat="1" ht="31.5" x14ac:dyDescent="0.25">
      <c r="A676" s="23" t="s">
        <v>901</v>
      </c>
      <c r="B676" s="24" t="s">
        <v>1311</v>
      </c>
      <c r="C676" s="7"/>
      <c r="D676" s="7"/>
      <c r="E676" s="3"/>
      <c r="F676" s="3"/>
      <c r="G676" s="59">
        <f>G677</f>
        <v>1857.2</v>
      </c>
      <c r="H676" s="59">
        <f>H677</f>
        <v>0</v>
      </c>
      <c r="I676" s="441">
        <f t="shared" si="102"/>
        <v>0</v>
      </c>
    </row>
    <row r="677" spans="1:9" s="202" customFormat="1" ht="15.75" x14ac:dyDescent="0.25">
      <c r="A677" s="73" t="s">
        <v>397</v>
      </c>
      <c r="B677" s="20" t="s">
        <v>1311</v>
      </c>
      <c r="C677" s="40" t="s">
        <v>241</v>
      </c>
      <c r="D677" s="40"/>
      <c r="E677" s="2"/>
      <c r="F677" s="2"/>
      <c r="G677" s="10">
        <f t="shared" ref="G677:H677" si="105">G678</f>
        <v>1857.2</v>
      </c>
      <c r="H677" s="10">
        <f t="shared" si="105"/>
        <v>0</v>
      </c>
      <c r="I677" s="416">
        <f t="shared" si="102"/>
        <v>0</v>
      </c>
    </row>
    <row r="678" spans="1:9" s="202" customFormat="1" ht="15.75" x14ac:dyDescent="0.25">
      <c r="A678" s="73" t="s">
        <v>548</v>
      </c>
      <c r="B678" s="20" t="s">
        <v>1311</v>
      </c>
      <c r="C678" s="40" t="s">
        <v>241</v>
      </c>
      <c r="D678" s="40" t="s">
        <v>222</v>
      </c>
      <c r="E678" s="2"/>
      <c r="F678" s="2"/>
      <c r="G678" s="10">
        <f>G679+G683</f>
        <v>1857.2</v>
      </c>
      <c r="H678" s="10">
        <f>H679+H683</f>
        <v>0</v>
      </c>
      <c r="I678" s="416">
        <f t="shared" si="102"/>
        <v>0</v>
      </c>
    </row>
    <row r="679" spans="1:9" s="202" customFormat="1" ht="31.5" hidden="1" x14ac:dyDescent="0.25">
      <c r="A679" s="25" t="s">
        <v>698</v>
      </c>
      <c r="B679" s="20" t="s">
        <v>1342</v>
      </c>
      <c r="C679" s="40" t="s">
        <v>241</v>
      </c>
      <c r="D679" s="40" t="s">
        <v>222</v>
      </c>
      <c r="E679" s="2"/>
      <c r="F679" s="2"/>
      <c r="G679" s="10">
        <f>G680</f>
        <v>0</v>
      </c>
      <c r="H679" s="10">
        <f>H680</f>
        <v>0</v>
      </c>
      <c r="I679" s="416" t="e">
        <f t="shared" si="102"/>
        <v>#DIV/0!</v>
      </c>
    </row>
    <row r="680" spans="1:9" s="202" customFormat="1" ht="31.5" hidden="1" x14ac:dyDescent="0.25">
      <c r="A680" s="25" t="s">
        <v>138</v>
      </c>
      <c r="B680" s="20" t="s">
        <v>1342</v>
      </c>
      <c r="C680" s="40" t="s">
        <v>241</v>
      </c>
      <c r="D680" s="40" t="s">
        <v>222</v>
      </c>
      <c r="E680" s="20" t="s">
        <v>139</v>
      </c>
      <c r="F680" s="2"/>
      <c r="G680" s="10">
        <f>G681</f>
        <v>0</v>
      </c>
      <c r="H680" s="10">
        <f>H681</f>
        <v>0</v>
      </c>
      <c r="I680" s="416" t="e">
        <f t="shared" si="102"/>
        <v>#DIV/0!</v>
      </c>
    </row>
    <row r="681" spans="1:9" s="202" customFormat="1" ht="31.5" hidden="1" x14ac:dyDescent="0.25">
      <c r="A681" s="25" t="s">
        <v>140</v>
      </c>
      <c r="B681" s="20" t="s">
        <v>1342</v>
      </c>
      <c r="C681" s="40" t="s">
        <v>241</v>
      </c>
      <c r="D681" s="40" t="s">
        <v>222</v>
      </c>
      <c r="E681" s="20" t="s">
        <v>141</v>
      </c>
      <c r="F681" s="2"/>
      <c r="G681" s="10">
        <f>'Пр.3 Рд,пр, ЦС,ВР 21'!F425</f>
        <v>0</v>
      </c>
      <c r="H681" s="10">
        <f>'Пр.3 Рд,пр, ЦС,ВР 21'!G425</f>
        <v>0</v>
      </c>
      <c r="I681" s="416" t="e">
        <f t="shared" si="102"/>
        <v>#DIV/0!</v>
      </c>
    </row>
    <row r="682" spans="1:9" s="202" customFormat="1" ht="31.5" hidden="1" x14ac:dyDescent="0.25">
      <c r="A682" s="45" t="s">
        <v>631</v>
      </c>
      <c r="B682" s="20" t="s">
        <v>1342</v>
      </c>
      <c r="C682" s="40" t="s">
        <v>241</v>
      </c>
      <c r="D682" s="40" t="s">
        <v>222</v>
      </c>
      <c r="E682" s="20" t="s">
        <v>141</v>
      </c>
      <c r="F682" s="2">
        <v>908</v>
      </c>
      <c r="G682" s="10">
        <f>G681</f>
        <v>0</v>
      </c>
      <c r="H682" s="10">
        <f>H681</f>
        <v>0</v>
      </c>
      <c r="I682" s="416" t="e">
        <f t="shared" si="102"/>
        <v>#DIV/0!</v>
      </c>
    </row>
    <row r="683" spans="1:9" s="202" customFormat="1" ht="63" x14ac:dyDescent="0.25">
      <c r="A683" s="25" t="s">
        <v>1081</v>
      </c>
      <c r="B683" s="20" t="s">
        <v>1310</v>
      </c>
      <c r="C683" s="40" t="s">
        <v>241</v>
      </c>
      <c r="D683" s="40" t="s">
        <v>222</v>
      </c>
      <c r="E683" s="20"/>
      <c r="F683" s="2"/>
      <c r="G683" s="10">
        <f>G684</f>
        <v>1857.2</v>
      </c>
      <c r="H683" s="10">
        <f>H684</f>
        <v>0</v>
      </c>
      <c r="I683" s="416">
        <f t="shared" si="102"/>
        <v>0</v>
      </c>
    </row>
    <row r="684" spans="1:9" s="202" customFormat="1" ht="31.5" x14ac:dyDescent="0.25">
      <c r="A684" s="25" t="s">
        <v>138</v>
      </c>
      <c r="B684" s="20" t="s">
        <v>1310</v>
      </c>
      <c r="C684" s="40" t="s">
        <v>241</v>
      </c>
      <c r="D684" s="40" t="s">
        <v>222</v>
      </c>
      <c r="E684" s="20" t="s">
        <v>139</v>
      </c>
      <c r="F684" s="2"/>
      <c r="G684" s="10">
        <f>G685</f>
        <v>1857.2</v>
      </c>
      <c r="H684" s="10">
        <f>H685</f>
        <v>0</v>
      </c>
      <c r="I684" s="416">
        <f t="shared" si="102"/>
        <v>0</v>
      </c>
    </row>
    <row r="685" spans="1:9" s="202" customFormat="1" ht="31.5" x14ac:dyDescent="0.25">
      <c r="A685" s="25" t="s">
        <v>140</v>
      </c>
      <c r="B685" s="20" t="s">
        <v>1310</v>
      </c>
      <c r="C685" s="40" t="s">
        <v>241</v>
      </c>
      <c r="D685" s="40" t="s">
        <v>222</v>
      </c>
      <c r="E685" s="20" t="s">
        <v>141</v>
      </c>
      <c r="F685" s="2"/>
      <c r="G685" s="10">
        <f>'Пр.3 Рд,пр, ЦС,ВР 21'!F428</f>
        <v>1857.2</v>
      </c>
      <c r="H685" s="10">
        <f>'Пр.3 Рд,пр, ЦС,ВР 21'!G428</f>
        <v>0</v>
      </c>
      <c r="I685" s="416">
        <f t="shared" si="102"/>
        <v>0</v>
      </c>
    </row>
    <row r="686" spans="1:9" s="202" customFormat="1" ht="38.25" customHeight="1" x14ac:dyDescent="0.25">
      <c r="A686" s="45" t="s">
        <v>631</v>
      </c>
      <c r="B686" s="20" t="s">
        <v>1310</v>
      </c>
      <c r="C686" s="40" t="s">
        <v>241</v>
      </c>
      <c r="D686" s="40" t="s">
        <v>222</v>
      </c>
      <c r="E686" s="20" t="s">
        <v>141</v>
      </c>
      <c r="F686" s="2">
        <v>908</v>
      </c>
      <c r="G686" s="10">
        <f>G685</f>
        <v>1857.2</v>
      </c>
      <c r="H686" s="10">
        <f>H685</f>
        <v>0</v>
      </c>
      <c r="I686" s="416">
        <f t="shared" si="102"/>
        <v>0</v>
      </c>
    </row>
    <row r="687" spans="1:9" ht="39.75" customHeight="1" x14ac:dyDescent="0.25">
      <c r="A687" s="34" t="s">
        <v>1361</v>
      </c>
      <c r="B687" s="196" t="s">
        <v>189</v>
      </c>
      <c r="C687" s="7"/>
      <c r="D687" s="7"/>
      <c r="E687" s="7"/>
      <c r="F687" s="3"/>
      <c r="G687" s="59">
        <f>G688+G695</f>
        <v>274</v>
      </c>
      <c r="H687" s="59">
        <f>H688+H695</f>
        <v>0</v>
      </c>
      <c r="I687" s="441">
        <f t="shared" si="102"/>
        <v>0</v>
      </c>
    </row>
    <row r="688" spans="1:9" s="202" customFormat="1" ht="31.5" x14ac:dyDescent="0.25">
      <c r="A688" s="34" t="s">
        <v>1016</v>
      </c>
      <c r="B688" s="196" t="s">
        <v>887</v>
      </c>
      <c r="C688" s="7"/>
      <c r="D688" s="7"/>
      <c r="E688" s="7"/>
      <c r="F688" s="3"/>
      <c r="G688" s="59">
        <f>G689</f>
        <v>274</v>
      </c>
      <c r="H688" s="59">
        <f>H689</f>
        <v>0</v>
      </c>
      <c r="I688" s="441">
        <f t="shared" si="102"/>
        <v>0</v>
      </c>
    </row>
    <row r="689" spans="1:9" ht="15.75" x14ac:dyDescent="0.25">
      <c r="A689" s="29" t="s">
        <v>239</v>
      </c>
      <c r="B689" s="5" t="s">
        <v>887</v>
      </c>
      <c r="C689" s="40" t="s">
        <v>157</v>
      </c>
      <c r="D689" s="40"/>
      <c r="E689" s="40"/>
      <c r="F689" s="2"/>
      <c r="G689" s="10">
        <f t="shared" ref="G689:H692" si="106">G690</f>
        <v>274</v>
      </c>
      <c r="H689" s="10">
        <f t="shared" si="106"/>
        <v>0</v>
      </c>
      <c r="I689" s="416">
        <f t="shared" si="102"/>
        <v>0</v>
      </c>
    </row>
    <row r="690" spans="1:9" ht="15.75" x14ac:dyDescent="0.25">
      <c r="A690" s="29" t="s">
        <v>240</v>
      </c>
      <c r="B690" s="30" t="s">
        <v>887</v>
      </c>
      <c r="C690" s="40" t="s">
        <v>157</v>
      </c>
      <c r="D690" s="40" t="s">
        <v>241</v>
      </c>
      <c r="E690" s="40"/>
      <c r="F690" s="2"/>
      <c r="G690" s="10">
        <f>G691</f>
        <v>274</v>
      </c>
      <c r="H690" s="10">
        <f>H691</f>
        <v>0</v>
      </c>
      <c r="I690" s="416">
        <f t="shared" si="102"/>
        <v>0</v>
      </c>
    </row>
    <row r="691" spans="1:9" ht="31.5" x14ac:dyDescent="0.25">
      <c r="A691" s="25" t="s">
        <v>242</v>
      </c>
      <c r="B691" s="20" t="s">
        <v>908</v>
      </c>
      <c r="C691" s="40" t="s">
        <v>157</v>
      </c>
      <c r="D691" s="40" t="s">
        <v>241</v>
      </c>
      <c r="E691" s="40"/>
      <c r="F691" s="2"/>
      <c r="G691" s="10">
        <f t="shared" si="106"/>
        <v>274</v>
      </c>
      <c r="H691" s="10">
        <f t="shared" si="106"/>
        <v>0</v>
      </c>
      <c r="I691" s="416">
        <f t="shared" si="102"/>
        <v>0</v>
      </c>
    </row>
    <row r="692" spans="1:9" ht="15.75" x14ac:dyDescent="0.25">
      <c r="A692" s="29" t="s">
        <v>142</v>
      </c>
      <c r="B692" s="20" t="s">
        <v>908</v>
      </c>
      <c r="C692" s="40" t="s">
        <v>157</v>
      </c>
      <c r="D692" s="40" t="s">
        <v>241</v>
      </c>
      <c r="E692" s="40" t="s">
        <v>152</v>
      </c>
      <c r="F692" s="2"/>
      <c r="G692" s="10">
        <f t="shared" si="106"/>
        <v>274</v>
      </c>
      <c r="H692" s="10">
        <f t="shared" si="106"/>
        <v>0</v>
      </c>
      <c r="I692" s="416">
        <f t="shared" si="102"/>
        <v>0</v>
      </c>
    </row>
    <row r="693" spans="1:9" ht="47.25" x14ac:dyDescent="0.25">
      <c r="A693" s="29" t="s">
        <v>191</v>
      </c>
      <c r="B693" s="20" t="s">
        <v>908</v>
      </c>
      <c r="C693" s="40" t="s">
        <v>157</v>
      </c>
      <c r="D693" s="40" t="s">
        <v>241</v>
      </c>
      <c r="E693" s="40" t="s">
        <v>167</v>
      </c>
      <c r="F693" s="2"/>
      <c r="G693" s="10">
        <f>'Пр.4 ведом.21'!G189</f>
        <v>274</v>
      </c>
      <c r="H693" s="10">
        <f>'Пр.4 ведом.21'!H189</f>
        <v>0</v>
      </c>
      <c r="I693" s="416">
        <f t="shared" si="102"/>
        <v>0</v>
      </c>
    </row>
    <row r="694" spans="1:9" ht="23.25" customHeight="1" x14ac:dyDescent="0.25">
      <c r="A694" s="29" t="s">
        <v>155</v>
      </c>
      <c r="B694" s="20" t="s">
        <v>908</v>
      </c>
      <c r="C694" s="40" t="s">
        <v>157</v>
      </c>
      <c r="D694" s="40" t="s">
        <v>241</v>
      </c>
      <c r="E694" s="40" t="s">
        <v>167</v>
      </c>
      <c r="F694" s="2">
        <v>902</v>
      </c>
      <c r="G694" s="10">
        <f>G693</f>
        <v>274</v>
      </c>
      <c r="H694" s="10">
        <f>H693</f>
        <v>0</v>
      </c>
      <c r="I694" s="416">
        <f t="shared" si="102"/>
        <v>0</v>
      </c>
    </row>
    <row r="695" spans="1:9" s="202" customFormat="1" ht="47.25" hidden="1" x14ac:dyDescent="0.25">
      <c r="A695" s="209" t="s">
        <v>1017</v>
      </c>
      <c r="B695" s="24" t="s">
        <v>889</v>
      </c>
      <c r="C695" s="40"/>
      <c r="D695" s="40"/>
      <c r="E695" s="40"/>
      <c r="F695" s="2"/>
      <c r="G695" s="10">
        <f t="shared" ref="G695:H699" si="107">G696</f>
        <v>0</v>
      </c>
      <c r="H695" s="10">
        <f t="shared" si="107"/>
        <v>0</v>
      </c>
      <c r="I695" s="416" t="e">
        <f t="shared" si="102"/>
        <v>#DIV/0!</v>
      </c>
    </row>
    <row r="696" spans="1:9" s="202" customFormat="1" ht="15.75" hidden="1" x14ac:dyDescent="0.25">
      <c r="A696" s="29" t="s">
        <v>239</v>
      </c>
      <c r="B696" s="20" t="s">
        <v>889</v>
      </c>
      <c r="C696" s="40" t="s">
        <v>157</v>
      </c>
      <c r="D696" s="40"/>
      <c r="E696" s="40"/>
      <c r="F696" s="2"/>
      <c r="G696" s="10">
        <f t="shared" si="107"/>
        <v>0</v>
      </c>
      <c r="H696" s="10">
        <f t="shared" si="107"/>
        <v>0</v>
      </c>
      <c r="I696" s="416" t="e">
        <f t="shared" si="102"/>
        <v>#DIV/0!</v>
      </c>
    </row>
    <row r="697" spans="1:9" s="202" customFormat="1" ht="15.75" hidden="1" x14ac:dyDescent="0.25">
      <c r="A697" s="29" t="s">
        <v>240</v>
      </c>
      <c r="B697" s="20" t="s">
        <v>889</v>
      </c>
      <c r="C697" s="40" t="s">
        <v>157</v>
      </c>
      <c r="D697" s="40" t="s">
        <v>241</v>
      </c>
      <c r="E697" s="40"/>
      <c r="F697" s="2"/>
      <c r="G697" s="10">
        <f t="shared" si="107"/>
        <v>0</v>
      </c>
      <c r="H697" s="10">
        <f t="shared" si="107"/>
        <v>0</v>
      </c>
      <c r="I697" s="416" t="e">
        <f t="shared" si="102"/>
        <v>#DIV/0!</v>
      </c>
    </row>
    <row r="698" spans="1:9" s="202" customFormat="1" ht="15.75" hidden="1" x14ac:dyDescent="0.25">
      <c r="A698" s="25" t="s">
        <v>888</v>
      </c>
      <c r="B698" s="5" t="s">
        <v>909</v>
      </c>
      <c r="C698" s="40" t="s">
        <v>157</v>
      </c>
      <c r="D698" s="40" t="s">
        <v>241</v>
      </c>
      <c r="E698" s="40"/>
      <c r="F698" s="2"/>
      <c r="G698" s="10">
        <f t="shared" si="107"/>
        <v>0</v>
      </c>
      <c r="H698" s="10">
        <f t="shared" si="107"/>
        <v>0</v>
      </c>
      <c r="I698" s="416" t="e">
        <f t="shared" si="102"/>
        <v>#DIV/0!</v>
      </c>
    </row>
    <row r="699" spans="1:9" s="202" customFormat="1" ht="15.75" hidden="1" x14ac:dyDescent="0.25">
      <c r="A699" s="29" t="s">
        <v>142</v>
      </c>
      <c r="B699" s="5" t="s">
        <v>909</v>
      </c>
      <c r="C699" s="40" t="s">
        <v>157</v>
      </c>
      <c r="D699" s="40" t="s">
        <v>241</v>
      </c>
      <c r="E699" s="40" t="s">
        <v>152</v>
      </c>
      <c r="F699" s="2"/>
      <c r="G699" s="10">
        <f t="shared" si="107"/>
        <v>0</v>
      </c>
      <c r="H699" s="10">
        <f t="shared" si="107"/>
        <v>0</v>
      </c>
      <c r="I699" s="416" t="e">
        <f t="shared" si="102"/>
        <v>#DIV/0!</v>
      </c>
    </row>
    <row r="700" spans="1:9" s="202" customFormat="1" ht="47.25" hidden="1" x14ac:dyDescent="0.25">
      <c r="A700" s="29" t="s">
        <v>191</v>
      </c>
      <c r="B700" s="5" t="s">
        <v>909</v>
      </c>
      <c r="C700" s="40" t="s">
        <v>157</v>
      </c>
      <c r="D700" s="40" t="s">
        <v>241</v>
      </c>
      <c r="E700" s="40" t="s">
        <v>167</v>
      </c>
      <c r="F700" s="2"/>
      <c r="G700" s="10">
        <f>'Пр.3 Рд,пр, ЦС,ВР 21'!F252</f>
        <v>0</v>
      </c>
      <c r="H700" s="10">
        <f>'Пр.3 Рд,пр, ЦС,ВР 21'!G252</f>
        <v>0</v>
      </c>
      <c r="I700" s="416" t="e">
        <f t="shared" si="102"/>
        <v>#DIV/0!</v>
      </c>
    </row>
    <row r="701" spans="1:9" s="202" customFormat="1" ht="19.5" hidden="1" customHeight="1" x14ac:dyDescent="0.25">
      <c r="A701" s="29" t="s">
        <v>155</v>
      </c>
      <c r="B701" s="5" t="s">
        <v>909</v>
      </c>
      <c r="C701" s="40" t="s">
        <v>157</v>
      </c>
      <c r="D701" s="40" t="s">
        <v>241</v>
      </c>
      <c r="E701" s="40" t="s">
        <v>167</v>
      </c>
      <c r="F701" s="2">
        <v>902</v>
      </c>
      <c r="G701" s="10">
        <f>G700</f>
        <v>0</v>
      </c>
      <c r="H701" s="10">
        <f>H700</f>
        <v>0</v>
      </c>
      <c r="I701" s="416" t="e">
        <f t="shared" si="102"/>
        <v>#DIV/0!</v>
      </c>
    </row>
    <row r="702" spans="1:9" ht="52.5" hidden="1" customHeight="1" x14ac:dyDescent="0.25">
      <c r="A702" s="41" t="s">
        <v>1574</v>
      </c>
      <c r="B702" s="7" t="s">
        <v>525</v>
      </c>
      <c r="C702" s="7"/>
      <c r="D702" s="7"/>
      <c r="E702" s="72"/>
      <c r="F702" s="3"/>
      <c r="G702" s="59">
        <f>G703+G710+G717+G724+G731+G738+G745</f>
        <v>390</v>
      </c>
      <c r="H702" s="59">
        <f>H703+H710+H717+H724+H731+H738+H745</f>
        <v>389.95100000000002</v>
      </c>
      <c r="I702" s="416">
        <f t="shared" si="102"/>
        <v>99.987435897435901</v>
      </c>
    </row>
    <row r="703" spans="1:9" s="202" customFormat="1" ht="31.7" hidden="1" customHeight="1" x14ac:dyDescent="0.25">
      <c r="A703" s="23" t="s">
        <v>973</v>
      </c>
      <c r="B703" s="24" t="s">
        <v>975</v>
      </c>
      <c r="C703" s="40"/>
      <c r="D703" s="40"/>
      <c r="E703" s="40"/>
      <c r="F703" s="2"/>
      <c r="G703" s="59">
        <f>G704</f>
        <v>0</v>
      </c>
      <c r="H703" s="59">
        <f>H704</f>
        <v>0</v>
      </c>
      <c r="I703" s="416" t="e">
        <f t="shared" si="102"/>
        <v>#DIV/0!</v>
      </c>
    </row>
    <row r="704" spans="1:9" s="202" customFormat="1" ht="18" hidden="1" customHeight="1" x14ac:dyDescent="0.25">
      <c r="A704" s="29" t="s">
        <v>397</v>
      </c>
      <c r="B704" s="40" t="s">
        <v>975</v>
      </c>
      <c r="C704" s="40" t="s">
        <v>241</v>
      </c>
      <c r="D704" s="40"/>
      <c r="E704" s="73"/>
      <c r="F704" s="2"/>
      <c r="G704" s="10">
        <f t="shared" ref="G704:H704" si="108">G705</f>
        <v>0</v>
      </c>
      <c r="H704" s="10">
        <f t="shared" si="108"/>
        <v>0</v>
      </c>
      <c r="I704" s="416" t="e">
        <f t="shared" si="102"/>
        <v>#DIV/0!</v>
      </c>
    </row>
    <row r="705" spans="1:9" s="202" customFormat="1" ht="19.5" hidden="1" customHeight="1" x14ac:dyDescent="0.25">
      <c r="A705" s="29" t="s">
        <v>524</v>
      </c>
      <c r="B705" s="40" t="s">
        <v>975</v>
      </c>
      <c r="C705" s="40" t="s">
        <v>241</v>
      </c>
      <c r="D705" s="40" t="s">
        <v>220</v>
      </c>
      <c r="E705" s="73"/>
      <c r="F705" s="2"/>
      <c r="G705" s="10">
        <f>G706</f>
        <v>0</v>
      </c>
      <c r="H705" s="10">
        <f>H706</f>
        <v>0</v>
      </c>
      <c r="I705" s="416" t="e">
        <f t="shared" si="102"/>
        <v>#DIV/0!</v>
      </c>
    </row>
    <row r="706" spans="1:9" ht="15.75" hidden="1" x14ac:dyDescent="0.25">
      <c r="A706" s="45" t="s">
        <v>528</v>
      </c>
      <c r="B706" s="20" t="s">
        <v>976</v>
      </c>
      <c r="C706" s="40" t="s">
        <v>241</v>
      </c>
      <c r="D706" s="40" t="s">
        <v>220</v>
      </c>
      <c r="E706" s="40"/>
      <c r="F706" s="2"/>
      <c r="G706" s="10">
        <f t="shared" ref="G706:H707" si="109">G707</f>
        <v>0</v>
      </c>
      <c r="H706" s="10">
        <f t="shared" si="109"/>
        <v>0</v>
      </c>
      <c r="I706" s="416" t="e">
        <f t="shared" si="102"/>
        <v>#DIV/0!</v>
      </c>
    </row>
    <row r="707" spans="1:9" ht="31.5" hidden="1" x14ac:dyDescent="0.25">
      <c r="A707" s="31" t="s">
        <v>138</v>
      </c>
      <c r="B707" s="20" t="s">
        <v>976</v>
      </c>
      <c r="C707" s="40" t="s">
        <v>241</v>
      </c>
      <c r="D707" s="40" t="s">
        <v>220</v>
      </c>
      <c r="E707" s="40" t="s">
        <v>139</v>
      </c>
      <c r="F707" s="2"/>
      <c r="G707" s="10">
        <f t="shared" si="109"/>
        <v>0</v>
      </c>
      <c r="H707" s="10">
        <f t="shared" si="109"/>
        <v>0</v>
      </c>
      <c r="I707" s="416" t="e">
        <f t="shared" si="102"/>
        <v>#DIV/0!</v>
      </c>
    </row>
    <row r="708" spans="1:9" ht="31.5" hidden="1" x14ac:dyDescent="0.25">
      <c r="A708" s="31" t="s">
        <v>140</v>
      </c>
      <c r="B708" s="20" t="s">
        <v>976</v>
      </c>
      <c r="C708" s="40" t="s">
        <v>241</v>
      </c>
      <c r="D708" s="40" t="s">
        <v>220</v>
      </c>
      <c r="E708" s="40" t="s">
        <v>141</v>
      </c>
      <c r="F708" s="2"/>
      <c r="G708" s="10">
        <f>'Пр.3 Рд,пр, ЦС,ВР 21'!F354</f>
        <v>0</v>
      </c>
      <c r="H708" s="10">
        <f>'Пр.3 Рд,пр, ЦС,ВР 21'!G354</f>
        <v>0</v>
      </c>
      <c r="I708" s="416" t="e">
        <f t="shared" si="102"/>
        <v>#DIV/0!</v>
      </c>
    </row>
    <row r="709" spans="1:9" s="202" customFormat="1" ht="36.75" hidden="1" customHeight="1" x14ac:dyDescent="0.25">
      <c r="A709" s="45" t="s">
        <v>631</v>
      </c>
      <c r="B709" s="20" t="s">
        <v>976</v>
      </c>
      <c r="C709" s="40" t="s">
        <v>241</v>
      </c>
      <c r="D709" s="40" t="s">
        <v>220</v>
      </c>
      <c r="E709" s="40" t="s">
        <v>141</v>
      </c>
      <c r="F709" s="2">
        <v>908</v>
      </c>
      <c r="G709" s="6">
        <f>G708</f>
        <v>0</v>
      </c>
      <c r="H709" s="6">
        <f>H708</f>
        <v>0</v>
      </c>
      <c r="I709" s="416" t="e">
        <f t="shared" si="102"/>
        <v>#DIV/0!</v>
      </c>
    </row>
    <row r="710" spans="1:9" s="202" customFormat="1" ht="31.5" hidden="1" x14ac:dyDescent="0.25">
      <c r="A710" s="34" t="s">
        <v>977</v>
      </c>
      <c r="B710" s="24" t="s">
        <v>978</v>
      </c>
      <c r="C710" s="40"/>
      <c r="D710" s="40"/>
      <c r="E710" s="40"/>
      <c r="F710" s="2"/>
      <c r="G710" s="59">
        <f>G711</f>
        <v>390</v>
      </c>
      <c r="H710" s="59">
        <f>H711</f>
        <v>389.95100000000002</v>
      </c>
      <c r="I710" s="416">
        <f t="shared" si="102"/>
        <v>99.987435897435901</v>
      </c>
    </row>
    <row r="711" spans="1:9" s="202" customFormat="1" ht="15.75" hidden="1" x14ac:dyDescent="0.25">
      <c r="A711" s="29" t="s">
        <v>397</v>
      </c>
      <c r="B711" s="40" t="s">
        <v>978</v>
      </c>
      <c r="C711" s="40" t="s">
        <v>241</v>
      </c>
      <c r="D711" s="40"/>
      <c r="E711" s="73"/>
      <c r="F711" s="2"/>
      <c r="G711" s="10">
        <f t="shared" ref="G711:H711" si="110">G712</f>
        <v>390</v>
      </c>
      <c r="H711" s="10">
        <f t="shared" si="110"/>
        <v>389.95100000000002</v>
      </c>
      <c r="I711" s="416">
        <f t="shared" si="102"/>
        <v>99.987435897435901</v>
      </c>
    </row>
    <row r="712" spans="1:9" s="202" customFormat="1" ht="15.75" hidden="1" x14ac:dyDescent="0.25">
      <c r="A712" s="29" t="s">
        <v>524</v>
      </c>
      <c r="B712" s="40" t="s">
        <v>978</v>
      </c>
      <c r="C712" s="40" t="s">
        <v>241</v>
      </c>
      <c r="D712" s="40" t="s">
        <v>220</v>
      </c>
      <c r="E712" s="73"/>
      <c r="F712" s="2"/>
      <c r="G712" s="10">
        <f>G713</f>
        <v>390</v>
      </c>
      <c r="H712" s="10">
        <f>H713</f>
        <v>389.95100000000002</v>
      </c>
      <c r="I712" s="416">
        <f t="shared" si="102"/>
        <v>99.987435897435901</v>
      </c>
    </row>
    <row r="713" spans="1:9" ht="15.75" hidden="1" customHeight="1" x14ac:dyDescent="0.25">
      <c r="A713" s="45" t="s">
        <v>530</v>
      </c>
      <c r="B713" s="20" t="s">
        <v>981</v>
      </c>
      <c r="C713" s="40" t="s">
        <v>241</v>
      </c>
      <c r="D713" s="40" t="s">
        <v>220</v>
      </c>
      <c r="E713" s="40"/>
      <c r="F713" s="2"/>
      <c r="G713" s="10">
        <f>G714</f>
        <v>390</v>
      </c>
      <c r="H713" s="10">
        <f>H714</f>
        <v>389.95100000000002</v>
      </c>
      <c r="I713" s="416">
        <f t="shared" si="102"/>
        <v>99.987435897435901</v>
      </c>
    </row>
    <row r="714" spans="1:9" ht="31.7" hidden="1" customHeight="1" x14ac:dyDescent="0.25">
      <c r="A714" s="31" t="s">
        <v>138</v>
      </c>
      <c r="B714" s="20" t="s">
        <v>981</v>
      </c>
      <c r="C714" s="40" t="s">
        <v>241</v>
      </c>
      <c r="D714" s="40" t="s">
        <v>220</v>
      </c>
      <c r="E714" s="40" t="s">
        <v>139</v>
      </c>
      <c r="F714" s="2"/>
      <c r="G714" s="10">
        <f t="shared" ref="G714:H714" si="111">G715</f>
        <v>390</v>
      </c>
      <c r="H714" s="10">
        <f t="shared" si="111"/>
        <v>389.95100000000002</v>
      </c>
      <c r="I714" s="416">
        <f t="shared" si="102"/>
        <v>99.987435897435901</v>
      </c>
    </row>
    <row r="715" spans="1:9" ht="31.7" hidden="1" customHeight="1" x14ac:dyDescent="0.25">
      <c r="A715" s="31" t="s">
        <v>140</v>
      </c>
      <c r="B715" s="20" t="s">
        <v>981</v>
      </c>
      <c r="C715" s="40" t="s">
        <v>241</v>
      </c>
      <c r="D715" s="40" t="s">
        <v>220</v>
      </c>
      <c r="E715" s="40" t="s">
        <v>141</v>
      </c>
      <c r="F715" s="2"/>
      <c r="G715" s="10">
        <f>'Пр.3 Рд,пр, ЦС,ВР 21'!F358</f>
        <v>390</v>
      </c>
      <c r="H715" s="10">
        <f>'Пр.3 Рд,пр, ЦС,ВР 21'!G358</f>
        <v>389.95100000000002</v>
      </c>
      <c r="I715" s="416">
        <f t="shared" si="102"/>
        <v>99.987435897435901</v>
      </c>
    </row>
    <row r="716" spans="1:9" s="202" customFormat="1" ht="31.7" hidden="1" customHeight="1" x14ac:dyDescent="0.25">
      <c r="A716" s="45" t="s">
        <v>631</v>
      </c>
      <c r="B716" s="20" t="s">
        <v>981</v>
      </c>
      <c r="C716" s="40" t="s">
        <v>241</v>
      </c>
      <c r="D716" s="40" t="s">
        <v>220</v>
      </c>
      <c r="E716" s="40" t="s">
        <v>141</v>
      </c>
      <c r="F716" s="2">
        <v>908</v>
      </c>
      <c r="G716" s="6">
        <f>G715</f>
        <v>390</v>
      </c>
      <c r="H716" s="6">
        <f>H715</f>
        <v>389.95100000000002</v>
      </c>
      <c r="I716" s="416">
        <f t="shared" si="102"/>
        <v>99.987435897435901</v>
      </c>
    </row>
    <row r="717" spans="1:9" s="202" customFormat="1" ht="35.450000000000003" hidden="1" customHeight="1" x14ac:dyDescent="0.25">
      <c r="A717" s="58" t="s">
        <v>979</v>
      </c>
      <c r="B717" s="24" t="s">
        <v>980</v>
      </c>
      <c r="C717" s="40"/>
      <c r="D717" s="40"/>
      <c r="E717" s="40"/>
      <c r="F717" s="2"/>
      <c r="G717" s="59">
        <f>G718</f>
        <v>0</v>
      </c>
      <c r="H717" s="59">
        <f>H718</f>
        <v>0</v>
      </c>
      <c r="I717" s="416" t="e">
        <f t="shared" si="102"/>
        <v>#DIV/0!</v>
      </c>
    </row>
    <row r="718" spans="1:9" s="202" customFormat="1" ht="15.75" hidden="1" customHeight="1" x14ac:dyDescent="0.25">
      <c r="A718" s="29" t="s">
        <v>397</v>
      </c>
      <c r="B718" s="40" t="s">
        <v>980</v>
      </c>
      <c r="C718" s="40" t="s">
        <v>241</v>
      </c>
      <c r="D718" s="40"/>
      <c r="E718" s="73"/>
      <c r="F718" s="2"/>
      <c r="G718" s="10">
        <f t="shared" ref="G718:H718" si="112">G719</f>
        <v>0</v>
      </c>
      <c r="H718" s="10">
        <f t="shared" si="112"/>
        <v>0</v>
      </c>
      <c r="I718" s="416" t="e">
        <f t="shared" si="102"/>
        <v>#DIV/0!</v>
      </c>
    </row>
    <row r="719" spans="1:9" s="202" customFormat="1" ht="15.75" hidden="1" customHeight="1" x14ac:dyDescent="0.25">
      <c r="A719" s="29" t="s">
        <v>524</v>
      </c>
      <c r="B719" s="40" t="s">
        <v>980</v>
      </c>
      <c r="C719" s="40" t="s">
        <v>241</v>
      </c>
      <c r="D719" s="40" t="s">
        <v>220</v>
      </c>
      <c r="E719" s="73"/>
      <c r="F719" s="2"/>
      <c r="G719" s="10">
        <f>G720</f>
        <v>0</v>
      </c>
      <c r="H719" s="10">
        <f>H720</f>
        <v>0</v>
      </c>
      <c r="I719" s="416" t="e">
        <f t="shared" si="102"/>
        <v>#DIV/0!</v>
      </c>
    </row>
    <row r="720" spans="1:9" ht="15.75" hidden="1" customHeight="1" x14ac:dyDescent="0.25">
      <c r="A720" s="45" t="s">
        <v>532</v>
      </c>
      <c r="B720" s="20" t="s">
        <v>982</v>
      </c>
      <c r="C720" s="40" t="s">
        <v>241</v>
      </c>
      <c r="D720" s="40" t="s">
        <v>220</v>
      </c>
      <c r="E720" s="40"/>
      <c r="F720" s="2"/>
      <c r="G720" s="10">
        <f>G721</f>
        <v>0</v>
      </c>
      <c r="H720" s="10">
        <f>H721</f>
        <v>0</v>
      </c>
      <c r="I720" s="416" t="e">
        <f t="shared" si="102"/>
        <v>#DIV/0!</v>
      </c>
    </row>
    <row r="721" spans="1:9" ht="31.7" hidden="1" customHeight="1" x14ac:dyDescent="0.25">
      <c r="A721" s="31" t="s">
        <v>138</v>
      </c>
      <c r="B721" s="20" t="s">
        <v>982</v>
      </c>
      <c r="C721" s="40" t="s">
        <v>241</v>
      </c>
      <c r="D721" s="40" t="s">
        <v>220</v>
      </c>
      <c r="E721" s="40" t="s">
        <v>139</v>
      </c>
      <c r="F721" s="2"/>
      <c r="G721" s="10">
        <f t="shared" ref="G721:H721" si="113">G722</f>
        <v>0</v>
      </c>
      <c r="H721" s="10">
        <f t="shared" si="113"/>
        <v>0</v>
      </c>
      <c r="I721" s="416" t="e">
        <f t="shared" si="102"/>
        <v>#DIV/0!</v>
      </c>
    </row>
    <row r="722" spans="1:9" ht="31.7" hidden="1" customHeight="1" x14ac:dyDescent="0.25">
      <c r="A722" s="31" t="s">
        <v>140</v>
      </c>
      <c r="B722" s="20" t="s">
        <v>982</v>
      </c>
      <c r="C722" s="40" t="s">
        <v>241</v>
      </c>
      <c r="D722" s="40" t="s">
        <v>220</v>
      </c>
      <c r="E722" s="40" t="s">
        <v>141</v>
      </c>
      <c r="F722" s="2"/>
      <c r="G722" s="10">
        <f>'Пр.3 Рд,пр, ЦС,ВР 21'!F362</f>
        <v>0</v>
      </c>
      <c r="H722" s="10">
        <f>'Пр.3 Рд,пр, ЦС,ВР 21'!G362</f>
        <v>0</v>
      </c>
      <c r="I722" s="416" t="e">
        <f t="shared" ref="I722:I785" si="114">H722/G722*100</f>
        <v>#DIV/0!</v>
      </c>
    </row>
    <row r="723" spans="1:9" s="202" customFormat="1" ht="31.7" hidden="1" customHeight="1" x14ac:dyDescent="0.25">
      <c r="A723" s="45" t="s">
        <v>631</v>
      </c>
      <c r="B723" s="20" t="s">
        <v>982</v>
      </c>
      <c r="C723" s="40" t="s">
        <v>241</v>
      </c>
      <c r="D723" s="40" t="s">
        <v>220</v>
      </c>
      <c r="E723" s="40" t="s">
        <v>141</v>
      </c>
      <c r="F723" s="2">
        <v>908</v>
      </c>
      <c r="G723" s="6">
        <f>G722</f>
        <v>0</v>
      </c>
      <c r="H723" s="6">
        <f>H722</f>
        <v>0</v>
      </c>
      <c r="I723" s="416" t="e">
        <f t="shared" si="114"/>
        <v>#DIV/0!</v>
      </c>
    </row>
    <row r="724" spans="1:9" s="202" customFormat="1" ht="35.450000000000003" hidden="1" customHeight="1" x14ac:dyDescent="0.25">
      <c r="A724" s="58" t="s">
        <v>983</v>
      </c>
      <c r="B724" s="24" t="s">
        <v>984</v>
      </c>
      <c r="C724" s="40"/>
      <c r="D724" s="40"/>
      <c r="E724" s="40"/>
      <c r="F724" s="2"/>
      <c r="G724" s="59">
        <f t="shared" ref="G724:H726" si="115">G725</f>
        <v>0</v>
      </c>
      <c r="H724" s="59">
        <f t="shared" si="115"/>
        <v>0</v>
      </c>
      <c r="I724" s="416" t="e">
        <f t="shared" si="114"/>
        <v>#DIV/0!</v>
      </c>
    </row>
    <row r="725" spans="1:9" s="202" customFormat="1" ht="15.75" hidden="1" customHeight="1" x14ac:dyDescent="0.25">
      <c r="A725" s="29" t="s">
        <v>397</v>
      </c>
      <c r="B725" s="40" t="s">
        <v>984</v>
      </c>
      <c r="C725" s="40" t="s">
        <v>241</v>
      </c>
      <c r="D725" s="40"/>
      <c r="E725" s="73"/>
      <c r="F725" s="2"/>
      <c r="G725" s="10">
        <f t="shared" si="115"/>
        <v>0</v>
      </c>
      <c r="H725" s="10">
        <f t="shared" si="115"/>
        <v>0</v>
      </c>
      <c r="I725" s="416" t="e">
        <f t="shared" si="114"/>
        <v>#DIV/0!</v>
      </c>
    </row>
    <row r="726" spans="1:9" s="202" customFormat="1" ht="15.75" hidden="1" customHeight="1" x14ac:dyDescent="0.25">
      <c r="A726" s="29" t="s">
        <v>524</v>
      </c>
      <c r="B726" s="40" t="s">
        <v>984</v>
      </c>
      <c r="C726" s="40" t="s">
        <v>241</v>
      </c>
      <c r="D726" s="40" t="s">
        <v>220</v>
      </c>
      <c r="E726" s="73"/>
      <c r="F726" s="2"/>
      <c r="G726" s="10">
        <f t="shared" si="115"/>
        <v>0</v>
      </c>
      <c r="H726" s="10">
        <f t="shared" si="115"/>
        <v>0</v>
      </c>
      <c r="I726" s="416" t="e">
        <f t="shared" si="114"/>
        <v>#DIV/0!</v>
      </c>
    </row>
    <row r="727" spans="1:9" ht="15.75" hidden="1" x14ac:dyDescent="0.25">
      <c r="A727" s="45" t="s">
        <v>534</v>
      </c>
      <c r="B727" s="20" t="s">
        <v>985</v>
      </c>
      <c r="C727" s="40" t="s">
        <v>241</v>
      </c>
      <c r="D727" s="40" t="s">
        <v>220</v>
      </c>
      <c r="E727" s="40"/>
      <c r="F727" s="2"/>
      <c r="G727" s="10">
        <f t="shared" ref="G727:H728" si="116">G728</f>
        <v>0</v>
      </c>
      <c r="H727" s="10">
        <f t="shared" si="116"/>
        <v>0</v>
      </c>
      <c r="I727" s="416" t="e">
        <f t="shared" si="114"/>
        <v>#DIV/0!</v>
      </c>
    </row>
    <row r="728" spans="1:9" ht="31.5" hidden="1" x14ac:dyDescent="0.25">
      <c r="A728" s="31" t="s">
        <v>138</v>
      </c>
      <c r="B728" s="20" t="s">
        <v>985</v>
      </c>
      <c r="C728" s="40" t="s">
        <v>241</v>
      </c>
      <c r="D728" s="40" t="s">
        <v>220</v>
      </c>
      <c r="E728" s="40" t="s">
        <v>139</v>
      </c>
      <c r="F728" s="2"/>
      <c r="G728" s="10">
        <f t="shared" si="116"/>
        <v>0</v>
      </c>
      <c r="H728" s="10">
        <f t="shared" si="116"/>
        <v>0</v>
      </c>
      <c r="I728" s="416" t="e">
        <f t="shared" si="114"/>
        <v>#DIV/0!</v>
      </c>
    </row>
    <row r="729" spans="1:9" ht="31.5" hidden="1" x14ac:dyDescent="0.25">
      <c r="A729" s="31" t="s">
        <v>140</v>
      </c>
      <c r="B729" s="20" t="s">
        <v>985</v>
      </c>
      <c r="C729" s="40" t="s">
        <v>241</v>
      </c>
      <c r="D729" s="40" t="s">
        <v>220</v>
      </c>
      <c r="E729" s="40" t="s">
        <v>141</v>
      </c>
      <c r="F729" s="2"/>
      <c r="G729" s="10">
        <f>'Пр.3 Рд,пр, ЦС,ВР 21'!F366</f>
        <v>0</v>
      </c>
      <c r="H729" s="10">
        <f>'Пр.3 Рд,пр, ЦС,ВР 21'!G366</f>
        <v>0</v>
      </c>
      <c r="I729" s="416" t="e">
        <f t="shared" si="114"/>
        <v>#DIV/0!</v>
      </c>
    </row>
    <row r="730" spans="1:9" s="202" customFormat="1" ht="39.200000000000003" hidden="1" customHeight="1" x14ac:dyDescent="0.25">
      <c r="A730" s="45" t="s">
        <v>631</v>
      </c>
      <c r="B730" s="20" t="s">
        <v>985</v>
      </c>
      <c r="C730" s="40" t="s">
        <v>241</v>
      </c>
      <c r="D730" s="40" t="s">
        <v>220</v>
      </c>
      <c r="E730" s="40" t="s">
        <v>141</v>
      </c>
      <c r="F730" s="2">
        <v>908</v>
      </c>
      <c r="G730" s="6">
        <f>G729</f>
        <v>0</v>
      </c>
      <c r="H730" s="6">
        <f>H729</f>
        <v>0</v>
      </c>
      <c r="I730" s="416" t="e">
        <f t="shared" si="114"/>
        <v>#DIV/0!</v>
      </c>
    </row>
    <row r="731" spans="1:9" s="202" customFormat="1" ht="31.5" hidden="1" x14ac:dyDescent="0.25">
      <c r="A731" s="34" t="s">
        <v>1024</v>
      </c>
      <c r="B731" s="24" t="s">
        <v>1025</v>
      </c>
      <c r="C731" s="40"/>
      <c r="D731" s="40"/>
      <c r="E731" s="40"/>
      <c r="F731" s="2"/>
      <c r="G731" s="59">
        <f>G732</f>
        <v>0</v>
      </c>
      <c r="H731" s="59">
        <f>H732</f>
        <v>0</v>
      </c>
      <c r="I731" s="416" t="e">
        <f t="shared" si="114"/>
        <v>#DIV/0!</v>
      </c>
    </row>
    <row r="732" spans="1:9" s="202" customFormat="1" ht="15.75" hidden="1" x14ac:dyDescent="0.25">
      <c r="A732" s="29" t="s">
        <v>397</v>
      </c>
      <c r="B732" s="40" t="s">
        <v>525</v>
      </c>
      <c r="C732" s="40" t="s">
        <v>241</v>
      </c>
      <c r="D732" s="40"/>
      <c r="E732" s="73"/>
      <c r="F732" s="2"/>
      <c r="G732" s="10">
        <f t="shared" ref="G732:H732" si="117">G733</f>
        <v>0</v>
      </c>
      <c r="H732" s="10">
        <f t="shared" si="117"/>
        <v>0</v>
      </c>
      <c r="I732" s="416" t="e">
        <f t="shared" si="114"/>
        <v>#DIV/0!</v>
      </c>
    </row>
    <row r="733" spans="1:9" s="202" customFormat="1" ht="15.75" hidden="1" x14ac:dyDescent="0.25">
      <c r="A733" s="29" t="s">
        <v>524</v>
      </c>
      <c r="B733" s="40" t="s">
        <v>525</v>
      </c>
      <c r="C733" s="40" t="s">
        <v>241</v>
      </c>
      <c r="D733" s="40" t="s">
        <v>220</v>
      </c>
      <c r="E733" s="73"/>
      <c r="F733" s="2"/>
      <c r="G733" s="10">
        <f>G734</f>
        <v>0</v>
      </c>
      <c r="H733" s="10">
        <f>H734</f>
        <v>0</v>
      </c>
      <c r="I733" s="416" t="e">
        <f t="shared" si="114"/>
        <v>#DIV/0!</v>
      </c>
    </row>
    <row r="734" spans="1:9" ht="15.75" hidden="1" customHeight="1" x14ac:dyDescent="0.25">
      <c r="A734" s="45" t="s">
        <v>536</v>
      </c>
      <c r="B734" s="20" t="s">
        <v>1028</v>
      </c>
      <c r="C734" s="40" t="s">
        <v>241</v>
      </c>
      <c r="D734" s="40" t="s">
        <v>220</v>
      </c>
      <c r="E734" s="40"/>
      <c r="F734" s="2"/>
      <c r="G734" s="10">
        <f t="shared" ref="G734:H735" si="118">G735</f>
        <v>0</v>
      </c>
      <c r="H734" s="10">
        <f t="shared" si="118"/>
        <v>0</v>
      </c>
      <c r="I734" s="416" t="e">
        <f t="shared" si="114"/>
        <v>#DIV/0!</v>
      </c>
    </row>
    <row r="735" spans="1:9" ht="31.7" hidden="1" customHeight="1" x14ac:dyDescent="0.25">
      <c r="A735" s="31" t="s">
        <v>138</v>
      </c>
      <c r="B735" s="20" t="s">
        <v>1028</v>
      </c>
      <c r="C735" s="40" t="s">
        <v>241</v>
      </c>
      <c r="D735" s="40" t="s">
        <v>220</v>
      </c>
      <c r="E735" s="40" t="s">
        <v>139</v>
      </c>
      <c r="F735" s="2"/>
      <c r="G735" s="10">
        <f t="shared" si="118"/>
        <v>0</v>
      </c>
      <c r="H735" s="10">
        <f t="shared" si="118"/>
        <v>0</v>
      </c>
      <c r="I735" s="416" t="e">
        <f t="shared" si="114"/>
        <v>#DIV/0!</v>
      </c>
    </row>
    <row r="736" spans="1:9" ht="31.7" hidden="1" customHeight="1" x14ac:dyDescent="0.25">
      <c r="A736" s="31" t="s">
        <v>140</v>
      </c>
      <c r="B736" s="20" t="s">
        <v>1028</v>
      </c>
      <c r="C736" s="40" t="s">
        <v>241</v>
      </c>
      <c r="D736" s="40" t="s">
        <v>220</v>
      </c>
      <c r="E736" s="40" t="s">
        <v>141</v>
      </c>
      <c r="F736" s="2"/>
      <c r="G736" s="10">
        <f>'Пр.3 Рд,пр, ЦС,ВР 21'!F370</f>
        <v>0</v>
      </c>
      <c r="H736" s="10">
        <f>'Пр.3 Рд,пр, ЦС,ВР 21'!G370</f>
        <v>0</v>
      </c>
      <c r="I736" s="416" t="e">
        <f t="shared" si="114"/>
        <v>#DIV/0!</v>
      </c>
    </row>
    <row r="737" spans="1:9" s="202" customFormat="1" ht="31.7" hidden="1" customHeight="1" x14ac:dyDescent="0.25">
      <c r="A737" s="45" t="s">
        <v>631</v>
      </c>
      <c r="B737" s="20" t="s">
        <v>1028</v>
      </c>
      <c r="C737" s="40" t="s">
        <v>241</v>
      </c>
      <c r="D737" s="40" t="s">
        <v>220</v>
      </c>
      <c r="E737" s="40" t="s">
        <v>141</v>
      </c>
      <c r="F737" s="2">
        <v>908</v>
      </c>
      <c r="G737" s="6">
        <f>G736</f>
        <v>0</v>
      </c>
      <c r="H737" s="6">
        <f>H736</f>
        <v>0</v>
      </c>
      <c r="I737" s="416" t="e">
        <f t="shared" si="114"/>
        <v>#DIV/0!</v>
      </c>
    </row>
    <row r="738" spans="1:9" s="202" customFormat="1" ht="31.7" hidden="1" customHeight="1" x14ac:dyDescent="0.25">
      <c r="A738" s="215" t="s">
        <v>1026</v>
      </c>
      <c r="B738" s="24" t="s">
        <v>1027</v>
      </c>
      <c r="C738" s="40"/>
      <c r="D738" s="40"/>
      <c r="E738" s="40"/>
      <c r="F738" s="2"/>
      <c r="G738" s="59">
        <f>G739</f>
        <v>0</v>
      </c>
      <c r="H738" s="59">
        <f>H739</f>
        <v>0</v>
      </c>
      <c r="I738" s="416" t="e">
        <f t="shared" si="114"/>
        <v>#DIV/0!</v>
      </c>
    </row>
    <row r="739" spans="1:9" s="202" customFormat="1" ht="16.5" hidden="1" customHeight="1" x14ac:dyDescent="0.25">
      <c r="A739" s="29" t="s">
        <v>397</v>
      </c>
      <c r="B739" s="40" t="s">
        <v>525</v>
      </c>
      <c r="C739" s="40" t="s">
        <v>241</v>
      </c>
      <c r="D739" s="40"/>
      <c r="E739" s="73"/>
      <c r="F739" s="2"/>
      <c r="G739" s="10">
        <f t="shared" ref="G739:H739" si="119">G740</f>
        <v>0</v>
      </c>
      <c r="H739" s="10">
        <f t="shared" si="119"/>
        <v>0</v>
      </c>
      <c r="I739" s="416" t="e">
        <f t="shared" si="114"/>
        <v>#DIV/0!</v>
      </c>
    </row>
    <row r="740" spans="1:9" s="202" customFormat="1" ht="19.5" hidden="1" customHeight="1" x14ac:dyDescent="0.25">
      <c r="A740" s="29" t="s">
        <v>524</v>
      </c>
      <c r="B740" s="40" t="s">
        <v>525</v>
      </c>
      <c r="C740" s="40" t="s">
        <v>241</v>
      </c>
      <c r="D740" s="40" t="s">
        <v>220</v>
      </c>
      <c r="E740" s="73"/>
      <c r="F740" s="2"/>
      <c r="G740" s="10">
        <f>G741</f>
        <v>0</v>
      </c>
      <c r="H740" s="10">
        <f>H741</f>
        <v>0</v>
      </c>
      <c r="I740" s="416" t="e">
        <f t="shared" si="114"/>
        <v>#DIV/0!</v>
      </c>
    </row>
    <row r="741" spans="1:9" ht="31.7" hidden="1" customHeight="1" x14ac:dyDescent="0.25">
      <c r="A741" s="176" t="s">
        <v>538</v>
      </c>
      <c r="B741" s="20" t="s">
        <v>1029</v>
      </c>
      <c r="C741" s="40" t="s">
        <v>241</v>
      </c>
      <c r="D741" s="40" t="s">
        <v>220</v>
      </c>
      <c r="E741" s="40"/>
      <c r="F741" s="2"/>
      <c r="G741" s="10">
        <f t="shared" ref="G741:H742" si="120">G742</f>
        <v>0</v>
      </c>
      <c r="H741" s="10">
        <f t="shared" si="120"/>
        <v>0</v>
      </c>
      <c r="I741" s="416" t="e">
        <f t="shared" si="114"/>
        <v>#DIV/0!</v>
      </c>
    </row>
    <row r="742" spans="1:9" ht="31.7" hidden="1" customHeight="1" x14ac:dyDescent="0.25">
      <c r="A742" s="31" t="s">
        <v>138</v>
      </c>
      <c r="B742" s="20" t="s">
        <v>1029</v>
      </c>
      <c r="C742" s="40" t="s">
        <v>241</v>
      </c>
      <c r="D742" s="40" t="s">
        <v>220</v>
      </c>
      <c r="E742" s="40" t="s">
        <v>139</v>
      </c>
      <c r="F742" s="2"/>
      <c r="G742" s="10">
        <f t="shared" si="120"/>
        <v>0</v>
      </c>
      <c r="H742" s="10">
        <f t="shared" si="120"/>
        <v>0</v>
      </c>
      <c r="I742" s="416" t="e">
        <f t="shared" si="114"/>
        <v>#DIV/0!</v>
      </c>
    </row>
    <row r="743" spans="1:9" ht="31.7" hidden="1" customHeight="1" x14ac:dyDescent="0.25">
      <c r="A743" s="31" t="s">
        <v>140</v>
      </c>
      <c r="B743" s="20" t="s">
        <v>1029</v>
      </c>
      <c r="C743" s="40" t="s">
        <v>241</v>
      </c>
      <c r="D743" s="40" t="s">
        <v>220</v>
      </c>
      <c r="E743" s="40" t="s">
        <v>141</v>
      </c>
      <c r="F743" s="2"/>
      <c r="G743" s="10">
        <f>'Пр.3 Рд,пр, ЦС,ВР 21'!F374</f>
        <v>0</v>
      </c>
      <c r="H743" s="10">
        <f>'Пр.3 Рд,пр, ЦС,ВР 21'!G374</f>
        <v>0</v>
      </c>
      <c r="I743" s="416" t="e">
        <f t="shared" si="114"/>
        <v>#DIV/0!</v>
      </c>
    </row>
    <row r="744" spans="1:9" s="202" customFormat="1" ht="31.7" hidden="1" customHeight="1" x14ac:dyDescent="0.25">
      <c r="A744" s="45" t="s">
        <v>631</v>
      </c>
      <c r="B744" s="20" t="s">
        <v>1029</v>
      </c>
      <c r="C744" s="40" t="s">
        <v>241</v>
      </c>
      <c r="D744" s="40" t="s">
        <v>220</v>
      </c>
      <c r="E744" s="40" t="s">
        <v>141</v>
      </c>
      <c r="F744" s="2">
        <v>908</v>
      </c>
      <c r="G744" s="6">
        <f>G743</f>
        <v>0</v>
      </c>
      <c r="H744" s="6">
        <f>H743</f>
        <v>0</v>
      </c>
      <c r="I744" s="416" t="e">
        <f t="shared" si="114"/>
        <v>#DIV/0!</v>
      </c>
    </row>
    <row r="745" spans="1:9" s="202" customFormat="1" ht="31.7" hidden="1" customHeight="1" x14ac:dyDescent="0.25">
      <c r="A745" s="215" t="s">
        <v>987</v>
      </c>
      <c r="B745" s="24" t="s">
        <v>988</v>
      </c>
      <c r="C745" s="40"/>
      <c r="D745" s="40"/>
      <c r="E745" s="40"/>
      <c r="F745" s="2"/>
      <c r="G745" s="59">
        <f t="shared" ref="G745:H747" si="121">G746</f>
        <v>0</v>
      </c>
      <c r="H745" s="59">
        <f t="shared" si="121"/>
        <v>0</v>
      </c>
      <c r="I745" s="416" t="e">
        <f t="shared" si="114"/>
        <v>#DIV/0!</v>
      </c>
    </row>
    <row r="746" spans="1:9" s="202" customFormat="1" ht="17.45" hidden="1" customHeight="1" x14ac:dyDescent="0.25">
      <c r="A746" s="29" t="s">
        <v>397</v>
      </c>
      <c r="B746" s="40" t="s">
        <v>525</v>
      </c>
      <c r="C746" s="40" t="s">
        <v>241</v>
      </c>
      <c r="D746" s="40"/>
      <c r="E746" s="73"/>
      <c r="F746" s="2"/>
      <c r="G746" s="10">
        <f t="shared" si="121"/>
        <v>0</v>
      </c>
      <c r="H746" s="10">
        <f t="shared" si="121"/>
        <v>0</v>
      </c>
      <c r="I746" s="416" t="e">
        <f t="shared" si="114"/>
        <v>#DIV/0!</v>
      </c>
    </row>
    <row r="747" spans="1:9" s="202" customFormat="1" ht="20.25" hidden="1" customHeight="1" x14ac:dyDescent="0.25">
      <c r="A747" s="29" t="s">
        <v>524</v>
      </c>
      <c r="B747" s="40" t="s">
        <v>525</v>
      </c>
      <c r="C747" s="40" t="s">
        <v>241</v>
      </c>
      <c r="D747" s="40" t="s">
        <v>220</v>
      </c>
      <c r="E747" s="73"/>
      <c r="F747" s="2"/>
      <c r="G747" s="10">
        <f t="shared" si="121"/>
        <v>0</v>
      </c>
      <c r="H747" s="10">
        <f t="shared" si="121"/>
        <v>0</v>
      </c>
      <c r="I747" s="416" t="e">
        <f t="shared" si="114"/>
        <v>#DIV/0!</v>
      </c>
    </row>
    <row r="748" spans="1:9" ht="15.75" hidden="1" x14ac:dyDescent="0.25">
      <c r="A748" s="176" t="s">
        <v>540</v>
      </c>
      <c r="B748" s="20" t="s">
        <v>986</v>
      </c>
      <c r="C748" s="40" t="s">
        <v>241</v>
      </c>
      <c r="D748" s="40" t="s">
        <v>220</v>
      </c>
      <c r="E748" s="40"/>
      <c r="F748" s="2"/>
      <c r="G748" s="10">
        <f t="shared" ref="G748:H749" si="122">G749</f>
        <v>0</v>
      </c>
      <c r="H748" s="10">
        <f t="shared" si="122"/>
        <v>0</v>
      </c>
      <c r="I748" s="416" t="e">
        <f t="shared" si="114"/>
        <v>#DIV/0!</v>
      </c>
    </row>
    <row r="749" spans="1:9" ht="31.5" hidden="1" x14ac:dyDescent="0.3">
      <c r="A749" s="25" t="s">
        <v>138</v>
      </c>
      <c r="B749" s="20" t="s">
        <v>986</v>
      </c>
      <c r="C749" s="40" t="s">
        <v>241</v>
      </c>
      <c r="D749" s="40" t="s">
        <v>220</v>
      </c>
      <c r="E749" s="2">
        <v>200</v>
      </c>
      <c r="F749" s="77"/>
      <c r="G749" s="6">
        <f t="shared" si="122"/>
        <v>0</v>
      </c>
      <c r="H749" s="6">
        <f t="shared" si="122"/>
        <v>0</v>
      </c>
      <c r="I749" s="416" t="e">
        <f t="shared" si="114"/>
        <v>#DIV/0!</v>
      </c>
    </row>
    <row r="750" spans="1:9" ht="31.5" hidden="1" x14ac:dyDescent="0.3">
      <c r="A750" s="25" t="s">
        <v>140</v>
      </c>
      <c r="B750" s="20" t="s">
        <v>986</v>
      </c>
      <c r="C750" s="40" t="s">
        <v>241</v>
      </c>
      <c r="D750" s="40" t="s">
        <v>220</v>
      </c>
      <c r="E750" s="2">
        <v>240</v>
      </c>
      <c r="F750" s="77"/>
      <c r="G750" s="6">
        <f>'Пр.3 Рд,пр, ЦС,ВР 21'!F378</f>
        <v>0</v>
      </c>
      <c r="H750" s="6">
        <f>'Пр.3 Рд,пр, ЦС,ВР 21'!G378</f>
        <v>0</v>
      </c>
      <c r="I750" s="416" t="e">
        <f t="shared" si="114"/>
        <v>#DIV/0!</v>
      </c>
    </row>
    <row r="751" spans="1:9" ht="38.25" hidden="1" customHeight="1" x14ac:dyDescent="0.25">
      <c r="A751" s="45" t="s">
        <v>631</v>
      </c>
      <c r="B751" s="20" t="s">
        <v>986</v>
      </c>
      <c r="C751" s="40" t="s">
        <v>241</v>
      </c>
      <c r="D751" s="40" t="s">
        <v>220</v>
      </c>
      <c r="E751" s="2">
        <v>240</v>
      </c>
      <c r="F751" s="2">
        <v>908</v>
      </c>
      <c r="G751" s="6">
        <f>G750</f>
        <v>0</v>
      </c>
      <c r="H751" s="6">
        <f>H750</f>
        <v>0</v>
      </c>
      <c r="I751" s="416" t="e">
        <f t="shared" si="114"/>
        <v>#DIV/0!</v>
      </c>
    </row>
    <row r="752" spans="1:9" ht="39.4" customHeight="1" x14ac:dyDescent="0.25">
      <c r="A752" s="23" t="s">
        <v>1366</v>
      </c>
      <c r="B752" s="24" t="s">
        <v>342</v>
      </c>
      <c r="C752" s="7"/>
      <c r="D752" s="7"/>
      <c r="E752" s="3"/>
      <c r="F752" s="3"/>
      <c r="G752" s="4">
        <f t="shared" ref="G752:H754" si="123">G753</f>
        <v>120</v>
      </c>
      <c r="H752" s="4">
        <f t="shared" si="123"/>
        <v>0</v>
      </c>
      <c r="I752" s="441">
        <f t="shared" si="114"/>
        <v>0</v>
      </c>
    </row>
    <row r="753" spans="1:9" s="202" customFormat="1" ht="31.5" x14ac:dyDescent="0.25">
      <c r="A753" s="23" t="s">
        <v>1060</v>
      </c>
      <c r="B753" s="24" t="s">
        <v>1061</v>
      </c>
      <c r="C753" s="7"/>
      <c r="D753" s="7"/>
      <c r="E753" s="3"/>
      <c r="F753" s="3"/>
      <c r="G753" s="4">
        <f t="shared" si="123"/>
        <v>120</v>
      </c>
      <c r="H753" s="4">
        <f t="shared" si="123"/>
        <v>0</v>
      </c>
      <c r="I753" s="441">
        <f t="shared" si="114"/>
        <v>0</v>
      </c>
    </row>
    <row r="754" spans="1:9" ht="15.75" x14ac:dyDescent="0.25">
      <c r="A754" s="29" t="s">
        <v>124</v>
      </c>
      <c r="B754" s="20" t="s">
        <v>1061</v>
      </c>
      <c r="C754" s="40" t="s">
        <v>125</v>
      </c>
      <c r="D754" s="40"/>
      <c r="E754" s="2"/>
      <c r="F754" s="2"/>
      <c r="G754" s="6">
        <f t="shared" si="123"/>
        <v>120</v>
      </c>
      <c r="H754" s="6">
        <f t="shared" si="123"/>
        <v>0</v>
      </c>
      <c r="I754" s="416">
        <f t="shared" si="114"/>
        <v>0</v>
      </c>
    </row>
    <row r="755" spans="1:9" ht="15.75" x14ac:dyDescent="0.25">
      <c r="A755" s="29" t="s">
        <v>146</v>
      </c>
      <c r="B755" s="20" t="s">
        <v>1061</v>
      </c>
      <c r="C755" s="40" t="s">
        <v>125</v>
      </c>
      <c r="D755" s="40" t="s">
        <v>147</v>
      </c>
      <c r="E755" s="2"/>
      <c r="F755" s="2"/>
      <c r="G755" s="6">
        <f>G756+G763+G767+G771+G775</f>
        <v>120</v>
      </c>
      <c r="H755" s="6">
        <f>H756+H763+H767+H771+H775</f>
        <v>0</v>
      </c>
      <c r="I755" s="416">
        <f t="shared" si="114"/>
        <v>0</v>
      </c>
    </row>
    <row r="756" spans="1:9" ht="31.5" x14ac:dyDescent="0.25">
      <c r="A756" s="25" t="s">
        <v>343</v>
      </c>
      <c r="B756" s="20" t="s">
        <v>1062</v>
      </c>
      <c r="C756" s="40" t="s">
        <v>125</v>
      </c>
      <c r="D756" s="40" t="s">
        <v>147</v>
      </c>
      <c r="E756" s="2"/>
      <c r="F756" s="2"/>
      <c r="G756" s="6">
        <f>G757+G760</f>
        <v>100</v>
      </c>
      <c r="H756" s="6">
        <f>H757+H760</f>
        <v>0</v>
      </c>
      <c r="I756" s="416">
        <f t="shared" si="114"/>
        <v>0</v>
      </c>
    </row>
    <row r="757" spans="1:9" ht="31.5" x14ac:dyDescent="0.25">
      <c r="A757" s="25" t="s">
        <v>138</v>
      </c>
      <c r="B757" s="20" t="s">
        <v>1062</v>
      </c>
      <c r="C757" s="40" t="s">
        <v>125</v>
      </c>
      <c r="D757" s="40" t="s">
        <v>147</v>
      </c>
      <c r="E757" s="2">
        <v>200</v>
      </c>
      <c r="F757" s="2"/>
      <c r="G757" s="6">
        <f t="shared" ref="G757:H757" si="124">G758</f>
        <v>100</v>
      </c>
      <c r="H757" s="6">
        <f t="shared" si="124"/>
        <v>0</v>
      </c>
      <c r="I757" s="416">
        <f t="shared" si="114"/>
        <v>0</v>
      </c>
    </row>
    <row r="758" spans="1:9" ht="31.5" x14ac:dyDescent="0.25">
      <c r="A758" s="25" t="s">
        <v>140</v>
      </c>
      <c r="B758" s="20" t="s">
        <v>1062</v>
      </c>
      <c r="C758" s="40" t="s">
        <v>125</v>
      </c>
      <c r="D758" s="40" t="s">
        <v>147</v>
      </c>
      <c r="E758" s="2">
        <v>240</v>
      </c>
      <c r="F758" s="2"/>
      <c r="G758" s="6">
        <f>'Пр.4 ведом.21'!G536</f>
        <v>100</v>
      </c>
      <c r="H758" s="6">
        <f>'Пр.4 ведом.21'!H536</f>
        <v>0</v>
      </c>
      <c r="I758" s="416">
        <f t="shared" si="114"/>
        <v>0</v>
      </c>
    </row>
    <row r="759" spans="1:9" s="202" customFormat="1" ht="31.5" x14ac:dyDescent="0.25">
      <c r="A759" s="29" t="s">
        <v>410</v>
      </c>
      <c r="B759" s="20" t="s">
        <v>1062</v>
      </c>
      <c r="C759" s="40" t="s">
        <v>125</v>
      </c>
      <c r="D759" s="40" t="s">
        <v>147</v>
      </c>
      <c r="E759" s="2">
        <v>240</v>
      </c>
      <c r="F759" s="2">
        <v>906</v>
      </c>
      <c r="G759" s="6">
        <f>G758</f>
        <v>100</v>
      </c>
      <c r="H759" s="6">
        <f>H758</f>
        <v>0</v>
      </c>
      <c r="I759" s="416">
        <f t="shared" si="114"/>
        <v>0</v>
      </c>
    </row>
    <row r="760" spans="1:9" s="202" customFormat="1" ht="31.5" hidden="1" x14ac:dyDescent="0.25">
      <c r="A760" s="25" t="s">
        <v>138</v>
      </c>
      <c r="B760" s="20" t="s">
        <v>1062</v>
      </c>
      <c r="C760" s="40" t="s">
        <v>125</v>
      </c>
      <c r="D760" s="40" t="s">
        <v>147</v>
      </c>
      <c r="E760" s="2">
        <v>200</v>
      </c>
      <c r="F760" s="2"/>
      <c r="G760" s="6">
        <f t="shared" ref="G760:H760" si="125">G761</f>
        <v>0</v>
      </c>
      <c r="H760" s="6">
        <f t="shared" si="125"/>
        <v>0</v>
      </c>
      <c r="I760" s="416" t="e">
        <f t="shared" si="114"/>
        <v>#DIV/0!</v>
      </c>
    </row>
    <row r="761" spans="1:9" s="202" customFormat="1" ht="31.5" hidden="1" x14ac:dyDescent="0.25">
      <c r="A761" s="25" t="s">
        <v>140</v>
      </c>
      <c r="B761" s="20" t="s">
        <v>1062</v>
      </c>
      <c r="C761" s="40" t="s">
        <v>125</v>
      </c>
      <c r="D761" s="40" t="s">
        <v>147</v>
      </c>
      <c r="E761" s="2">
        <v>240</v>
      </c>
      <c r="F761" s="2"/>
      <c r="G761" s="6">
        <f>'Пр.4 ведом.21'!G753</f>
        <v>0</v>
      </c>
      <c r="H761" s="6">
        <f>'Пр.4 ведом.21'!H753</f>
        <v>0</v>
      </c>
      <c r="I761" s="416" t="e">
        <f t="shared" si="114"/>
        <v>#DIV/0!</v>
      </c>
    </row>
    <row r="762" spans="1:9" s="202" customFormat="1" ht="31.5" hidden="1" x14ac:dyDescent="0.25">
      <c r="A762" s="45" t="s">
        <v>487</v>
      </c>
      <c r="B762" s="20" t="s">
        <v>1062</v>
      </c>
      <c r="C762" s="40" t="s">
        <v>125</v>
      </c>
      <c r="D762" s="40" t="s">
        <v>147</v>
      </c>
      <c r="E762" s="2">
        <v>240</v>
      </c>
      <c r="F762" s="2">
        <v>907</v>
      </c>
      <c r="G762" s="6">
        <f>G761</f>
        <v>0</v>
      </c>
      <c r="H762" s="6">
        <f>H761</f>
        <v>0</v>
      </c>
      <c r="I762" s="416" t="e">
        <f t="shared" si="114"/>
        <v>#DIV/0!</v>
      </c>
    </row>
    <row r="763" spans="1:9" ht="23.25" customHeight="1" x14ac:dyDescent="0.25">
      <c r="A763" s="25" t="s">
        <v>345</v>
      </c>
      <c r="B763" s="20" t="s">
        <v>1063</v>
      </c>
      <c r="C763" s="40" t="s">
        <v>125</v>
      </c>
      <c r="D763" s="40" t="s">
        <v>147</v>
      </c>
      <c r="E763" s="2"/>
      <c r="F763" s="2"/>
      <c r="G763" s="6">
        <f t="shared" ref="G763:H764" si="126">G764</f>
        <v>20</v>
      </c>
      <c r="H763" s="6">
        <f t="shared" si="126"/>
        <v>0</v>
      </c>
      <c r="I763" s="416">
        <f t="shared" si="114"/>
        <v>0</v>
      </c>
    </row>
    <row r="764" spans="1:9" ht="31.5" x14ac:dyDescent="0.25">
      <c r="A764" s="25" t="s">
        <v>138</v>
      </c>
      <c r="B764" s="20" t="s">
        <v>1063</v>
      </c>
      <c r="C764" s="40" t="s">
        <v>125</v>
      </c>
      <c r="D764" s="40" t="s">
        <v>147</v>
      </c>
      <c r="E764" s="2">
        <v>200</v>
      </c>
      <c r="F764" s="2"/>
      <c r="G764" s="6">
        <f t="shared" si="126"/>
        <v>20</v>
      </c>
      <c r="H764" s="6">
        <f t="shared" si="126"/>
        <v>0</v>
      </c>
      <c r="I764" s="416">
        <f t="shared" si="114"/>
        <v>0</v>
      </c>
    </row>
    <row r="765" spans="1:9" ht="31.5" x14ac:dyDescent="0.25">
      <c r="A765" s="25" t="s">
        <v>140</v>
      </c>
      <c r="B765" s="20" t="s">
        <v>1063</v>
      </c>
      <c r="C765" s="40" t="s">
        <v>125</v>
      </c>
      <c r="D765" s="40" t="s">
        <v>147</v>
      </c>
      <c r="E765" s="2">
        <v>240</v>
      </c>
      <c r="F765" s="2"/>
      <c r="G765" s="6">
        <f>'Пр.4 ведом.21'!G244</f>
        <v>20</v>
      </c>
      <c r="H765" s="6">
        <f>'Пр.4 ведом.21'!H244</f>
        <v>0</v>
      </c>
      <c r="I765" s="416">
        <f t="shared" si="114"/>
        <v>0</v>
      </c>
    </row>
    <row r="766" spans="1:9" s="202" customFormat="1" ht="47.25" x14ac:dyDescent="0.25">
      <c r="A766" s="45" t="s">
        <v>268</v>
      </c>
      <c r="B766" s="20" t="s">
        <v>1063</v>
      </c>
      <c r="C766" s="40" t="s">
        <v>125</v>
      </c>
      <c r="D766" s="40" t="s">
        <v>147</v>
      </c>
      <c r="E766" s="2">
        <v>240</v>
      </c>
      <c r="F766" s="2">
        <v>903</v>
      </c>
      <c r="G766" s="6">
        <f>G765</f>
        <v>20</v>
      </c>
      <c r="H766" s="6">
        <f>H765</f>
        <v>0</v>
      </c>
      <c r="I766" s="416">
        <f t="shared" si="114"/>
        <v>0</v>
      </c>
    </row>
    <row r="767" spans="1:9" ht="47.25" hidden="1" x14ac:dyDescent="0.25">
      <c r="A767" s="31" t="s">
        <v>781</v>
      </c>
      <c r="B767" s="20" t="s">
        <v>1064</v>
      </c>
      <c r="C767" s="40" t="s">
        <v>125</v>
      </c>
      <c r="D767" s="40" t="s">
        <v>147</v>
      </c>
      <c r="E767" s="2"/>
      <c r="F767" s="2"/>
      <c r="G767" s="6">
        <f t="shared" ref="G767:H768" si="127">G768</f>
        <v>0</v>
      </c>
      <c r="H767" s="6">
        <f t="shared" si="127"/>
        <v>0</v>
      </c>
      <c r="I767" s="416" t="e">
        <f t="shared" si="114"/>
        <v>#DIV/0!</v>
      </c>
    </row>
    <row r="768" spans="1:9" ht="31.5" hidden="1" x14ac:dyDescent="0.25">
      <c r="A768" s="25" t="s">
        <v>138</v>
      </c>
      <c r="B768" s="20" t="s">
        <v>1064</v>
      </c>
      <c r="C768" s="20" t="s">
        <v>125</v>
      </c>
      <c r="D768" s="20" t="s">
        <v>147</v>
      </c>
      <c r="E768" s="20" t="s">
        <v>139</v>
      </c>
      <c r="F768" s="179"/>
      <c r="G768" s="6">
        <f t="shared" si="127"/>
        <v>0</v>
      </c>
      <c r="H768" s="6">
        <f t="shared" si="127"/>
        <v>0</v>
      </c>
      <c r="I768" s="416" t="e">
        <f t="shared" si="114"/>
        <v>#DIV/0!</v>
      </c>
    </row>
    <row r="769" spans="1:9" ht="31.5" hidden="1" x14ac:dyDescent="0.25">
      <c r="A769" s="25" t="s">
        <v>140</v>
      </c>
      <c r="B769" s="20" t="s">
        <v>1064</v>
      </c>
      <c r="C769" s="20" t="s">
        <v>125</v>
      </c>
      <c r="D769" s="20" t="s">
        <v>147</v>
      </c>
      <c r="E769" s="20" t="s">
        <v>141</v>
      </c>
      <c r="F769" s="179"/>
      <c r="G769" s="6">
        <f>'Пр.4 ведом.21'!G247</f>
        <v>0</v>
      </c>
      <c r="H769" s="6">
        <f>'Пр.4 ведом.21'!H247</f>
        <v>0</v>
      </c>
      <c r="I769" s="416" t="e">
        <f t="shared" si="114"/>
        <v>#DIV/0!</v>
      </c>
    </row>
    <row r="770" spans="1:9" s="202" customFormat="1" ht="47.25" hidden="1" x14ac:dyDescent="0.25">
      <c r="A770" s="45" t="s">
        <v>268</v>
      </c>
      <c r="B770" s="20" t="s">
        <v>1064</v>
      </c>
      <c r="C770" s="40" t="s">
        <v>125</v>
      </c>
      <c r="D770" s="40" t="s">
        <v>147</v>
      </c>
      <c r="E770" s="2">
        <v>240</v>
      </c>
      <c r="F770" s="2">
        <v>903</v>
      </c>
      <c r="G770" s="6">
        <f>G769</f>
        <v>0</v>
      </c>
      <c r="H770" s="6">
        <f>H769</f>
        <v>0</v>
      </c>
      <c r="I770" s="416" t="e">
        <f t="shared" si="114"/>
        <v>#DIV/0!</v>
      </c>
    </row>
    <row r="771" spans="1:9" ht="31.5" hidden="1" x14ac:dyDescent="0.25">
      <c r="A771" s="25" t="s">
        <v>687</v>
      </c>
      <c r="B771" s="20" t="s">
        <v>1065</v>
      </c>
      <c r="C771" s="40" t="s">
        <v>125</v>
      </c>
      <c r="D771" s="40" t="s">
        <v>147</v>
      </c>
      <c r="E771" s="2"/>
      <c r="F771" s="179"/>
      <c r="G771" s="6">
        <f t="shared" ref="G771:H772" si="128">G772</f>
        <v>0</v>
      </c>
      <c r="H771" s="6">
        <f t="shared" si="128"/>
        <v>0</v>
      </c>
      <c r="I771" s="416" t="e">
        <f t="shared" si="114"/>
        <v>#DIV/0!</v>
      </c>
    </row>
    <row r="772" spans="1:9" ht="31.5" hidden="1" x14ac:dyDescent="0.25">
      <c r="A772" s="25" t="s">
        <v>138</v>
      </c>
      <c r="B772" s="20" t="s">
        <v>1065</v>
      </c>
      <c r="C772" s="40" t="s">
        <v>125</v>
      </c>
      <c r="D772" s="40" t="s">
        <v>147</v>
      </c>
      <c r="E772" s="2">
        <v>200</v>
      </c>
      <c r="F772" s="179"/>
      <c r="G772" s="6">
        <f t="shared" si="128"/>
        <v>0</v>
      </c>
      <c r="H772" s="6">
        <f t="shared" si="128"/>
        <v>0</v>
      </c>
      <c r="I772" s="416" t="e">
        <f t="shared" si="114"/>
        <v>#DIV/0!</v>
      </c>
    </row>
    <row r="773" spans="1:9" ht="31.5" hidden="1" x14ac:dyDescent="0.25">
      <c r="A773" s="25" t="s">
        <v>140</v>
      </c>
      <c r="B773" s="20" t="s">
        <v>1065</v>
      </c>
      <c r="C773" s="40" t="s">
        <v>125</v>
      </c>
      <c r="D773" s="40" t="s">
        <v>147</v>
      </c>
      <c r="E773" s="2">
        <v>240</v>
      </c>
      <c r="F773" s="179"/>
      <c r="G773" s="6">
        <f>'Пр.4 ведом.21'!G250</f>
        <v>0</v>
      </c>
      <c r="H773" s="6">
        <f>'Пр.4 ведом.21'!H250</f>
        <v>0</v>
      </c>
      <c r="I773" s="416" t="e">
        <f t="shared" si="114"/>
        <v>#DIV/0!</v>
      </c>
    </row>
    <row r="774" spans="1:9" s="202" customFormat="1" ht="47.25" hidden="1" x14ac:dyDescent="0.25">
      <c r="A774" s="45" t="s">
        <v>268</v>
      </c>
      <c r="B774" s="20" t="s">
        <v>1065</v>
      </c>
      <c r="C774" s="40" t="s">
        <v>125</v>
      </c>
      <c r="D774" s="40" t="s">
        <v>147</v>
      </c>
      <c r="E774" s="2">
        <v>240</v>
      </c>
      <c r="F774" s="2">
        <v>903</v>
      </c>
      <c r="G774" s="6">
        <f>G773</f>
        <v>0</v>
      </c>
      <c r="H774" s="6">
        <f>H773</f>
        <v>0</v>
      </c>
      <c r="I774" s="416" t="e">
        <f t="shared" si="114"/>
        <v>#DIV/0!</v>
      </c>
    </row>
    <row r="775" spans="1:9" ht="31.7" hidden="1" customHeight="1" x14ac:dyDescent="0.25">
      <c r="A775" s="31" t="s">
        <v>782</v>
      </c>
      <c r="B775" s="20" t="s">
        <v>1066</v>
      </c>
      <c r="C775" s="20" t="s">
        <v>125</v>
      </c>
      <c r="D775" s="20" t="s">
        <v>147</v>
      </c>
      <c r="E775" s="20"/>
      <c r="F775" s="179"/>
      <c r="G775" s="6">
        <f t="shared" ref="G775:H776" si="129">G776</f>
        <v>0</v>
      </c>
      <c r="H775" s="6">
        <f t="shared" si="129"/>
        <v>0</v>
      </c>
      <c r="I775" s="416" t="e">
        <f t="shared" si="114"/>
        <v>#DIV/0!</v>
      </c>
    </row>
    <row r="776" spans="1:9" ht="31.7" hidden="1" customHeight="1" x14ac:dyDescent="0.25">
      <c r="A776" s="25" t="s">
        <v>138</v>
      </c>
      <c r="B776" s="20" t="s">
        <v>1066</v>
      </c>
      <c r="C776" s="20" t="s">
        <v>125</v>
      </c>
      <c r="D776" s="20" t="s">
        <v>147</v>
      </c>
      <c r="E776" s="20" t="s">
        <v>139</v>
      </c>
      <c r="F776" s="179"/>
      <c r="G776" s="6">
        <f t="shared" si="129"/>
        <v>0</v>
      </c>
      <c r="H776" s="6">
        <f t="shared" si="129"/>
        <v>0</v>
      </c>
      <c r="I776" s="416" t="e">
        <f t="shared" si="114"/>
        <v>#DIV/0!</v>
      </c>
    </row>
    <row r="777" spans="1:9" ht="31.7" hidden="1" customHeight="1" x14ac:dyDescent="0.25">
      <c r="A777" s="25" t="s">
        <v>140</v>
      </c>
      <c r="B777" s="20" t="s">
        <v>1066</v>
      </c>
      <c r="C777" s="20" t="s">
        <v>125</v>
      </c>
      <c r="D777" s="20" t="s">
        <v>147</v>
      </c>
      <c r="E777" s="20" t="s">
        <v>141</v>
      </c>
      <c r="F777" s="179"/>
      <c r="G777" s="6">
        <f>'Пр.4 ведом.21'!G253</f>
        <v>0</v>
      </c>
      <c r="H777" s="6">
        <f>'Пр.4 ведом.21'!H253</f>
        <v>0</v>
      </c>
      <c r="I777" s="416" t="e">
        <f t="shared" si="114"/>
        <v>#DIV/0!</v>
      </c>
    </row>
    <row r="778" spans="1:9" ht="47.25" hidden="1" x14ac:dyDescent="0.25">
      <c r="A778" s="45" t="s">
        <v>268</v>
      </c>
      <c r="B778" s="20" t="s">
        <v>1066</v>
      </c>
      <c r="C778" s="20" t="s">
        <v>125</v>
      </c>
      <c r="D778" s="20" t="s">
        <v>147</v>
      </c>
      <c r="E778" s="20" t="s">
        <v>141</v>
      </c>
      <c r="F778" s="2">
        <v>903</v>
      </c>
      <c r="G778" s="6">
        <f>G777</f>
        <v>0</v>
      </c>
      <c r="H778" s="6">
        <f>H777</f>
        <v>0</v>
      </c>
      <c r="I778" s="416" t="e">
        <f t="shared" si="114"/>
        <v>#DIV/0!</v>
      </c>
    </row>
    <row r="779" spans="1:9" ht="48.75" customHeight="1" x14ac:dyDescent="0.25">
      <c r="A779" s="41" t="s">
        <v>1369</v>
      </c>
      <c r="B779" s="24" t="s">
        <v>715</v>
      </c>
      <c r="C779" s="7"/>
      <c r="D779" s="7"/>
      <c r="E779" s="3"/>
      <c r="F779" s="3"/>
      <c r="G779" s="4">
        <f>G780+G791+G830</f>
        <v>3627.5</v>
      </c>
      <c r="H779" s="4">
        <f>H780+H791+H830</f>
        <v>696.15599999999995</v>
      </c>
      <c r="I779" s="441">
        <f t="shared" si="114"/>
        <v>19.191068228807715</v>
      </c>
    </row>
    <row r="780" spans="1:9" s="202" customFormat="1" ht="48.75" customHeight="1" x14ac:dyDescent="0.25">
      <c r="A780" s="206" t="s">
        <v>856</v>
      </c>
      <c r="B780" s="24" t="s">
        <v>862</v>
      </c>
      <c r="C780" s="7"/>
      <c r="D780" s="7"/>
      <c r="E780" s="3"/>
      <c r="F780" s="3"/>
      <c r="G780" s="4">
        <f>G781</f>
        <v>33</v>
      </c>
      <c r="H780" s="4">
        <f>H781</f>
        <v>0</v>
      </c>
      <c r="I780" s="441">
        <f t="shared" si="114"/>
        <v>0</v>
      </c>
    </row>
    <row r="781" spans="1:9" s="121" customFormat="1" ht="15.75" x14ac:dyDescent="0.25">
      <c r="A781" s="29" t="s">
        <v>124</v>
      </c>
      <c r="B781" s="20" t="s">
        <v>862</v>
      </c>
      <c r="C781" s="40" t="s">
        <v>125</v>
      </c>
      <c r="D781" s="40"/>
      <c r="E781" s="2"/>
      <c r="F781" s="2"/>
      <c r="G781" s="6">
        <f t="shared" ref="G781:H781" si="130">G782</f>
        <v>33</v>
      </c>
      <c r="H781" s="6">
        <f t="shared" si="130"/>
        <v>0</v>
      </c>
      <c r="I781" s="416">
        <f t="shared" si="114"/>
        <v>0</v>
      </c>
    </row>
    <row r="782" spans="1:9" s="121" customFormat="1" ht="15.75" x14ac:dyDescent="0.25">
      <c r="A782" s="29" t="s">
        <v>146</v>
      </c>
      <c r="B782" s="20" t="s">
        <v>862</v>
      </c>
      <c r="C782" s="40" t="s">
        <v>125</v>
      </c>
      <c r="D782" s="40" t="s">
        <v>147</v>
      </c>
      <c r="E782" s="2"/>
      <c r="F782" s="2"/>
      <c r="G782" s="6">
        <f>G783+G787</f>
        <v>33</v>
      </c>
      <c r="H782" s="6">
        <f>H783+H787</f>
        <v>0</v>
      </c>
      <c r="I782" s="416">
        <f t="shared" si="114"/>
        <v>0</v>
      </c>
    </row>
    <row r="783" spans="1:9" ht="31.5" x14ac:dyDescent="0.25">
      <c r="A783" s="98" t="s">
        <v>786</v>
      </c>
      <c r="B783" s="20" t="s">
        <v>857</v>
      </c>
      <c r="C783" s="40" t="s">
        <v>125</v>
      </c>
      <c r="D783" s="40" t="s">
        <v>147</v>
      </c>
      <c r="E783" s="2"/>
      <c r="F783" s="2"/>
      <c r="G783" s="6">
        <f t="shared" ref="G783:H784" si="131">G784</f>
        <v>28</v>
      </c>
      <c r="H783" s="6">
        <f t="shared" si="131"/>
        <v>0</v>
      </c>
      <c r="I783" s="416">
        <f t="shared" si="114"/>
        <v>0</v>
      </c>
    </row>
    <row r="784" spans="1:9" ht="31.5" x14ac:dyDescent="0.25">
      <c r="A784" s="25" t="s">
        <v>138</v>
      </c>
      <c r="B784" s="20" t="s">
        <v>857</v>
      </c>
      <c r="C784" s="40" t="s">
        <v>125</v>
      </c>
      <c r="D784" s="40" t="s">
        <v>147</v>
      </c>
      <c r="E784" s="2">
        <v>200</v>
      </c>
      <c r="F784" s="2"/>
      <c r="G784" s="6">
        <f t="shared" si="131"/>
        <v>28</v>
      </c>
      <c r="H784" s="6">
        <f t="shared" si="131"/>
        <v>0</v>
      </c>
      <c r="I784" s="416">
        <f t="shared" si="114"/>
        <v>0</v>
      </c>
    </row>
    <row r="785" spans="1:14" ht="31.5" x14ac:dyDescent="0.25">
      <c r="A785" s="25" t="s">
        <v>140</v>
      </c>
      <c r="B785" s="20" t="s">
        <v>857</v>
      </c>
      <c r="C785" s="40" t="s">
        <v>125</v>
      </c>
      <c r="D785" s="40" t="s">
        <v>147</v>
      </c>
      <c r="E785" s="2">
        <v>240</v>
      </c>
      <c r="F785" s="2"/>
      <c r="G785" s="6">
        <f>'Пр.4 ведом.21'!G142</f>
        <v>28</v>
      </c>
      <c r="H785" s="6">
        <f>'Пр.4 ведом.21'!H142</f>
        <v>0</v>
      </c>
      <c r="I785" s="416">
        <f t="shared" si="114"/>
        <v>0</v>
      </c>
    </row>
    <row r="786" spans="1:14" s="202" customFormat="1" ht="19.5" customHeight="1" x14ac:dyDescent="0.25">
      <c r="A786" s="29" t="s">
        <v>155</v>
      </c>
      <c r="B786" s="20" t="s">
        <v>857</v>
      </c>
      <c r="C786" s="40" t="s">
        <v>125</v>
      </c>
      <c r="D786" s="40" t="s">
        <v>147</v>
      </c>
      <c r="E786" s="2">
        <v>240</v>
      </c>
      <c r="F786" s="2">
        <v>902</v>
      </c>
      <c r="G786" s="6">
        <f>G785</f>
        <v>28</v>
      </c>
      <c r="H786" s="6">
        <f>H785</f>
        <v>0</v>
      </c>
      <c r="I786" s="416">
        <f t="shared" ref="I786:I849" si="132">H786/G786*100</f>
        <v>0</v>
      </c>
    </row>
    <row r="787" spans="1:14" s="202" customFormat="1" ht="31.5" x14ac:dyDescent="0.25">
      <c r="A787" s="98" t="s">
        <v>786</v>
      </c>
      <c r="B787" s="20" t="s">
        <v>857</v>
      </c>
      <c r="C787" s="40" t="s">
        <v>125</v>
      </c>
      <c r="D787" s="40" t="s">
        <v>147</v>
      </c>
      <c r="E787" s="2"/>
      <c r="F787" s="2"/>
      <c r="G787" s="6">
        <f>G788</f>
        <v>5</v>
      </c>
      <c r="H787" s="6">
        <f>H788</f>
        <v>0</v>
      </c>
      <c r="I787" s="416">
        <f t="shared" si="132"/>
        <v>0</v>
      </c>
    </row>
    <row r="788" spans="1:14" s="202" customFormat="1" ht="31.5" x14ac:dyDescent="0.25">
      <c r="A788" s="25" t="s">
        <v>138</v>
      </c>
      <c r="B788" s="20" t="s">
        <v>857</v>
      </c>
      <c r="C788" s="40" t="s">
        <v>125</v>
      </c>
      <c r="D788" s="40" t="s">
        <v>147</v>
      </c>
      <c r="E788" s="2">
        <v>200</v>
      </c>
      <c r="F788" s="2"/>
      <c r="G788" s="6">
        <f>G789</f>
        <v>5</v>
      </c>
      <c r="H788" s="6">
        <f>H789</f>
        <v>0</v>
      </c>
      <c r="I788" s="416">
        <f t="shared" si="132"/>
        <v>0</v>
      </c>
    </row>
    <row r="789" spans="1:14" s="202" customFormat="1" ht="31.5" x14ac:dyDescent="0.25">
      <c r="A789" s="25" t="s">
        <v>140</v>
      </c>
      <c r="B789" s="20" t="s">
        <v>857</v>
      </c>
      <c r="C789" s="40" t="s">
        <v>125</v>
      </c>
      <c r="D789" s="40" t="s">
        <v>147</v>
      </c>
      <c r="E789" s="2">
        <v>240</v>
      </c>
      <c r="F789" s="2"/>
      <c r="G789" s="6">
        <f>'Пр.4 ведом.21'!G258</f>
        <v>5</v>
      </c>
      <c r="H789" s="6">
        <f>'Пр.4 ведом.21'!H258</f>
        <v>0</v>
      </c>
      <c r="I789" s="416">
        <f t="shared" si="132"/>
        <v>0</v>
      </c>
    </row>
    <row r="790" spans="1:14" s="202" customFormat="1" ht="47.25" x14ac:dyDescent="0.25">
      <c r="A790" s="45" t="s">
        <v>268</v>
      </c>
      <c r="B790" s="20" t="s">
        <v>857</v>
      </c>
      <c r="C790" s="40" t="s">
        <v>125</v>
      </c>
      <c r="D790" s="40" t="s">
        <v>147</v>
      </c>
      <c r="E790" s="2">
        <v>240</v>
      </c>
      <c r="F790" s="2">
        <v>903</v>
      </c>
      <c r="G790" s="6">
        <f>G789</f>
        <v>5</v>
      </c>
      <c r="H790" s="6">
        <f>H789</f>
        <v>0</v>
      </c>
      <c r="I790" s="416">
        <f t="shared" si="132"/>
        <v>0</v>
      </c>
    </row>
    <row r="791" spans="1:14" s="202" customFormat="1" ht="47.25" x14ac:dyDescent="0.25">
      <c r="A791" s="41" t="s">
        <v>900</v>
      </c>
      <c r="B791" s="24" t="s">
        <v>898</v>
      </c>
      <c r="C791" s="40"/>
      <c r="D791" s="40"/>
      <c r="E791" s="2"/>
      <c r="F791" s="2"/>
      <c r="G791" s="4">
        <f>G792+G812+G818+G824</f>
        <v>3579.5</v>
      </c>
      <c r="H791" s="4">
        <f>H792+H812+H818+H824</f>
        <v>696.15599999999995</v>
      </c>
      <c r="I791" s="441">
        <f t="shared" si="132"/>
        <v>19.448414583042322</v>
      </c>
      <c r="K791" s="22"/>
      <c r="N791" s="227">
        <f>G791-N794</f>
        <v>1345.6000000000004</v>
      </c>
    </row>
    <row r="792" spans="1:14" s="202" customFormat="1" ht="15.75" x14ac:dyDescent="0.25">
      <c r="A792" s="29" t="s">
        <v>270</v>
      </c>
      <c r="B792" s="20" t="s">
        <v>898</v>
      </c>
      <c r="C792" s="40" t="s">
        <v>271</v>
      </c>
      <c r="D792" s="40"/>
      <c r="E792" s="2"/>
      <c r="F792" s="2"/>
      <c r="G792" s="6">
        <f>G793+G799+G803</f>
        <v>2073</v>
      </c>
      <c r="H792" s="6">
        <f>H793+H799+H803</f>
        <v>358.32400000000001</v>
      </c>
      <c r="I792" s="416">
        <f t="shared" si="132"/>
        <v>17.285287023637242</v>
      </c>
    </row>
    <row r="793" spans="1:14" s="202" customFormat="1" ht="15.75" x14ac:dyDescent="0.25">
      <c r="A793" s="29" t="s">
        <v>411</v>
      </c>
      <c r="B793" s="20" t="s">
        <v>898</v>
      </c>
      <c r="C793" s="40" t="s">
        <v>271</v>
      </c>
      <c r="D793" s="40" t="s">
        <v>125</v>
      </c>
      <c r="E793" s="2"/>
      <c r="F793" s="2"/>
      <c r="G793" s="6">
        <f t="shared" ref="G793:H795" si="133">G794</f>
        <v>549</v>
      </c>
      <c r="H793" s="6">
        <f t="shared" si="133"/>
        <v>89.992999999999995</v>
      </c>
      <c r="I793" s="416">
        <f t="shared" si="132"/>
        <v>16.392167577413478</v>
      </c>
    </row>
    <row r="794" spans="1:14" s="202" customFormat="1" ht="47.25" x14ac:dyDescent="0.25">
      <c r="A794" s="45" t="s">
        <v>790</v>
      </c>
      <c r="B794" s="20" t="s">
        <v>946</v>
      </c>
      <c r="C794" s="40" t="s">
        <v>271</v>
      </c>
      <c r="D794" s="40" t="s">
        <v>125</v>
      </c>
      <c r="E794" s="2"/>
      <c r="F794" s="2"/>
      <c r="G794" s="6">
        <f t="shared" si="133"/>
        <v>549</v>
      </c>
      <c r="H794" s="6">
        <f t="shared" si="133"/>
        <v>89.992999999999995</v>
      </c>
      <c r="I794" s="416">
        <f t="shared" si="132"/>
        <v>16.392167577413478</v>
      </c>
      <c r="N794" s="227">
        <f>G794+G799+G808+G820</f>
        <v>2233.8999999999996</v>
      </c>
    </row>
    <row r="795" spans="1:14" s="202" customFormat="1" ht="31.5" x14ac:dyDescent="0.25">
      <c r="A795" s="29" t="s">
        <v>279</v>
      </c>
      <c r="B795" s="20" t="s">
        <v>946</v>
      </c>
      <c r="C795" s="40" t="s">
        <v>271</v>
      </c>
      <c r="D795" s="40" t="s">
        <v>125</v>
      </c>
      <c r="E795" s="2">
        <v>600</v>
      </c>
      <c r="F795" s="2"/>
      <c r="G795" s="6">
        <f t="shared" si="133"/>
        <v>549</v>
      </c>
      <c r="H795" s="6">
        <f t="shared" si="133"/>
        <v>89.992999999999995</v>
      </c>
      <c r="I795" s="416">
        <f t="shared" si="132"/>
        <v>16.392167577413478</v>
      </c>
    </row>
    <row r="796" spans="1:14" s="202" customFormat="1" ht="15.75" x14ac:dyDescent="0.25">
      <c r="A796" s="184" t="s">
        <v>281</v>
      </c>
      <c r="B796" s="20" t="s">
        <v>946</v>
      </c>
      <c r="C796" s="40" t="s">
        <v>271</v>
      </c>
      <c r="D796" s="40" t="s">
        <v>125</v>
      </c>
      <c r="E796" s="2">
        <v>610</v>
      </c>
      <c r="F796" s="2"/>
      <c r="G796" s="6">
        <f>'Пр.4 ведом.21'!G597</f>
        <v>549</v>
      </c>
      <c r="H796" s="6">
        <f>'Пр.4 ведом.21'!H597</f>
        <v>89.992999999999995</v>
      </c>
      <c r="I796" s="416">
        <f t="shared" si="132"/>
        <v>16.392167577413478</v>
      </c>
    </row>
    <row r="797" spans="1:14" s="202" customFormat="1" ht="31.5" x14ac:dyDescent="0.25">
      <c r="A797" s="29" t="s">
        <v>410</v>
      </c>
      <c r="B797" s="20" t="s">
        <v>946</v>
      </c>
      <c r="C797" s="40" t="s">
        <v>271</v>
      </c>
      <c r="D797" s="40" t="s">
        <v>125</v>
      </c>
      <c r="E797" s="2">
        <v>610</v>
      </c>
      <c r="F797" s="2">
        <v>906</v>
      </c>
      <c r="G797" s="6">
        <f>G796</f>
        <v>549</v>
      </c>
      <c r="H797" s="6">
        <f>H796</f>
        <v>89.992999999999995</v>
      </c>
      <c r="I797" s="416">
        <f t="shared" si="132"/>
        <v>16.392167577413478</v>
      </c>
    </row>
    <row r="798" spans="1:14" s="202" customFormat="1" ht="15.75" x14ac:dyDescent="0.25">
      <c r="A798" s="45" t="s">
        <v>432</v>
      </c>
      <c r="B798" s="20" t="s">
        <v>898</v>
      </c>
      <c r="C798" s="40" t="s">
        <v>271</v>
      </c>
      <c r="D798" s="40" t="s">
        <v>220</v>
      </c>
      <c r="E798" s="2"/>
      <c r="F798" s="2"/>
      <c r="G798" s="6">
        <f t="shared" ref="G798:H800" si="134">G799</f>
        <v>837</v>
      </c>
      <c r="H798" s="6">
        <f t="shared" si="134"/>
        <v>163.48500000000001</v>
      </c>
      <c r="I798" s="416">
        <f t="shared" si="132"/>
        <v>19.532258064516132</v>
      </c>
    </row>
    <row r="799" spans="1:14" s="202" customFormat="1" ht="47.25" x14ac:dyDescent="0.25">
      <c r="A799" s="45" t="s">
        <v>790</v>
      </c>
      <c r="B799" s="20" t="s">
        <v>946</v>
      </c>
      <c r="C799" s="40" t="s">
        <v>271</v>
      </c>
      <c r="D799" s="40" t="s">
        <v>220</v>
      </c>
      <c r="E799" s="2"/>
      <c r="F799" s="2"/>
      <c r="G799" s="6">
        <f t="shared" si="134"/>
        <v>837</v>
      </c>
      <c r="H799" s="6">
        <f t="shared" si="134"/>
        <v>163.48500000000001</v>
      </c>
      <c r="I799" s="416">
        <f t="shared" si="132"/>
        <v>19.532258064516132</v>
      </c>
    </row>
    <row r="800" spans="1:14" s="202" customFormat="1" ht="31.5" x14ac:dyDescent="0.25">
      <c r="A800" s="29" t="s">
        <v>279</v>
      </c>
      <c r="B800" s="20" t="s">
        <v>946</v>
      </c>
      <c r="C800" s="40" t="s">
        <v>271</v>
      </c>
      <c r="D800" s="40" t="s">
        <v>220</v>
      </c>
      <c r="E800" s="2">
        <v>600</v>
      </c>
      <c r="F800" s="2"/>
      <c r="G800" s="6">
        <f t="shared" si="134"/>
        <v>837</v>
      </c>
      <c r="H800" s="6">
        <f t="shared" si="134"/>
        <v>163.48500000000001</v>
      </c>
      <c r="I800" s="416">
        <f t="shared" si="132"/>
        <v>19.532258064516132</v>
      </c>
    </row>
    <row r="801" spans="1:9" s="202" customFormat="1" ht="15.75" x14ac:dyDescent="0.25">
      <c r="A801" s="184" t="s">
        <v>281</v>
      </c>
      <c r="B801" s="20" t="s">
        <v>946</v>
      </c>
      <c r="C801" s="40" t="s">
        <v>271</v>
      </c>
      <c r="D801" s="40" t="s">
        <v>220</v>
      </c>
      <c r="E801" s="2">
        <v>610</v>
      </c>
      <c r="F801" s="2"/>
      <c r="G801" s="6">
        <f>'Пр.4 ведом.21'!G680</f>
        <v>837</v>
      </c>
      <c r="H801" s="6">
        <f>'Пр.4 ведом.21'!H680</f>
        <v>163.48500000000001</v>
      </c>
      <c r="I801" s="416">
        <f t="shared" si="132"/>
        <v>19.532258064516132</v>
      </c>
    </row>
    <row r="802" spans="1:9" s="202" customFormat="1" ht="31.5" x14ac:dyDescent="0.25">
      <c r="A802" s="29" t="s">
        <v>410</v>
      </c>
      <c r="B802" s="20" t="s">
        <v>946</v>
      </c>
      <c r="C802" s="40" t="s">
        <v>271</v>
      </c>
      <c r="D802" s="40" t="s">
        <v>220</v>
      </c>
      <c r="E802" s="2">
        <v>610</v>
      </c>
      <c r="F802" s="2">
        <v>906</v>
      </c>
      <c r="G802" s="6">
        <f>G801</f>
        <v>837</v>
      </c>
      <c r="H802" s="6">
        <f>H801</f>
        <v>163.48500000000001</v>
      </c>
      <c r="I802" s="416">
        <f t="shared" si="132"/>
        <v>19.532258064516132</v>
      </c>
    </row>
    <row r="803" spans="1:9" s="202" customFormat="1" ht="15.75" x14ac:dyDescent="0.25">
      <c r="A803" s="45" t="s">
        <v>272</v>
      </c>
      <c r="B803" s="20" t="s">
        <v>898</v>
      </c>
      <c r="C803" s="40" t="s">
        <v>271</v>
      </c>
      <c r="D803" s="40" t="s">
        <v>222</v>
      </c>
      <c r="E803" s="2"/>
      <c r="F803" s="2"/>
      <c r="G803" s="6">
        <f>G808+G804</f>
        <v>687</v>
      </c>
      <c r="H803" s="6">
        <f>H808+H804</f>
        <v>104.846</v>
      </c>
      <c r="I803" s="416">
        <f t="shared" si="132"/>
        <v>15.261426491994179</v>
      </c>
    </row>
    <row r="804" spans="1:9" s="202" customFormat="1" ht="31.5" x14ac:dyDescent="0.25">
      <c r="A804" s="98" t="s">
        <v>1014</v>
      </c>
      <c r="B804" s="20" t="s">
        <v>899</v>
      </c>
      <c r="C804" s="40" t="s">
        <v>271</v>
      </c>
      <c r="D804" s="40" t="s">
        <v>222</v>
      </c>
      <c r="E804" s="2"/>
      <c r="F804" s="2"/>
      <c r="G804" s="6">
        <f>G805</f>
        <v>395.9</v>
      </c>
      <c r="H804" s="6">
        <f>H805</f>
        <v>53.933999999999997</v>
      </c>
      <c r="I804" s="416">
        <f t="shared" si="132"/>
        <v>13.623137155847436</v>
      </c>
    </row>
    <row r="805" spans="1:9" s="202" customFormat="1" ht="31.5" x14ac:dyDescent="0.25">
      <c r="A805" s="25" t="s">
        <v>138</v>
      </c>
      <c r="B805" s="20" t="s">
        <v>899</v>
      </c>
      <c r="C805" s="40" t="s">
        <v>271</v>
      </c>
      <c r="D805" s="40" t="s">
        <v>222</v>
      </c>
      <c r="E805" s="2">
        <v>200</v>
      </c>
      <c r="F805" s="2"/>
      <c r="G805" s="6">
        <f>G806</f>
        <v>395.9</v>
      </c>
      <c r="H805" s="6">
        <f>H806</f>
        <v>53.933999999999997</v>
      </c>
      <c r="I805" s="416">
        <f t="shared" si="132"/>
        <v>13.623137155847436</v>
      </c>
    </row>
    <row r="806" spans="1:9" s="202" customFormat="1" ht="31.5" x14ac:dyDescent="0.25">
      <c r="A806" s="25" t="s">
        <v>140</v>
      </c>
      <c r="B806" s="20" t="s">
        <v>899</v>
      </c>
      <c r="C806" s="40" t="s">
        <v>271</v>
      </c>
      <c r="D806" s="40" t="s">
        <v>222</v>
      </c>
      <c r="E806" s="2">
        <v>240</v>
      </c>
      <c r="F806" s="2"/>
      <c r="G806" s="6">
        <f>'Пр.4 ведом.21'!G325</f>
        <v>395.9</v>
      </c>
      <c r="H806" s="6">
        <f>'Пр.4 ведом.21'!H325</f>
        <v>53.933999999999997</v>
      </c>
      <c r="I806" s="416">
        <f t="shared" si="132"/>
        <v>13.623137155847436</v>
      </c>
    </row>
    <row r="807" spans="1:9" s="202" customFormat="1" ht="47.25" x14ac:dyDescent="0.25">
      <c r="A807" s="45" t="s">
        <v>268</v>
      </c>
      <c r="B807" s="20" t="s">
        <v>899</v>
      </c>
      <c r="C807" s="40" t="s">
        <v>271</v>
      </c>
      <c r="D807" s="40" t="s">
        <v>222</v>
      </c>
      <c r="E807" s="2">
        <v>240</v>
      </c>
      <c r="F807" s="2">
        <v>903</v>
      </c>
      <c r="G807" s="6">
        <f>G806</f>
        <v>395.9</v>
      </c>
      <c r="H807" s="6">
        <f>H806</f>
        <v>53.933999999999997</v>
      </c>
      <c r="I807" s="416">
        <f t="shared" si="132"/>
        <v>13.623137155847436</v>
      </c>
    </row>
    <row r="808" spans="1:9" s="202" customFormat="1" ht="47.25" x14ac:dyDescent="0.25">
      <c r="A808" s="45" t="s">
        <v>790</v>
      </c>
      <c r="B808" s="20" t="s">
        <v>946</v>
      </c>
      <c r="C808" s="40" t="s">
        <v>271</v>
      </c>
      <c r="D808" s="40" t="s">
        <v>222</v>
      </c>
      <c r="E808" s="2"/>
      <c r="F808" s="2"/>
      <c r="G808" s="6">
        <f>G809</f>
        <v>291.10000000000002</v>
      </c>
      <c r="H808" s="6">
        <f>H809</f>
        <v>50.911999999999999</v>
      </c>
      <c r="I808" s="416">
        <f t="shared" si="132"/>
        <v>17.489522500858808</v>
      </c>
    </row>
    <row r="809" spans="1:9" s="202" customFormat="1" ht="31.5" x14ac:dyDescent="0.25">
      <c r="A809" s="29" t="s">
        <v>279</v>
      </c>
      <c r="B809" s="20" t="s">
        <v>946</v>
      </c>
      <c r="C809" s="40" t="s">
        <v>271</v>
      </c>
      <c r="D809" s="40" t="s">
        <v>222</v>
      </c>
      <c r="E809" s="2">
        <v>600</v>
      </c>
      <c r="F809" s="2"/>
      <c r="G809" s="6">
        <f>G810</f>
        <v>291.10000000000002</v>
      </c>
      <c r="H809" s="6">
        <f>H810</f>
        <v>50.911999999999999</v>
      </c>
      <c r="I809" s="416">
        <f t="shared" si="132"/>
        <v>17.489522500858808</v>
      </c>
    </row>
    <row r="810" spans="1:9" s="202" customFormat="1" ht="15.75" x14ac:dyDescent="0.25">
      <c r="A810" s="184" t="s">
        <v>281</v>
      </c>
      <c r="B810" s="20" t="s">
        <v>946</v>
      </c>
      <c r="C810" s="40" t="s">
        <v>271</v>
      </c>
      <c r="D810" s="40" t="s">
        <v>222</v>
      </c>
      <c r="E810" s="2">
        <v>610</v>
      </c>
      <c r="F810" s="2"/>
      <c r="G810" s="6">
        <f>'Пр.4 ведом.21'!G712</f>
        <v>291.10000000000002</v>
      </c>
      <c r="H810" s="6">
        <f>'Пр.4 ведом.21'!H712</f>
        <v>50.911999999999999</v>
      </c>
      <c r="I810" s="416">
        <f t="shared" si="132"/>
        <v>17.489522500858808</v>
      </c>
    </row>
    <row r="811" spans="1:9" s="202" customFormat="1" ht="31.5" x14ac:dyDescent="0.25">
      <c r="A811" s="29" t="s">
        <v>410</v>
      </c>
      <c r="B811" s="20" t="s">
        <v>946</v>
      </c>
      <c r="C811" s="40" t="s">
        <v>271</v>
      </c>
      <c r="D811" s="40" t="s">
        <v>222</v>
      </c>
      <c r="E811" s="2">
        <v>610</v>
      </c>
      <c r="F811" s="2">
        <v>906</v>
      </c>
      <c r="G811" s="6">
        <f>G810</f>
        <v>291.10000000000002</v>
      </c>
      <c r="H811" s="6">
        <f>H810</f>
        <v>50.911999999999999</v>
      </c>
      <c r="I811" s="416">
        <f t="shared" si="132"/>
        <v>17.489522500858808</v>
      </c>
    </row>
    <row r="812" spans="1:9" s="202" customFormat="1" ht="15.75" x14ac:dyDescent="0.25">
      <c r="A812" s="25" t="s">
        <v>305</v>
      </c>
      <c r="B812" s="20" t="s">
        <v>898</v>
      </c>
      <c r="C812" s="40" t="s">
        <v>306</v>
      </c>
      <c r="D812" s="40"/>
      <c r="E812" s="2"/>
      <c r="F812" s="2"/>
      <c r="G812" s="6">
        <f t="shared" ref="G812:H815" si="135">G813</f>
        <v>871.7</v>
      </c>
      <c r="H812" s="6">
        <f t="shared" si="135"/>
        <v>214.83199999999999</v>
      </c>
      <c r="I812" s="416">
        <f t="shared" si="132"/>
        <v>24.645176092692438</v>
      </c>
    </row>
    <row r="813" spans="1:9" s="202" customFormat="1" ht="15.75" x14ac:dyDescent="0.25">
      <c r="A813" s="25" t="s">
        <v>307</v>
      </c>
      <c r="B813" s="20" t="s">
        <v>898</v>
      </c>
      <c r="C813" s="40" t="s">
        <v>306</v>
      </c>
      <c r="D813" s="40" t="s">
        <v>125</v>
      </c>
      <c r="E813" s="2"/>
      <c r="F813" s="2"/>
      <c r="G813" s="6">
        <f t="shared" si="135"/>
        <v>871.7</v>
      </c>
      <c r="H813" s="6">
        <f t="shared" si="135"/>
        <v>214.83199999999999</v>
      </c>
      <c r="I813" s="416">
        <f t="shared" si="132"/>
        <v>24.645176092692438</v>
      </c>
    </row>
    <row r="814" spans="1:9" s="202" customFormat="1" ht="31.5" x14ac:dyDescent="0.25">
      <c r="A814" s="45" t="s">
        <v>788</v>
      </c>
      <c r="B814" s="20" t="s">
        <v>899</v>
      </c>
      <c r="C814" s="40" t="s">
        <v>306</v>
      </c>
      <c r="D814" s="40" t="s">
        <v>125</v>
      </c>
      <c r="E814" s="2"/>
      <c r="F814" s="2"/>
      <c r="G814" s="6">
        <f t="shared" si="135"/>
        <v>871.7</v>
      </c>
      <c r="H814" s="6">
        <f t="shared" si="135"/>
        <v>214.83199999999999</v>
      </c>
      <c r="I814" s="416">
        <f t="shared" si="132"/>
        <v>24.645176092692438</v>
      </c>
    </row>
    <row r="815" spans="1:9" s="202" customFormat="1" ht="31.5" x14ac:dyDescent="0.25">
      <c r="A815" s="25" t="s">
        <v>138</v>
      </c>
      <c r="B815" s="20" t="s">
        <v>899</v>
      </c>
      <c r="C815" s="40" t="s">
        <v>306</v>
      </c>
      <c r="D815" s="40" t="s">
        <v>125</v>
      </c>
      <c r="E815" s="2">
        <v>200</v>
      </c>
      <c r="F815" s="2"/>
      <c r="G815" s="6">
        <f t="shared" si="135"/>
        <v>871.7</v>
      </c>
      <c r="H815" s="6">
        <f t="shared" si="135"/>
        <v>214.83199999999999</v>
      </c>
      <c r="I815" s="416">
        <f t="shared" si="132"/>
        <v>24.645176092692438</v>
      </c>
    </row>
    <row r="816" spans="1:9" s="202" customFormat="1" ht="31.5" x14ac:dyDescent="0.25">
      <c r="A816" s="25" t="s">
        <v>140</v>
      </c>
      <c r="B816" s="20" t="s">
        <v>899</v>
      </c>
      <c r="C816" s="40" t="s">
        <v>306</v>
      </c>
      <c r="D816" s="40" t="s">
        <v>125</v>
      </c>
      <c r="E816" s="2">
        <v>240</v>
      </c>
      <c r="F816" s="2"/>
      <c r="G816" s="6">
        <f>'Пр.4 ведом.21'!G402</f>
        <v>871.7</v>
      </c>
      <c r="H816" s="6">
        <f>'Пр.4 ведом.21'!H402</f>
        <v>214.83199999999999</v>
      </c>
      <c r="I816" s="416">
        <f t="shared" si="132"/>
        <v>24.645176092692438</v>
      </c>
    </row>
    <row r="817" spans="1:9" s="202" customFormat="1" ht="47.25" x14ac:dyDescent="0.25">
      <c r="A817" s="45" t="s">
        <v>268</v>
      </c>
      <c r="B817" s="20" t="s">
        <v>899</v>
      </c>
      <c r="C817" s="40" t="s">
        <v>306</v>
      </c>
      <c r="D817" s="40" t="s">
        <v>125</v>
      </c>
      <c r="E817" s="2">
        <v>240</v>
      </c>
      <c r="F817" s="2">
        <v>903</v>
      </c>
      <c r="G817" s="6">
        <f>G816</f>
        <v>871.7</v>
      </c>
      <c r="H817" s="6">
        <f>H816</f>
        <v>214.83199999999999</v>
      </c>
      <c r="I817" s="416">
        <f t="shared" si="132"/>
        <v>24.645176092692438</v>
      </c>
    </row>
    <row r="818" spans="1:9" s="202" customFormat="1" ht="15.75" x14ac:dyDescent="0.25">
      <c r="A818" s="25" t="s">
        <v>497</v>
      </c>
      <c r="B818" s="20" t="s">
        <v>898</v>
      </c>
      <c r="C818" s="40" t="s">
        <v>498</v>
      </c>
      <c r="D818" s="40"/>
      <c r="E818" s="2"/>
      <c r="F818" s="2"/>
      <c r="G818" s="6">
        <f t="shared" ref="G818:H821" si="136">G819</f>
        <v>556.79999999999995</v>
      </c>
      <c r="H818" s="6">
        <f t="shared" si="136"/>
        <v>103.5</v>
      </c>
      <c r="I818" s="416">
        <f t="shared" si="132"/>
        <v>18.58836206896552</v>
      </c>
    </row>
    <row r="819" spans="1:9" s="202" customFormat="1" ht="15.75" x14ac:dyDescent="0.25">
      <c r="A819" s="25" t="s">
        <v>1089</v>
      </c>
      <c r="B819" s="20" t="s">
        <v>898</v>
      </c>
      <c r="C819" s="40" t="s">
        <v>498</v>
      </c>
      <c r="D819" s="40" t="s">
        <v>125</v>
      </c>
      <c r="E819" s="2"/>
      <c r="F819" s="2"/>
      <c r="G819" s="6">
        <f t="shared" si="136"/>
        <v>556.79999999999995</v>
      </c>
      <c r="H819" s="6">
        <f t="shared" si="136"/>
        <v>103.5</v>
      </c>
      <c r="I819" s="416">
        <f t="shared" si="132"/>
        <v>18.58836206896552</v>
      </c>
    </row>
    <row r="820" spans="1:9" s="202" customFormat="1" ht="47.25" x14ac:dyDescent="0.25">
      <c r="A820" s="45" t="s">
        <v>790</v>
      </c>
      <c r="B820" s="20" t="s">
        <v>946</v>
      </c>
      <c r="C820" s="40" t="s">
        <v>498</v>
      </c>
      <c r="D820" s="40" t="s">
        <v>125</v>
      </c>
      <c r="E820" s="2"/>
      <c r="F820" s="2"/>
      <c r="G820" s="6">
        <f t="shared" si="136"/>
        <v>556.79999999999995</v>
      </c>
      <c r="H820" s="6">
        <f t="shared" si="136"/>
        <v>103.5</v>
      </c>
      <c r="I820" s="416">
        <f t="shared" si="132"/>
        <v>18.58836206896552</v>
      </c>
    </row>
    <row r="821" spans="1:9" s="202" customFormat="1" ht="31.5" x14ac:dyDescent="0.25">
      <c r="A821" s="29" t="s">
        <v>279</v>
      </c>
      <c r="B821" s="20" t="s">
        <v>946</v>
      </c>
      <c r="C821" s="40" t="s">
        <v>498</v>
      </c>
      <c r="D821" s="40" t="s">
        <v>125</v>
      </c>
      <c r="E821" s="2">
        <v>600</v>
      </c>
      <c r="F821" s="2"/>
      <c r="G821" s="6">
        <f t="shared" si="136"/>
        <v>556.79999999999995</v>
      </c>
      <c r="H821" s="6">
        <f t="shared" si="136"/>
        <v>103.5</v>
      </c>
      <c r="I821" s="416">
        <f t="shared" si="132"/>
        <v>18.58836206896552</v>
      </c>
    </row>
    <row r="822" spans="1:9" s="202" customFormat="1" ht="15.75" x14ac:dyDescent="0.25">
      <c r="A822" s="184" t="s">
        <v>281</v>
      </c>
      <c r="B822" s="20" t="s">
        <v>946</v>
      </c>
      <c r="C822" s="40" t="s">
        <v>498</v>
      </c>
      <c r="D822" s="40" t="s">
        <v>125</v>
      </c>
      <c r="E822" s="2">
        <v>610</v>
      </c>
      <c r="F822" s="2"/>
      <c r="G822" s="6">
        <f>'Пр.4 ведом.21'!G790</f>
        <v>556.79999999999995</v>
      </c>
      <c r="H822" s="6">
        <f>'Пр.4 ведом.21'!H790</f>
        <v>103.5</v>
      </c>
      <c r="I822" s="416">
        <f t="shared" si="132"/>
        <v>18.58836206896552</v>
      </c>
    </row>
    <row r="823" spans="1:9" s="202" customFormat="1" ht="31.5" x14ac:dyDescent="0.25">
      <c r="A823" s="45" t="s">
        <v>487</v>
      </c>
      <c r="B823" s="20" t="s">
        <v>946</v>
      </c>
      <c r="C823" s="40" t="s">
        <v>498</v>
      </c>
      <c r="D823" s="40" t="s">
        <v>125</v>
      </c>
      <c r="E823" s="2">
        <v>610</v>
      </c>
      <c r="F823" s="2">
        <v>907</v>
      </c>
      <c r="G823" s="6">
        <f>G822</f>
        <v>556.79999999999995</v>
      </c>
      <c r="H823" s="6">
        <f>H822</f>
        <v>103.5</v>
      </c>
      <c r="I823" s="416">
        <f t="shared" si="132"/>
        <v>18.58836206896552</v>
      </c>
    </row>
    <row r="824" spans="1:9" s="202" customFormat="1" ht="15.75" x14ac:dyDescent="0.25">
      <c r="A824" s="29" t="s">
        <v>589</v>
      </c>
      <c r="B824" s="20" t="s">
        <v>898</v>
      </c>
      <c r="C824" s="40" t="s">
        <v>245</v>
      </c>
      <c r="D824" s="40"/>
      <c r="E824" s="2"/>
      <c r="F824" s="2"/>
      <c r="G824" s="6">
        <f t="shared" ref="G824:H827" si="137">G825</f>
        <v>78</v>
      </c>
      <c r="H824" s="6">
        <f t="shared" si="137"/>
        <v>19.5</v>
      </c>
      <c r="I824" s="416">
        <f t="shared" si="132"/>
        <v>25</v>
      </c>
    </row>
    <row r="825" spans="1:9" s="202" customFormat="1" ht="15.75" x14ac:dyDescent="0.25">
      <c r="A825" s="29" t="s">
        <v>590</v>
      </c>
      <c r="B825" s="20" t="s">
        <v>898</v>
      </c>
      <c r="C825" s="40" t="s">
        <v>245</v>
      </c>
      <c r="D825" s="40" t="s">
        <v>220</v>
      </c>
      <c r="E825" s="2"/>
      <c r="F825" s="2"/>
      <c r="G825" s="6">
        <f t="shared" si="137"/>
        <v>78</v>
      </c>
      <c r="H825" s="6">
        <f t="shared" si="137"/>
        <v>19.5</v>
      </c>
      <c r="I825" s="416">
        <f t="shared" si="132"/>
        <v>25</v>
      </c>
    </row>
    <row r="826" spans="1:9" s="202" customFormat="1" ht="31.5" x14ac:dyDescent="0.25">
      <c r="A826" s="45" t="s">
        <v>788</v>
      </c>
      <c r="B826" s="20" t="s">
        <v>899</v>
      </c>
      <c r="C826" s="40" t="s">
        <v>245</v>
      </c>
      <c r="D826" s="40" t="s">
        <v>220</v>
      </c>
      <c r="E826" s="2"/>
      <c r="F826" s="2"/>
      <c r="G826" s="6">
        <f t="shared" si="137"/>
        <v>78</v>
      </c>
      <c r="H826" s="6">
        <f t="shared" si="137"/>
        <v>19.5</v>
      </c>
      <c r="I826" s="416">
        <f t="shared" si="132"/>
        <v>25</v>
      </c>
    </row>
    <row r="827" spans="1:9" s="202" customFormat="1" ht="31.5" x14ac:dyDescent="0.25">
      <c r="A827" s="25" t="s">
        <v>138</v>
      </c>
      <c r="B827" s="20" t="s">
        <v>899</v>
      </c>
      <c r="C827" s="40" t="s">
        <v>245</v>
      </c>
      <c r="D827" s="40" t="s">
        <v>220</v>
      </c>
      <c r="E827" s="2">
        <v>200</v>
      </c>
      <c r="F827" s="2"/>
      <c r="G827" s="6">
        <f t="shared" si="137"/>
        <v>78</v>
      </c>
      <c r="H827" s="6">
        <f t="shared" si="137"/>
        <v>19.5</v>
      </c>
      <c r="I827" s="416">
        <f t="shared" si="132"/>
        <v>25</v>
      </c>
    </row>
    <row r="828" spans="1:9" s="202" customFormat="1" ht="31.5" x14ac:dyDescent="0.25">
      <c r="A828" s="25" t="s">
        <v>140</v>
      </c>
      <c r="B8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      <f>'Пр.4 ведом.21'!G479</f>
        <v>78</v>
      </c>
      <c r="H828" s="6">
        <f>'Пр.4 ведом.21'!H479</f>
        <v>19.5</v>
      </c>
      <c r="I828" s="416">
        <f t="shared" si="132"/>
        <v>25</v>
      </c>
    </row>
    <row r="829" spans="1:9" s="202" customFormat="1" ht="47.25" x14ac:dyDescent="0.25">
      <c r="A829" s="45" t="s">
        <v>268</v>
      </c>
      <c r="B829" s="20" t="s">
        <v>899</v>
      </c>
      <c r="C829" s="40" t="s">
        <v>245</v>
      </c>
      <c r="D829" s="40" t="s">
        <v>220</v>
      </c>
      <c r="E829" s="2">
        <v>240</v>
      </c>
      <c r="F829" s="2">
        <v>903</v>
      </c>
      <c r="G829" s="6">
        <f>G826</f>
        <v>78</v>
      </c>
      <c r="H829" s="6">
        <f>H826</f>
        <v>19.5</v>
      </c>
      <c r="I829" s="416">
        <f t="shared" si="132"/>
        <v>25</v>
      </c>
    </row>
    <row r="830" spans="1:9" s="202" customFormat="1" ht="31.5" x14ac:dyDescent="0.25">
      <c r="A830" s="207" t="s">
        <v>1033</v>
      </c>
      <c r="B830" s="24" t="s">
        <v>863</v>
      </c>
      <c r="C830" s="7"/>
      <c r="D830" s="7"/>
      <c r="E830" s="3"/>
      <c r="F830" s="3"/>
      <c r="G830" s="4">
        <f t="shared" ref="G830:H832" si="138">G831</f>
        <v>15</v>
      </c>
      <c r="H830" s="4">
        <f t="shared" si="138"/>
        <v>0</v>
      </c>
      <c r="I830" s="441">
        <f t="shared" si="132"/>
        <v>0</v>
      </c>
    </row>
    <row r="831" spans="1:9" s="202" customFormat="1" ht="15.75" x14ac:dyDescent="0.25">
      <c r="A831" s="219" t="s">
        <v>124</v>
      </c>
      <c r="B831" s="20" t="s">
        <v>863</v>
      </c>
      <c r="C831" s="40" t="s">
        <v>125</v>
      </c>
      <c r="D831" s="40"/>
      <c r="E831" s="2"/>
      <c r="F831" s="2"/>
      <c r="G831" s="6">
        <f t="shared" si="138"/>
        <v>15</v>
      </c>
      <c r="H831" s="6">
        <f t="shared" si="138"/>
        <v>0</v>
      </c>
      <c r="I831" s="416">
        <f t="shared" si="132"/>
        <v>0</v>
      </c>
    </row>
    <row r="832" spans="1:9" s="202" customFormat="1" ht="15.75" x14ac:dyDescent="0.25">
      <c r="A832" s="219" t="s">
        <v>146</v>
      </c>
      <c r="B832" s="20" t="s">
        <v>863</v>
      </c>
      <c r="C832" s="40" t="s">
        <v>125</v>
      </c>
      <c r="D832" s="40" t="s">
        <v>147</v>
      </c>
      <c r="E832" s="2"/>
      <c r="F832" s="2"/>
      <c r="G832" s="6">
        <f t="shared" si="138"/>
        <v>15</v>
      </c>
      <c r="H832" s="6">
        <f t="shared" si="138"/>
        <v>0</v>
      </c>
      <c r="I832" s="416">
        <f t="shared" si="132"/>
        <v>0</v>
      </c>
    </row>
    <row r="833" spans="1:9" ht="47.25" x14ac:dyDescent="0.25">
      <c r="A833" s="251" t="s">
        <v>1015</v>
      </c>
      <c r="B833" s="20" t="s">
        <v>858</v>
      </c>
      <c r="C833" s="40" t="s">
        <v>125</v>
      </c>
      <c r="D833" s="40" t="s">
        <v>147</v>
      </c>
      <c r="E833" s="2"/>
      <c r="F833" s="2"/>
      <c r="G833" s="6">
        <f t="shared" ref="G833:H834" si="139">G834</f>
        <v>15</v>
      </c>
      <c r="H833" s="6">
        <f t="shared" si="139"/>
        <v>0</v>
      </c>
      <c r="I833" s="416">
        <f t="shared" si="132"/>
        <v>0</v>
      </c>
    </row>
    <row r="834" spans="1:9" ht="31.5" x14ac:dyDescent="0.25">
      <c r="A834" s="25" t="s">
        <v>138</v>
      </c>
      <c r="B834" s="20" t="s">
        <v>858</v>
      </c>
      <c r="C834" s="40" t="s">
        <v>125</v>
      </c>
      <c r="D834" s="40" t="s">
        <v>147</v>
      </c>
      <c r="E834" s="2">
        <v>200</v>
      </c>
      <c r="F834" s="2"/>
      <c r="G834" s="6">
        <f t="shared" si="139"/>
        <v>15</v>
      </c>
      <c r="H834" s="6">
        <f t="shared" si="139"/>
        <v>0</v>
      </c>
      <c r="I834" s="416">
        <f t="shared" si="132"/>
        <v>0</v>
      </c>
    </row>
    <row r="835" spans="1:9" ht="31.5" x14ac:dyDescent="0.25">
      <c r="A835" s="25" t="s">
        <v>140</v>
      </c>
      <c r="B835" s="20" t="s">
        <v>858</v>
      </c>
      <c r="C835" s="40" t="s">
        <v>125</v>
      </c>
      <c r="D835" s="40" t="s">
        <v>147</v>
      </c>
      <c r="E835" s="2">
        <v>240</v>
      </c>
      <c r="F835" s="2"/>
      <c r="G835" s="6">
        <f>'Пр.4 ведом.21'!G146</f>
        <v>15</v>
      </c>
      <c r="H835" s="6">
        <f>'Пр.4 ведом.21'!H146</f>
        <v>0</v>
      </c>
      <c r="I835" s="416">
        <f t="shared" si="132"/>
        <v>0</v>
      </c>
    </row>
    <row r="836" spans="1:9" ht="20.25" customHeight="1" x14ac:dyDescent="0.25">
      <c r="A836" s="29" t="s">
        <v>155</v>
      </c>
      <c r="B836" s="20" t="s">
        <v>858</v>
      </c>
      <c r="C836" s="40" t="s">
        <v>125</v>
      </c>
      <c r="D836" s="40" t="s">
        <v>147</v>
      </c>
      <c r="E836" s="2">
        <v>240</v>
      </c>
      <c r="F836" s="2">
        <v>902</v>
      </c>
      <c r="G836" s="6">
        <f>G835</f>
        <v>15</v>
      </c>
      <c r="H836" s="6">
        <f>H835</f>
        <v>0</v>
      </c>
      <c r="I836" s="416">
        <f t="shared" si="132"/>
        <v>0</v>
      </c>
    </row>
    <row r="837" spans="1:9" ht="65.25" customHeight="1" x14ac:dyDescent="0.25">
      <c r="A837" s="23" t="s">
        <v>1580</v>
      </c>
      <c r="B837" s="24" t="s">
        <v>721</v>
      </c>
      <c r="C837" s="7"/>
      <c r="D837" s="7"/>
      <c r="E837" s="3"/>
      <c r="F837" s="3"/>
      <c r="G837" s="4">
        <f>G838</f>
        <v>22809</v>
      </c>
      <c r="H837" s="4">
        <f>H838</f>
        <v>0</v>
      </c>
      <c r="I837" s="441">
        <f t="shared" si="132"/>
        <v>0</v>
      </c>
    </row>
    <row r="838" spans="1:9" s="202" customFormat="1" ht="31.5" x14ac:dyDescent="0.25">
      <c r="A838" s="23" t="s">
        <v>1077</v>
      </c>
      <c r="B838" s="24" t="s">
        <v>1098</v>
      </c>
      <c r="C838" s="7"/>
      <c r="D838" s="7"/>
      <c r="E838" s="3"/>
      <c r="F838" s="3"/>
      <c r="G838" s="4">
        <f>G839</f>
        <v>22809</v>
      </c>
      <c r="H838" s="4">
        <f>H839</f>
        <v>0</v>
      </c>
      <c r="I838" s="441">
        <f t="shared" si="132"/>
        <v>0</v>
      </c>
    </row>
    <row r="839" spans="1:9" ht="15.75" x14ac:dyDescent="0.25">
      <c r="A839" s="25" t="s">
        <v>397</v>
      </c>
      <c r="B839" s="20" t="s">
        <v>845</v>
      </c>
      <c r="C839" s="40" t="s">
        <v>241</v>
      </c>
      <c r="D839" s="40"/>
      <c r="E839" s="2"/>
      <c r="F839" s="2"/>
      <c r="G839" s="6">
        <f t="shared" ref="G839:H842" si="140">G840</f>
        <v>22809</v>
      </c>
      <c r="H839" s="6">
        <f t="shared" si="140"/>
        <v>0</v>
      </c>
      <c r="I839" s="416">
        <f t="shared" si="132"/>
        <v>0</v>
      </c>
    </row>
    <row r="840" spans="1:9" ht="15.75" x14ac:dyDescent="0.25">
      <c r="A840" s="25" t="s">
        <v>548</v>
      </c>
      <c r="B840" s="20" t="s">
        <v>845</v>
      </c>
      <c r="C840" s="40" t="s">
        <v>241</v>
      </c>
      <c r="D840" s="40" t="s">
        <v>222</v>
      </c>
      <c r="E840" s="2"/>
      <c r="F840" s="2"/>
      <c r="G840" s="6">
        <f t="shared" si="140"/>
        <v>22809</v>
      </c>
      <c r="H840" s="6">
        <f t="shared" si="140"/>
        <v>0</v>
      </c>
      <c r="I840" s="416">
        <f t="shared" si="132"/>
        <v>0</v>
      </c>
    </row>
    <row r="841" spans="1:9" ht="47.25" x14ac:dyDescent="0.25">
      <c r="A841" s="80" t="s">
        <v>701</v>
      </c>
      <c r="B841" s="20" t="s">
        <v>845</v>
      </c>
      <c r="C841" s="40" t="s">
        <v>241</v>
      </c>
      <c r="D841" s="40" t="s">
        <v>222</v>
      </c>
      <c r="E841" s="2"/>
      <c r="F841" s="2"/>
      <c r="G841" s="6">
        <f t="shared" si="140"/>
        <v>22809</v>
      </c>
      <c r="H841" s="6">
        <f t="shared" si="140"/>
        <v>0</v>
      </c>
      <c r="I841" s="416">
        <f t="shared" si="132"/>
        <v>0</v>
      </c>
    </row>
    <row r="842" spans="1:9" ht="31.5" x14ac:dyDescent="0.25">
      <c r="A842" s="25" t="s">
        <v>138</v>
      </c>
      <c r="B842" s="20" t="s">
        <v>845</v>
      </c>
      <c r="C842" s="40" t="s">
        <v>241</v>
      </c>
      <c r="D842" s="40" t="s">
        <v>222</v>
      </c>
      <c r="E842" s="2">
        <v>200</v>
      </c>
      <c r="F842" s="2"/>
      <c r="G842" s="6">
        <f t="shared" si="140"/>
        <v>22809</v>
      </c>
      <c r="H842" s="6">
        <f t="shared" si="140"/>
        <v>0</v>
      </c>
      <c r="I842" s="416">
        <f t="shared" si="132"/>
        <v>0</v>
      </c>
    </row>
    <row r="843" spans="1:9" ht="31.5" x14ac:dyDescent="0.25">
      <c r="A843" s="25" t="s">
        <v>140</v>
      </c>
      <c r="B843" s="20" t="s">
        <v>845</v>
      </c>
      <c r="C843" s="40" t="s">
        <v>241</v>
      </c>
      <c r="D843" s="40" t="s">
        <v>222</v>
      </c>
      <c r="E843" s="2">
        <v>240</v>
      </c>
      <c r="F843" s="2"/>
      <c r="G843" s="6">
        <f>'Пр.4 ведом.21'!G991</f>
        <v>22809</v>
      </c>
      <c r="H843" s="6">
        <f>'Пр.4 ведом.21'!H991</f>
        <v>0</v>
      </c>
      <c r="I843" s="416">
        <f t="shared" si="132"/>
        <v>0</v>
      </c>
    </row>
    <row r="844" spans="1:9" ht="34.5" customHeight="1" x14ac:dyDescent="0.25">
      <c r="A844" s="45" t="s">
        <v>631</v>
      </c>
      <c r="B844" s="20" t="s">
        <v>845</v>
      </c>
      <c r="C844" s="40" t="s">
        <v>241</v>
      </c>
      <c r="D844" s="40" t="s">
        <v>222</v>
      </c>
      <c r="E844" s="2">
        <v>240</v>
      </c>
      <c r="F844" s="2">
        <v>908</v>
      </c>
      <c r="G844" s="6">
        <f t="shared" ref="G844:H844" si="141">G837</f>
        <v>22809</v>
      </c>
      <c r="H844" s="6">
        <f t="shared" si="141"/>
        <v>0</v>
      </c>
      <c r="I844" s="416">
        <f t="shared" si="132"/>
        <v>0</v>
      </c>
    </row>
    <row r="845" spans="1:9" s="186" customFormat="1" ht="63" x14ac:dyDescent="0.25">
      <c r="A845" s="58" t="s">
        <v>1578</v>
      </c>
      <c r="B845" s="24" t="s">
        <v>792</v>
      </c>
      <c r="C845" s="7"/>
      <c r="D845" s="7"/>
      <c r="E845" s="3"/>
      <c r="F845" s="3"/>
      <c r="G845" s="4">
        <f>G847</f>
        <v>1014.8600000000001</v>
      </c>
      <c r="H845" s="4">
        <f>H847</f>
        <v>0</v>
      </c>
      <c r="I845" s="441">
        <f t="shared" si="132"/>
        <v>0</v>
      </c>
    </row>
    <row r="846" spans="1:9" s="186" customFormat="1" ht="31.5" x14ac:dyDescent="0.25">
      <c r="A846" s="23" t="s">
        <v>940</v>
      </c>
      <c r="B846" s="24" t="s">
        <v>1030</v>
      </c>
      <c r="C846" s="7"/>
      <c r="D846" s="7"/>
      <c r="E846" s="3"/>
      <c r="F846" s="3"/>
      <c r="G846" s="4">
        <f t="shared" ref="G846:H850" si="142">G847</f>
        <v>1014.8600000000001</v>
      </c>
      <c r="H846" s="4">
        <f t="shared" si="142"/>
        <v>0</v>
      </c>
      <c r="I846" s="441">
        <f t="shared" si="132"/>
        <v>0</v>
      </c>
    </row>
    <row r="847" spans="1:9" ht="15.75" x14ac:dyDescent="0.25">
      <c r="A847" s="45" t="s">
        <v>124</v>
      </c>
      <c r="B847" s="20" t="s">
        <v>1030</v>
      </c>
      <c r="C847" s="40" t="s">
        <v>125</v>
      </c>
      <c r="D847" s="40"/>
      <c r="E847" s="2"/>
      <c r="F847" s="2"/>
      <c r="G847" s="6">
        <f t="shared" si="142"/>
        <v>1014.8600000000001</v>
      </c>
      <c r="H847" s="6">
        <f t="shared" si="142"/>
        <v>0</v>
      </c>
      <c r="I847" s="416">
        <f t="shared" si="132"/>
        <v>0</v>
      </c>
    </row>
    <row r="848" spans="1:9" ht="15.75" x14ac:dyDescent="0.25">
      <c r="A848" s="45" t="s">
        <v>146</v>
      </c>
      <c r="B848" s="20" t="s">
        <v>1030</v>
      </c>
      <c r="C848" s="40" t="s">
        <v>125</v>
      </c>
      <c r="D848" s="40" t="s">
        <v>147</v>
      </c>
      <c r="E848" s="2"/>
      <c r="F848" s="2"/>
      <c r="G848" s="6">
        <f t="shared" si="142"/>
        <v>1014.8600000000001</v>
      </c>
      <c r="H848" s="6">
        <f t="shared" si="142"/>
        <v>0</v>
      </c>
      <c r="I848" s="416">
        <f t="shared" si="132"/>
        <v>0</v>
      </c>
    </row>
    <row r="849" spans="1:9" ht="31.5" x14ac:dyDescent="0.25">
      <c r="A849" s="45" t="s">
        <v>800</v>
      </c>
      <c r="B849" s="20" t="s">
        <v>1031</v>
      </c>
      <c r="C849" s="40" t="s">
        <v>125</v>
      </c>
      <c r="D849" s="40" t="s">
        <v>147</v>
      </c>
      <c r="E849" s="2"/>
      <c r="F849" s="2"/>
      <c r="G849" s="6">
        <f t="shared" si="142"/>
        <v>1014.8600000000001</v>
      </c>
      <c r="H849" s="6">
        <f t="shared" si="142"/>
        <v>0</v>
      </c>
      <c r="I849" s="416">
        <f t="shared" si="132"/>
        <v>0</v>
      </c>
    </row>
    <row r="850" spans="1:9" ht="31.5" x14ac:dyDescent="0.25">
      <c r="A850" s="45" t="s">
        <v>138</v>
      </c>
      <c r="B850" s="20" t="s">
        <v>1031</v>
      </c>
      <c r="C850" s="40" t="s">
        <v>125</v>
      </c>
      <c r="D850" s="40" t="s">
        <v>147</v>
      </c>
      <c r="E850" s="2">
        <v>200</v>
      </c>
      <c r="F850" s="2"/>
      <c r="G850" s="6">
        <f t="shared" si="142"/>
        <v>1014.8600000000001</v>
      </c>
      <c r="H850" s="6">
        <f t="shared" si="142"/>
        <v>0</v>
      </c>
      <c r="I850" s="416">
        <f t="shared" ref="I850:I877" si="143">H850/G850*100</f>
        <v>0</v>
      </c>
    </row>
    <row r="851" spans="1:9" ht="31.5" x14ac:dyDescent="0.25">
      <c r="A851" s="45" t="s">
        <v>140</v>
      </c>
      <c r="B851" s="20" t="s">
        <v>1031</v>
      </c>
      <c r="C851" s="40" t="s">
        <v>125</v>
      </c>
      <c r="D851" s="40" t="s">
        <v>147</v>
      </c>
      <c r="E851" s="2">
        <v>240</v>
      </c>
      <c r="F851" s="2"/>
      <c r="G851" s="6">
        <f>'Пр.4 ведом.21'!G512</f>
        <v>1014.8600000000001</v>
      </c>
      <c r="H851" s="6">
        <f>'Пр.4 ведом.21'!H512</f>
        <v>0</v>
      </c>
      <c r="I851" s="416">
        <f t="shared" si="143"/>
        <v>0</v>
      </c>
    </row>
    <row r="852" spans="1:9" ht="36.75" customHeight="1" x14ac:dyDescent="0.25">
      <c r="A852" s="45" t="s">
        <v>1402</v>
      </c>
      <c r="B852" s="20" t="s">
        <v>1031</v>
      </c>
      <c r="C852" s="40" t="s">
        <v>125</v>
      </c>
      <c r="D852" s="40" t="s">
        <v>147</v>
      </c>
      <c r="E852" s="2">
        <v>240</v>
      </c>
      <c r="F852" s="2">
        <v>905</v>
      </c>
      <c r="G852" s="6">
        <f>G845</f>
        <v>1014.8600000000001</v>
      </c>
      <c r="H852" s="6">
        <f>H845</f>
        <v>0</v>
      </c>
      <c r="I852" s="416">
        <f t="shared" si="143"/>
        <v>0</v>
      </c>
    </row>
    <row r="853" spans="1:9" ht="68.25" customHeight="1" x14ac:dyDescent="0.25">
      <c r="A853" s="41" t="s">
        <v>1382</v>
      </c>
      <c r="B853" s="24" t="s">
        <v>827</v>
      </c>
      <c r="C853" s="7"/>
      <c r="D853" s="7"/>
      <c r="E853" s="3"/>
      <c r="F853" s="3"/>
      <c r="G853" s="4">
        <f>G855</f>
        <v>40</v>
      </c>
      <c r="H853" s="4">
        <f>H855</f>
        <v>0</v>
      </c>
      <c r="I853" s="441">
        <f t="shared" si="143"/>
        <v>0</v>
      </c>
    </row>
    <row r="854" spans="1:9" s="202" customFormat="1" ht="47.25" x14ac:dyDescent="0.25">
      <c r="A854" s="208" t="s">
        <v>864</v>
      </c>
      <c r="B854" s="24" t="s">
        <v>1086</v>
      </c>
      <c r="C854" s="7"/>
      <c r="D854" s="7"/>
      <c r="E854" s="3"/>
      <c r="F854" s="3"/>
      <c r="G854" s="4">
        <f t="shared" ref="G854:H858" si="144">G855</f>
        <v>40</v>
      </c>
      <c r="H854" s="4">
        <f t="shared" si="144"/>
        <v>0</v>
      </c>
      <c r="I854" s="441">
        <f t="shared" si="143"/>
        <v>0</v>
      </c>
    </row>
    <row r="855" spans="1:9" ht="15.75" x14ac:dyDescent="0.25">
      <c r="A855" s="45" t="s">
        <v>124</v>
      </c>
      <c r="B855" s="20" t="s">
        <v>1086</v>
      </c>
      <c r="C855" s="40" t="s">
        <v>125</v>
      </c>
      <c r="D855" s="40"/>
      <c r="E855" s="2"/>
      <c r="F855" s="2"/>
      <c r="G855" s="6">
        <f t="shared" si="144"/>
        <v>40</v>
      </c>
      <c r="H855" s="6">
        <f t="shared" si="144"/>
        <v>0</v>
      </c>
      <c r="I855" s="416">
        <f t="shared" si="143"/>
        <v>0</v>
      </c>
    </row>
    <row r="856" spans="1:9" ht="15.75" x14ac:dyDescent="0.25">
      <c r="A856" s="45" t="s">
        <v>146</v>
      </c>
      <c r="B856" s="20" t="s">
        <v>1086</v>
      </c>
      <c r="C856" s="40" t="s">
        <v>125</v>
      </c>
      <c r="D856" s="40" t="s">
        <v>147</v>
      </c>
      <c r="E856" s="2"/>
      <c r="F856" s="2"/>
      <c r="G856" s="6">
        <f t="shared" si="144"/>
        <v>40</v>
      </c>
      <c r="H856" s="6">
        <f t="shared" si="144"/>
        <v>0</v>
      </c>
      <c r="I856" s="416">
        <f t="shared" si="143"/>
        <v>0</v>
      </c>
    </row>
    <row r="857" spans="1:9" ht="31.5" x14ac:dyDescent="0.25">
      <c r="A857" s="97" t="s">
        <v>178</v>
      </c>
      <c r="B857" s="20" t="s">
        <v>865</v>
      </c>
      <c r="C857" s="40" t="s">
        <v>125</v>
      </c>
      <c r="D857" s="40" t="s">
        <v>147</v>
      </c>
      <c r="E857" s="2"/>
      <c r="F857" s="2"/>
      <c r="G857" s="6">
        <f t="shared" si="144"/>
        <v>40</v>
      </c>
      <c r="H857" s="6">
        <f t="shared" si="144"/>
        <v>0</v>
      </c>
      <c r="I857" s="416">
        <f t="shared" si="143"/>
        <v>0</v>
      </c>
    </row>
    <row r="858" spans="1:9" ht="31.5" x14ac:dyDescent="0.25">
      <c r="A858" s="45" t="s">
        <v>138</v>
      </c>
      <c r="B858" s="20" t="s">
        <v>865</v>
      </c>
      <c r="C858" s="40" t="s">
        <v>125</v>
      </c>
      <c r="D858" s="40" t="s">
        <v>147</v>
      </c>
      <c r="E858" s="2">
        <v>200</v>
      </c>
      <c r="F858" s="2"/>
      <c r="G858" s="6">
        <f t="shared" si="144"/>
        <v>40</v>
      </c>
      <c r="H858" s="6">
        <f t="shared" si="144"/>
        <v>0</v>
      </c>
      <c r="I858" s="416">
        <f t="shared" si="143"/>
        <v>0</v>
      </c>
    </row>
    <row r="859" spans="1:9" ht="31.5" x14ac:dyDescent="0.25">
      <c r="A859" s="45" t="s">
        <v>140</v>
      </c>
      <c r="B859" s="20" t="s">
        <v>865</v>
      </c>
      <c r="C859" s="40" t="s">
        <v>125</v>
      </c>
      <c r="D859" s="40" t="s">
        <v>147</v>
      </c>
      <c r="E859" s="2">
        <v>240</v>
      </c>
      <c r="F859" s="2"/>
      <c r="G859" s="6">
        <f>'Пр.4 ведом.21'!G151</f>
        <v>40</v>
      </c>
      <c r="H859" s="6">
        <f>'Пр.4 ведом.21'!H151</f>
        <v>0</v>
      </c>
      <c r="I859" s="416">
        <f t="shared" si="143"/>
        <v>0</v>
      </c>
    </row>
    <row r="860" spans="1:9" ht="23.25" customHeight="1" x14ac:dyDescent="0.25">
      <c r="A860" s="29" t="s">
        <v>155</v>
      </c>
      <c r="B860" s="20" t="s">
        <v>865</v>
      </c>
      <c r="C860" s="40" t="s">
        <v>125</v>
      </c>
      <c r="D860" s="40" t="s">
        <v>147</v>
      </c>
      <c r="E860" s="2">
        <v>240</v>
      </c>
      <c r="F860" s="2">
        <v>902</v>
      </c>
      <c r="G860" s="6">
        <f>G853</f>
        <v>40</v>
      </c>
      <c r="H860" s="6">
        <f>H853</f>
        <v>0</v>
      </c>
      <c r="I860" s="416">
        <f t="shared" si="143"/>
        <v>0</v>
      </c>
    </row>
    <row r="861" spans="1:9" ht="63" x14ac:dyDescent="0.25">
      <c r="A861" s="41" t="s">
        <v>1391</v>
      </c>
      <c r="B861" s="24" t="s">
        <v>828</v>
      </c>
      <c r="C861" s="7"/>
      <c r="D861" s="7"/>
      <c r="E861" s="3"/>
      <c r="F861" s="3"/>
      <c r="G861" s="4">
        <f>G863</f>
        <v>70</v>
      </c>
      <c r="H861" s="4">
        <f>H863</f>
        <v>0</v>
      </c>
      <c r="I861" s="441">
        <f t="shared" si="143"/>
        <v>0</v>
      </c>
    </row>
    <row r="862" spans="1:9" s="202" customFormat="1" ht="31.5" x14ac:dyDescent="0.25">
      <c r="A862" s="58" t="s">
        <v>866</v>
      </c>
      <c r="B862" s="24" t="s">
        <v>874</v>
      </c>
      <c r="C862" s="7"/>
      <c r="D862" s="7"/>
      <c r="E862" s="3"/>
      <c r="F862" s="3"/>
      <c r="G862" s="4">
        <f t="shared" ref="G862:H866" si="145">G863</f>
        <v>70</v>
      </c>
      <c r="H862" s="4">
        <f t="shared" si="145"/>
        <v>0</v>
      </c>
      <c r="I862" s="441">
        <f t="shared" si="143"/>
        <v>0</v>
      </c>
    </row>
    <row r="863" spans="1:9" ht="15.75" x14ac:dyDescent="0.25">
      <c r="A863" s="45" t="s">
        <v>124</v>
      </c>
      <c r="B863" s="20" t="s">
        <v>874</v>
      </c>
      <c r="C863" s="40" t="s">
        <v>125</v>
      </c>
      <c r="D863" s="40"/>
      <c r="E863" s="2"/>
      <c r="F863" s="2"/>
      <c r="G863" s="6">
        <f t="shared" si="145"/>
        <v>70</v>
      </c>
      <c r="H863" s="6">
        <f t="shared" si="145"/>
        <v>0</v>
      </c>
      <c r="I863" s="416">
        <f t="shared" si="143"/>
        <v>0</v>
      </c>
    </row>
    <row r="864" spans="1:9" ht="15.75" x14ac:dyDescent="0.25">
      <c r="A864" s="45" t="s">
        <v>146</v>
      </c>
      <c r="B864" s="20" t="s">
        <v>874</v>
      </c>
      <c r="C864" s="40" t="s">
        <v>125</v>
      </c>
      <c r="D864" s="40" t="s">
        <v>147</v>
      </c>
      <c r="E864" s="2"/>
      <c r="F864" s="2"/>
      <c r="G864" s="6">
        <f t="shared" si="145"/>
        <v>70</v>
      </c>
      <c r="H864" s="6">
        <f t="shared" si="145"/>
        <v>0</v>
      </c>
      <c r="I864" s="416">
        <f t="shared" si="143"/>
        <v>0</v>
      </c>
    </row>
    <row r="865" spans="1:9" ht="15.75" x14ac:dyDescent="0.25">
      <c r="A865" s="45" t="s">
        <v>182</v>
      </c>
      <c r="B865" s="20" t="s">
        <v>867</v>
      </c>
      <c r="C865" s="40" t="s">
        <v>125</v>
      </c>
      <c r="D865" s="40" t="s">
        <v>147</v>
      </c>
      <c r="E865" s="2"/>
      <c r="F865" s="2"/>
      <c r="G865" s="6">
        <f t="shared" si="145"/>
        <v>70</v>
      </c>
      <c r="H865" s="6">
        <f t="shared" si="145"/>
        <v>0</v>
      </c>
      <c r="I865" s="416">
        <f t="shared" si="143"/>
        <v>0</v>
      </c>
    </row>
    <row r="866" spans="1:9" ht="31.5" x14ac:dyDescent="0.25">
      <c r="A866" s="45" t="s">
        <v>138</v>
      </c>
      <c r="B866" s="20" t="s">
        <v>867</v>
      </c>
      <c r="C866" s="40" t="s">
        <v>125</v>
      </c>
      <c r="D866" s="40" t="s">
        <v>147</v>
      </c>
      <c r="E866" s="2">
        <v>200</v>
      </c>
      <c r="F866" s="2"/>
      <c r="G866" s="6">
        <f t="shared" si="145"/>
        <v>70</v>
      </c>
      <c r="H866" s="6">
        <f t="shared" si="145"/>
        <v>0</v>
      </c>
      <c r="I866" s="416">
        <f t="shared" si="143"/>
        <v>0</v>
      </c>
    </row>
    <row r="867" spans="1:9" ht="31.5" x14ac:dyDescent="0.25">
      <c r="A867" s="45" t="s">
        <v>140</v>
      </c>
      <c r="B867" s="20" t="s">
        <v>867</v>
      </c>
      <c r="C867" s="40" t="s">
        <v>125</v>
      </c>
      <c r="D867" s="40" t="s">
        <v>147</v>
      </c>
      <c r="E867" s="2">
        <v>240</v>
      </c>
      <c r="F867" s="2"/>
      <c r="G867" s="6">
        <f>'Пр.4 ведом.21'!G156</f>
        <v>70</v>
      </c>
      <c r="H867" s="6">
        <f>'Пр.4 ведом.21'!H156</f>
        <v>0</v>
      </c>
      <c r="I867" s="416">
        <f t="shared" si="143"/>
        <v>0</v>
      </c>
    </row>
    <row r="868" spans="1:9" ht="23.25" customHeight="1" x14ac:dyDescent="0.25">
      <c r="A868" s="29" t="s">
        <v>155</v>
      </c>
      <c r="B868" s="20" t="s">
        <v>867</v>
      </c>
      <c r="C868" s="40" t="s">
        <v>125</v>
      </c>
      <c r="D868" s="40" t="s">
        <v>147</v>
      </c>
      <c r="E868" s="2">
        <v>240</v>
      </c>
      <c r="F868" s="2">
        <v>902</v>
      </c>
      <c r="G868" s="6">
        <f>G861</f>
        <v>70</v>
      </c>
      <c r="H868" s="6">
        <f>H861</f>
        <v>0</v>
      </c>
      <c r="I868" s="416">
        <f t="shared" si="143"/>
        <v>0</v>
      </c>
    </row>
    <row r="869" spans="1:9" s="202" customFormat="1" ht="47.25" hidden="1" x14ac:dyDescent="0.25">
      <c r="A869" s="23" t="s">
        <v>1577</v>
      </c>
      <c r="B869" s="24" t="s">
        <v>1155</v>
      </c>
      <c r="C869" s="40"/>
      <c r="D869" s="40"/>
      <c r="E869" s="2"/>
      <c r="F869" s="2"/>
      <c r="G869" s="4">
        <f t="shared" ref="G869:H875" si="146">G870</f>
        <v>0</v>
      </c>
      <c r="H869" s="4">
        <f t="shared" si="146"/>
        <v>0</v>
      </c>
      <c r="I869" s="416" t="e">
        <f t="shared" si="143"/>
        <v>#DIV/0!</v>
      </c>
    </row>
    <row r="870" spans="1:9" s="202" customFormat="1" ht="31.5" hidden="1" x14ac:dyDescent="0.25">
      <c r="A870" s="23" t="s">
        <v>1156</v>
      </c>
      <c r="B870" s="24" t="s">
        <v>1157</v>
      </c>
      <c r="C870" s="40"/>
      <c r="D870" s="40"/>
      <c r="E870" s="2"/>
      <c r="F870" s="2"/>
      <c r="G870" s="4">
        <f t="shared" si="146"/>
        <v>0</v>
      </c>
      <c r="H870" s="4">
        <f t="shared" si="146"/>
        <v>0</v>
      </c>
      <c r="I870" s="416" t="e">
        <f t="shared" si="143"/>
        <v>#DIV/0!</v>
      </c>
    </row>
    <row r="871" spans="1:9" s="202" customFormat="1" ht="15.75" hidden="1" x14ac:dyDescent="0.25">
      <c r="A871" s="29" t="s">
        <v>397</v>
      </c>
      <c r="B871" s="20" t="s">
        <v>1157</v>
      </c>
      <c r="C871" s="40" t="s">
        <v>241</v>
      </c>
      <c r="D871" s="40"/>
      <c r="E871" s="2"/>
      <c r="F871" s="2"/>
      <c r="G871" s="6">
        <f t="shared" si="146"/>
        <v>0</v>
      </c>
      <c r="H871" s="6">
        <f t="shared" si="146"/>
        <v>0</v>
      </c>
      <c r="I871" s="416" t="e">
        <f t="shared" si="143"/>
        <v>#DIV/0!</v>
      </c>
    </row>
    <row r="872" spans="1:9" s="202" customFormat="1" ht="15.75" hidden="1" x14ac:dyDescent="0.25">
      <c r="A872" s="29" t="s">
        <v>524</v>
      </c>
      <c r="B872" s="20" t="s">
        <v>1157</v>
      </c>
      <c r="C872" s="40" t="s">
        <v>241</v>
      </c>
      <c r="D872" s="40" t="s">
        <v>220</v>
      </c>
      <c r="E872" s="2"/>
      <c r="F872" s="2"/>
      <c r="G872" s="6">
        <f t="shared" si="146"/>
        <v>0</v>
      </c>
      <c r="H872" s="6">
        <f t="shared" si="146"/>
        <v>0</v>
      </c>
      <c r="I872" s="416" t="e">
        <f t="shared" si="143"/>
        <v>#DIV/0!</v>
      </c>
    </row>
    <row r="873" spans="1:9" s="202" customFormat="1" ht="15.75" hidden="1" x14ac:dyDescent="0.25">
      <c r="A873" s="29" t="s">
        <v>1159</v>
      </c>
      <c r="B873" s="20" t="s">
        <v>1158</v>
      </c>
      <c r="C873" s="40" t="s">
        <v>241</v>
      </c>
      <c r="D873" s="40" t="s">
        <v>220</v>
      </c>
      <c r="E873" s="2"/>
      <c r="F873" s="2"/>
      <c r="G873" s="6">
        <f t="shared" si="146"/>
        <v>0</v>
      </c>
      <c r="H873" s="6">
        <f t="shared" si="146"/>
        <v>0</v>
      </c>
      <c r="I873" s="416" t="e">
        <f t="shared" si="143"/>
        <v>#DIV/0!</v>
      </c>
    </row>
    <row r="874" spans="1:9" s="202" customFormat="1" ht="31.5" hidden="1" x14ac:dyDescent="0.25">
      <c r="A874" s="45" t="s">
        <v>138</v>
      </c>
      <c r="B874" s="20" t="s">
        <v>1158</v>
      </c>
      <c r="C874" s="40" t="s">
        <v>241</v>
      </c>
      <c r="D874" s="40" t="s">
        <v>220</v>
      </c>
      <c r="E874" s="2">
        <v>200</v>
      </c>
      <c r="F874" s="2"/>
      <c r="G874" s="6">
        <f t="shared" si="146"/>
        <v>0</v>
      </c>
      <c r="H874" s="6">
        <f t="shared" si="146"/>
        <v>0</v>
      </c>
      <c r="I874" s="416" t="e">
        <f t="shared" si="143"/>
        <v>#DIV/0!</v>
      </c>
    </row>
    <row r="875" spans="1:9" s="202" customFormat="1" ht="31.5" hidden="1" x14ac:dyDescent="0.25">
      <c r="A875" s="45" t="s">
        <v>140</v>
      </c>
      <c r="B875" s="20" t="s">
        <v>1158</v>
      </c>
      <c r="C875" s="40" t="s">
        <v>241</v>
      </c>
      <c r="D875" s="40" t="s">
        <v>220</v>
      </c>
      <c r="E875" s="2">
        <v>240</v>
      </c>
      <c r="F875" s="2"/>
      <c r="G875" s="6">
        <f t="shared" si="146"/>
        <v>0</v>
      </c>
      <c r="H875" s="6">
        <f t="shared" si="146"/>
        <v>0</v>
      </c>
      <c r="I875" s="416" t="e">
        <f t="shared" si="143"/>
        <v>#DIV/0!</v>
      </c>
    </row>
    <row r="876" spans="1:9" s="202" customFormat="1" ht="31.5" hidden="1" x14ac:dyDescent="0.25">
      <c r="A876" s="45" t="s">
        <v>631</v>
      </c>
      <c r="B876" s="20" t="s">
        <v>1158</v>
      </c>
      <c r="C876" s="40" t="s">
        <v>241</v>
      </c>
      <c r="D876" s="40" t="s">
        <v>220</v>
      </c>
      <c r="E876" s="2">
        <v>240</v>
      </c>
      <c r="F876" s="2">
        <v>908</v>
      </c>
      <c r="G876" s="6">
        <f>'Пр.4 ведом.21'!G941</f>
        <v>0</v>
      </c>
      <c r="H876" s="6">
        <f>'Пр.4 ведом.21'!H941</f>
        <v>0</v>
      </c>
      <c r="I876" s="416" t="e">
        <f t="shared" si="143"/>
        <v>#DIV/0!</v>
      </c>
    </row>
    <row r="877" spans="1:9" ht="15.75" x14ac:dyDescent="0.25">
      <c r="A877" s="72" t="s">
        <v>665</v>
      </c>
      <c r="B877" s="72"/>
      <c r="C877" s="72"/>
      <c r="D877" s="72"/>
      <c r="E877" s="72"/>
      <c r="F877" s="72"/>
      <c r="G877" s="120">
        <f>G861+G853+G845+G837+G779+G752+G687+G628+G597+G456+G398+G390+G356+G348+G137+G31+G10+G702+G869</f>
        <v>540369.02999999991</v>
      </c>
      <c r="H877" s="120">
        <f>H861+H853+H845+H837+H779+H752+H687+H628+H597+H456+H398+H390+H356+H348+H137+H31+H10+H702+H869</f>
        <v>115218.60300000002</v>
      </c>
      <c r="I877" s="441">
        <f t="shared" si="143"/>
        <v>21.322206974000718</v>
      </c>
    </row>
    <row r="879" spans="1:9" x14ac:dyDescent="0.25">
      <c r="G879" s="115">
        <f>'Пр.4 ведом.21'!G1123</f>
        <v>540369.02999999991</v>
      </c>
    </row>
    <row r="880" spans="1:9" x14ac:dyDescent="0.25">
      <c r="G880" s="115">
        <f>G879-G877</f>
        <v>0</v>
      </c>
    </row>
  </sheetData>
  <mergeCells count="8">
    <mergeCell ref="F2:G2"/>
    <mergeCell ref="F1:G1"/>
    <mergeCell ref="A7:I7"/>
    <mergeCell ref="G5:I5"/>
    <mergeCell ref="H3:I3"/>
    <mergeCell ref="H2:I2"/>
    <mergeCell ref="H4:I4"/>
    <mergeCell ref="H1:I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624</v>
      </c>
    </row>
    <row r="2" spans="1:8" ht="15.75" x14ac:dyDescent="0.25">
      <c r="D2" s="1"/>
      <c r="F2" s="57" t="s">
        <v>599</v>
      </c>
    </row>
    <row r="3" spans="1:8" ht="15.75" x14ac:dyDescent="0.25">
      <c r="D3" s="1"/>
      <c r="F3" s="57" t="s">
        <v>748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78" t="s">
        <v>724</v>
      </c>
      <c r="B5" s="478"/>
      <c r="C5" s="478"/>
      <c r="D5" s="478"/>
      <c r="E5" s="478"/>
      <c r="F5" s="478"/>
      <c r="G5" s="478"/>
    </row>
    <row r="6" spans="1:8" ht="16.5" x14ac:dyDescent="0.25">
      <c r="A6" s="173"/>
      <c r="B6" s="173"/>
      <c r="C6" s="173"/>
      <c r="D6" s="173"/>
      <c r="E6" s="173"/>
      <c r="F6" s="173"/>
      <c r="G6" s="173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600</v>
      </c>
      <c r="B8" s="66" t="s">
        <v>625</v>
      </c>
      <c r="C8" s="66" t="s">
        <v>626</v>
      </c>
      <c r="D8" s="66" t="s">
        <v>627</v>
      </c>
      <c r="E8" s="66" t="s">
        <v>628</v>
      </c>
      <c r="F8" s="66" t="s">
        <v>629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630</v>
      </c>
      <c r="B10" s="7" t="s">
        <v>517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239</v>
      </c>
      <c r="B11" s="40" t="s">
        <v>517</v>
      </c>
      <c r="C11" s="40" t="s">
        <v>157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515</v>
      </c>
      <c r="B12" s="40" t="s">
        <v>517</v>
      </c>
      <c r="C12" s="40" t="s">
        <v>157</v>
      </c>
      <c r="D12" s="40" t="s">
        <v>226</v>
      </c>
      <c r="E12" s="40"/>
      <c r="F12" s="40"/>
      <c r="G12" s="6" t="e">
        <f>G13</f>
        <v>#REF!</v>
      </c>
    </row>
    <row r="13" spans="1:8" ht="15.75" x14ac:dyDescent="0.25">
      <c r="A13" s="29" t="s">
        <v>518</v>
      </c>
      <c r="B13" s="40" t="s">
        <v>519</v>
      </c>
      <c r="C13" s="40" t="s">
        <v>157</v>
      </c>
      <c r="D13" s="40" t="s">
        <v>226</v>
      </c>
      <c r="E13" s="40"/>
      <c r="F13" s="40"/>
      <c r="G13" s="6" t="e">
        <f>G14+G16</f>
        <v>#REF!</v>
      </c>
    </row>
    <row r="14" spans="1:8" ht="47.25" x14ac:dyDescent="0.25">
      <c r="A14" s="29" t="s">
        <v>138</v>
      </c>
      <c r="B14" s="40" t="s">
        <v>519</v>
      </c>
      <c r="C14" s="40" t="s">
        <v>157</v>
      </c>
      <c r="D14" s="40" t="s">
        <v>226</v>
      </c>
      <c r="E14" s="40" t="s">
        <v>139</v>
      </c>
      <c r="F14" s="40"/>
      <c r="G14" s="6" t="e">
        <f>G15</f>
        <v>#REF!</v>
      </c>
    </row>
    <row r="15" spans="1:8" ht="47.25" x14ac:dyDescent="0.25">
      <c r="A15" s="29" t="s">
        <v>140</v>
      </c>
      <c r="B15" s="40" t="s">
        <v>519</v>
      </c>
      <c r="C15" s="40" t="s">
        <v>157</v>
      </c>
      <c r="D15" s="40" t="s">
        <v>226</v>
      </c>
      <c r="E15" s="40" t="s">
        <v>141</v>
      </c>
      <c r="F15" s="40"/>
      <c r="G15" s="6" t="e">
        <f>'Пр.4 ведом.21'!#REF!</f>
        <v>#REF!</v>
      </c>
      <c r="H15" s="112"/>
    </row>
    <row r="16" spans="1:8" ht="15.75" x14ac:dyDescent="0.25">
      <c r="A16" s="25" t="s">
        <v>142</v>
      </c>
      <c r="B16" s="40" t="s">
        <v>519</v>
      </c>
      <c r="C16" s="40" t="s">
        <v>157</v>
      </c>
      <c r="D16" s="40" t="s">
        <v>226</v>
      </c>
      <c r="E16" s="40" t="s">
        <v>152</v>
      </c>
      <c r="F16" s="40"/>
      <c r="G16" s="6" t="e">
        <f>G17</f>
        <v>#REF!</v>
      </c>
    </row>
    <row r="17" spans="1:8" ht="31.5" x14ac:dyDescent="0.25">
      <c r="A17" s="25" t="s">
        <v>144</v>
      </c>
      <c r="B17" s="40" t="s">
        <v>519</v>
      </c>
      <c r="C17" s="40" t="s">
        <v>157</v>
      </c>
      <c r="D17" s="40" t="s">
        <v>226</v>
      </c>
      <c r="E17" s="40" t="s">
        <v>145</v>
      </c>
      <c r="F17" s="40"/>
      <c r="G17" s="6" t="e">
        <f>'Пр.4 ведом.21'!#REF!</f>
        <v>#REF!</v>
      </c>
      <c r="H17" s="112"/>
    </row>
    <row r="18" spans="1:8" ht="47.25" x14ac:dyDescent="0.25">
      <c r="A18" s="45" t="s">
        <v>631</v>
      </c>
      <c r="B18" s="40" t="s">
        <v>517</v>
      </c>
      <c r="C18" s="40" t="s">
        <v>157</v>
      </c>
      <c r="D18" s="40" t="s">
        <v>226</v>
      </c>
      <c r="E18" s="40"/>
      <c r="F18" s="40" t="s">
        <v>632</v>
      </c>
      <c r="G18" s="6" t="e">
        <f>G13</f>
        <v>#REF!</v>
      </c>
    </row>
    <row r="19" spans="1:8" ht="78.75" x14ac:dyDescent="0.25">
      <c r="A19" s="58" t="s">
        <v>350</v>
      </c>
      <c r="B19" s="7" t="s">
        <v>351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633</v>
      </c>
      <c r="B20" s="7" t="s">
        <v>353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250</v>
      </c>
      <c r="B21" s="40" t="s">
        <v>353</v>
      </c>
      <c r="C21" s="40" t="s">
        <v>251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259</v>
      </c>
      <c r="B22" s="40" t="s">
        <v>353</v>
      </c>
      <c r="C22" s="40" t="s">
        <v>251</v>
      </c>
      <c r="D22" s="40" t="s">
        <v>222</v>
      </c>
      <c r="E22" s="40"/>
      <c r="F22" s="40"/>
      <c r="G22" s="10" t="e">
        <f>G23+G28</f>
        <v>#REF!</v>
      </c>
    </row>
    <row r="23" spans="1:8" ht="47.25" x14ac:dyDescent="0.25">
      <c r="A23" s="29" t="s">
        <v>164</v>
      </c>
      <c r="B23" s="40" t="s">
        <v>634</v>
      </c>
      <c r="C23" s="40" t="s">
        <v>251</v>
      </c>
      <c r="D23" s="40" t="s">
        <v>222</v>
      </c>
      <c r="E23" s="40"/>
      <c r="F23" s="40"/>
      <c r="G23" s="10" t="e">
        <f>G26</f>
        <v>#REF!</v>
      </c>
    </row>
    <row r="24" spans="1:8" ht="110.25" hidden="1" x14ac:dyDescent="0.25">
      <c r="A24" s="25" t="s">
        <v>134</v>
      </c>
      <c r="B24" s="40" t="s">
        <v>634</v>
      </c>
      <c r="C24" s="40" t="s">
        <v>251</v>
      </c>
      <c r="D24" s="40" t="s">
        <v>222</v>
      </c>
      <c r="E24" s="40" t="s">
        <v>135</v>
      </c>
      <c r="F24" s="40"/>
      <c r="G24" s="10">
        <f>G25</f>
        <v>0</v>
      </c>
    </row>
    <row r="25" spans="1:8" ht="47.25" hidden="1" x14ac:dyDescent="0.25">
      <c r="A25" s="25" t="s">
        <v>136</v>
      </c>
      <c r="B25" s="40" t="s">
        <v>634</v>
      </c>
      <c r="C25" s="40" t="s">
        <v>251</v>
      </c>
      <c r="D25" s="40" t="s">
        <v>222</v>
      </c>
      <c r="E25" s="40" t="s">
        <v>137</v>
      </c>
      <c r="F25" s="40"/>
      <c r="G25" s="10"/>
    </row>
    <row r="26" spans="1:8" ht="47.25" x14ac:dyDescent="0.25">
      <c r="A26" s="29" t="s">
        <v>138</v>
      </c>
      <c r="B26" s="40" t="s">
        <v>634</v>
      </c>
      <c r="C26" s="40" t="s">
        <v>251</v>
      </c>
      <c r="D26" s="40" t="s">
        <v>222</v>
      </c>
      <c r="E26" s="40" t="s">
        <v>139</v>
      </c>
      <c r="F26" s="40"/>
      <c r="G26" s="10" t="e">
        <f>G27</f>
        <v>#REF!</v>
      </c>
    </row>
    <row r="27" spans="1:8" ht="47.25" x14ac:dyDescent="0.25">
      <c r="A27" s="29" t="s">
        <v>140</v>
      </c>
      <c r="B27" s="40" t="s">
        <v>634</v>
      </c>
      <c r="C27" s="40" t="s">
        <v>251</v>
      </c>
      <c r="D27" s="40" t="s">
        <v>222</v>
      </c>
      <c r="E27" s="40" t="s">
        <v>141</v>
      </c>
      <c r="F27" s="40"/>
      <c r="G27" s="6" t="e">
        <f>'Пр.4 ведом.21'!#REF!</f>
        <v>#REF!</v>
      </c>
    </row>
    <row r="28" spans="1:8" ht="47.25" x14ac:dyDescent="0.25">
      <c r="A28" s="25" t="s">
        <v>357</v>
      </c>
      <c r="B28" s="20" t="s">
        <v>358</v>
      </c>
      <c r="C28" s="40" t="s">
        <v>251</v>
      </c>
      <c r="D28" s="40" t="s">
        <v>222</v>
      </c>
      <c r="E28" s="40"/>
      <c r="F28" s="40"/>
      <c r="G28" s="10" t="e">
        <f>G29</f>
        <v>#REF!</v>
      </c>
    </row>
    <row r="29" spans="1:8" ht="63" x14ac:dyDescent="0.25">
      <c r="A29" s="25" t="s">
        <v>279</v>
      </c>
      <c r="B29" s="20" t="s">
        <v>358</v>
      </c>
      <c r="C29" s="40" t="s">
        <v>251</v>
      </c>
      <c r="D29" s="40" t="s">
        <v>222</v>
      </c>
      <c r="E29" s="40" t="s">
        <v>280</v>
      </c>
      <c r="F29" s="40"/>
      <c r="G29" s="10" t="e">
        <f>G30</f>
        <v>#REF!</v>
      </c>
    </row>
    <row r="30" spans="1:8" ht="15.75" x14ac:dyDescent="0.25">
      <c r="A30" s="25" t="s">
        <v>281</v>
      </c>
      <c r="B30" s="20" t="s">
        <v>358</v>
      </c>
      <c r="C30" s="40" t="s">
        <v>251</v>
      </c>
      <c r="D30" s="40" t="s">
        <v>222</v>
      </c>
      <c r="E30" s="40" t="s">
        <v>282</v>
      </c>
      <c r="F30" s="40"/>
      <c r="G30" s="10" t="e">
        <f>'Пр.4 ведом.21'!#REF!</f>
        <v>#REF!</v>
      </c>
      <c r="H30" s="112"/>
    </row>
    <row r="31" spans="1:8" ht="63" x14ac:dyDescent="0.25">
      <c r="A31" s="45" t="s">
        <v>268</v>
      </c>
      <c r="B31" s="20" t="s">
        <v>353</v>
      </c>
      <c r="C31" s="40" t="s">
        <v>251</v>
      </c>
      <c r="D31" s="40" t="s">
        <v>222</v>
      </c>
      <c r="E31" s="40"/>
      <c r="F31" s="40" t="s">
        <v>635</v>
      </c>
      <c r="G31" s="6" t="e">
        <f>G20</f>
        <v>#REF!</v>
      </c>
    </row>
    <row r="32" spans="1:8" ht="47.25" x14ac:dyDescent="0.25">
      <c r="A32" s="58" t="s">
        <v>636</v>
      </c>
      <c r="B32" s="7" t="s">
        <v>360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250</v>
      </c>
      <c r="B33" s="40" t="s">
        <v>360</v>
      </c>
      <c r="C33" s="40" t="s">
        <v>251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259</v>
      </c>
      <c r="B34" s="40" t="s">
        <v>360</v>
      </c>
      <c r="C34" s="40" t="s">
        <v>251</v>
      </c>
      <c r="D34" s="40" t="s">
        <v>222</v>
      </c>
      <c r="E34" s="40"/>
      <c r="F34" s="40"/>
      <c r="G34" s="10" t="e">
        <f>G35</f>
        <v>#REF!</v>
      </c>
    </row>
    <row r="35" spans="1:7" ht="31.5" x14ac:dyDescent="0.25">
      <c r="A35" s="25" t="s">
        <v>622</v>
      </c>
      <c r="B35" s="20" t="s">
        <v>623</v>
      </c>
      <c r="C35" s="40" t="s">
        <v>251</v>
      </c>
      <c r="D35" s="40" t="s">
        <v>222</v>
      </c>
      <c r="E35" s="40"/>
      <c r="F35" s="40"/>
      <c r="G35" s="10" t="e">
        <f>G36</f>
        <v>#REF!</v>
      </c>
    </row>
    <row r="36" spans="1:7" ht="31.5" x14ac:dyDescent="0.25">
      <c r="A36" s="29" t="s">
        <v>255</v>
      </c>
      <c r="B36" s="20" t="s">
        <v>623</v>
      </c>
      <c r="C36" s="40" t="s">
        <v>251</v>
      </c>
      <c r="D36" s="40" t="s">
        <v>222</v>
      </c>
      <c r="E36" s="40" t="s">
        <v>256</v>
      </c>
      <c r="F36" s="40"/>
      <c r="G36" s="10" t="e">
        <f>G37</f>
        <v>#REF!</v>
      </c>
    </row>
    <row r="37" spans="1:7" ht="47.25" x14ac:dyDescent="0.25">
      <c r="A37" s="29" t="s">
        <v>257</v>
      </c>
      <c r="B37" s="20" t="s">
        <v>623</v>
      </c>
      <c r="C37" s="40" t="s">
        <v>251</v>
      </c>
      <c r="D37" s="40" t="s">
        <v>222</v>
      </c>
      <c r="E37" s="40" t="s">
        <v>258</v>
      </c>
      <c r="F37" s="40"/>
      <c r="G37" s="10" t="e">
        <f>'Пр.4 ведом.21'!#REF!</f>
        <v>#REF!</v>
      </c>
    </row>
    <row r="38" spans="1:7" ht="63" x14ac:dyDescent="0.25">
      <c r="A38" s="45" t="s">
        <v>268</v>
      </c>
      <c r="B38" s="20" t="s">
        <v>360</v>
      </c>
      <c r="C38" s="40" t="s">
        <v>251</v>
      </c>
      <c r="D38" s="40" t="s">
        <v>222</v>
      </c>
      <c r="E38" s="40"/>
      <c r="F38" s="40" t="s">
        <v>635</v>
      </c>
      <c r="G38" s="10" t="e">
        <f>G32</f>
        <v>#REF!</v>
      </c>
    </row>
    <row r="39" spans="1:7" ht="47.25" x14ac:dyDescent="0.25">
      <c r="A39" s="58" t="s">
        <v>637</v>
      </c>
      <c r="B39" s="7" t="s">
        <v>363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250</v>
      </c>
      <c r="B40" s="40" t="s">
        <v>363</v>
      </c>
      <c r="C40" s="40" t="s">
        <v>251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259</v>
      </c>
      <c r="B41" s="40" t="s">
        <v>363</v>
      </c>
      <c r="C41" s="40" t="s">
        <v>251</v>
      </c>
      <c r="D41" s="40" t="s">
        <v>222</v>
      </c>
      <c r="E41" s="40"/>
      <c r="F41" s="40"/>
      <c r="G41" s="10" t="e">
        <f>G42</f>
        <v>#REF!</v>
      </c>
    </row>
    <row r="42" spans="1:7" ht="47.25" x14ac:dyDescent="0.25">
      <c r="A42" s="29" t="s">
        <v>164</v>
      </c>
      <c r="B42" s="40" t="s">
        <v>638</v>
      </c>
      <c r="C42" s="40" t="s">
        <v>251</v>
      </c>
      <c r="D42" s="40" t="s">
        <v>222</v>
      </c>
      <c r="E42" s="40"/>
      <c r="F42" s="40"/>
      <c r="G42" s="10" t="e">
        <f>G43</f>
        <v>#REF!</v>
      </c>
    </row>
    <row r="43" spans="1:7" ht="31.5" x14ac:dyDescent="0.25">
      <c r="A43" s="29" t="s">
        <v>255</v>
      </c>
      <c r="B43" s="40" t="s">
        <v>638</v>
      </c>
      <c r="C43" s="40" t="s">
        <v>251</v>
      </c>
      <c r="D43" s="40" t="s">
        <v>222</v>
      </c>
      <c r="E43" s="40" t="s">
        <v>256</v>
      </c>
      <c r="F43" s="40"/>
      <c r="G43" s="10" t="e">
        <f>G44</f>
        <v>#REF!</v>
      </c>
    </row>
    <row r="44" spans="1:7" ht="31.5" x14ac:dyDescent="0.25">
      <c r="A44" s="29" t="s">
        <v>355</v>
      </c>
      <c r="B44" s="40" t="s">
        <v>638</v>
      </c>
      <c r="C44" s="40" t="s">
        <v>251</v>
      </c>
      <c r="D44" s="40" t="s">
        <v>222</v>
      </c>
      <c r="E44" s="40" t="s">
        <v>356</v>
      </c>
      <c r="F44" s="40"/>
      <c r="G44" s="10" t="e">
        <f>'Пр.4 ведом.21'!#REF!</f>
        <v>#REF!</v>
      </c>
    </row>
    <row r="45" spans="1:7" ht="63" x14ac:dyDescent="0.25">
      <c r="A45" s="45" t="s">
        <v>268</v>
      </c>
      <c r="B45" s="40" t="s">
        <v>363</v>
      </c>
      <c r="C45" s="40" t="s">
        <v>251</v>
      </c>
      <c r="D45" s="40" t="s">
        <v>222</v>
      </c>
      <c r="E45" s="40"/>
      <c r="F45" s="40" t="s">
        <v>635</v>
      </c>
      <c r="G45" s="10" t="e">
        <f>G39</f>
        <v>#REF!</v>
      </c>
    </row>
    <row r="46" spans="1:7" ht="31.5" x14ac:dyDescent="0.25">
      <c r="A46" s="58" t="s">
        <v>639</v>
      </c>
      <c r="B46" s="7" t="s">
        <v>366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250</v>
      </c>
      <c r="B47" s="40" t="s">
        <v>366</v>
      </c>
      <c r="C47" s="40" t="s">
        <v>251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259</v>
      </c>
      <c r="B48" s="40" t="s">
        <v>366</v>
      </c>
      <c r="C48" s="40" t="s">
        <v>251</v>
      </c>
      <c r="D48" s="40" t="s">
        <v>222</v>
      </c>
      <c r="E48" s="40"/>
      <c r="F48" s="40"/>
      <c r="G48" s="10" t="e">
        <f>G49</f>
        <v>#REF!</v>
      </c>
    </row>
    <row r="49" spans="1:7" ht="47.25" x14ac:dyDescent="0.25">
      <c r="A49" s="29" t="s">
        <v>164</v>
      </c>
      <c r="B49" s="40" t="s">
        <v>640</v>
      </c>
      <c r="C49" s="40" t="s">
        <v>251</v>
      </c>
      <c r="D49" s="40" t="s">
        <v>222</v>
      </c>
      <c r="E49" s="40"/>
      <c r="F49" s="40"/>
      <c r="G49" s="10" t="e">
        <f>G50+G52</f>
        <v>#REF!</v>
      </c>
    </row>
    <row r="50" spans="1:7" ht="47.25" x14ac:dyDescent="0.25">
      <c r="A50" s="29" t="s">
        <v>138</v>
      </c>
      <c r="B50" s="40" t="s">
        <v>640</v>
      </c>
      <c r="C50" s="40" t="s">
        <v>251</v>
      </c>
      <c r="D50" s="40" t="s">
        <v>222</v>
      </c>
      <c r="E50" s="40" t="s">
        <v>139</v>
      </c>
      <c r="F50" s="40"/>
      <c r="G50" s="10" t="e">
        <f>G51</f>
        <v>#REF!</v>
      </c>
    </row>
    <row r="51" spans="1:7" ht="47.25" x14ac:dyDescent="0.25">
      <c r="A51" s="29" t="s">
        <v>140</v>
      </c>
      <c r="B51" s="40" t="s">
        <v>640</v>
      </c>
      <c r="C51" s="40" t="s">
        <v>251</v>
      </c>
      <c r="D51" s="40" t="s">
        <v>222</v>
      </c>
      <c r="E51" s="40" t="s">
        <v>141</v>
      </c>
      <c r="F51" s="40"/>
      <c r="G51" s="10" t="e">
        <f>'Пр.4 ведом.21'!#REF!</f>
        <v>#REF!</v>
      </c>
    </row>
    <row r="52" spans="1:7" ht="31.5" x14ac:dyDescent="0.25">
      <c r="A52" s="29" t="s">
        <v>255</v>
      </c>
      <c r="B52" s="40" t="s">
        <v>640</v>
      </c>
      <c r="C52" s="40" t="s">
        <v>251</v>
      </c>
      <c r="D52" s="40" t="s">
        <v>222</v>
      </c>
      <c r="E52" s="40" t="s">
        <v>256</v>
      </c>
      <c r="F52" s="40"/>
      <c r="G52" s="10" t="e">
        <f>G53</f>
        <v>#REF!</v>
      </c>
    </row>
    <row r="53" spans="1:7" ht="31.5" x14ac:dyDescent="0.25">
      <c r="A53" s="29" t="s">
        <v>355</v>
      </c>
      <c r="B53" s="40" t="s">
        <v>640</v>
      </c>
      <c r="C53" s="40" t="s">
        <v>251</v>
      </c>
      <c r="D53" s="40" t="s">
        <v>222</v>
      </c>
      <c r="E53" s="40" t="s">
        <v>356</v>
      </c>
      <c r="F53" s="40"/>
      <c r="G53" s="10" t="e">
        <f>'Пр.4 ведом.21'!#REF!</f>
        <v>#REF!</v>
      </c>
    </row>
    <row r="54" spans="1:7" ht="63" x14ac:dyDescent="0.25">
      <c r="A54" s="45" t="s">
        <v>268</v>
      </c>
      <c r="B54" s="40" t="s">
        <v>366</v>
      </c>
      <c r="C54" s="40" t="s">
        <v>251</v>
      </c>
      <c r="D54" s="40" t="s">
        <v>222</v>
      </c>
      <c r="E54" s="40"/>
      <c r="F54" s="40" t="s">
        <v>635</v>
      </c>
      <c r="G54" s="10" t="e">
        <f>G46</f>
        <v>#REF!</v>
      </c>
    </row>
    <row r="55" spans="1:7" ht="47.25" x14ac:dyDescent="0.25">
      <c r="A55" s="58" t="s">
        <v>641</v>
      </c>
      <c r="B55" s="7" t="s">
        <v>369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250</v>
      </c>
      <c r="B56" s="40" t="s">
        <v>369</v>
      </c>
      <c r="C56" s="40" t="s">
        <v>251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259</v>
      </c>
      <c r="B57" s="40" t="s">
        <v>369</v>
      </c>
      <c r="C57" s="40" t="s">
        <v>251</v>
      </c>
      <c r="D57" s="40" t="s">
        <v>222</v>
      </c>
      <c r="E57" s="40"/>
      <c r="F57" s="40"/>
      <c r="G57" s="10" t="e">
        <f>G58</f>
        <v>#REF!</v>
      </c>
    </row>
    <row r="58" spans="1:7" ht="47.25" x14ac:dyDescent="0.25">
      <c r="A58" s="29" t="s">
        <v>164</v>
      </c>
      <c r="B58" s="40" t="s">
        <v>642</v>
      </c>
      <c r="C58" s="40" t="s">
        <v>251</v>
      </c>
      <c r="D58" s="40" t="s">
        <v>222</v>
      </c>
      <c r="E58" s="40"/>
      <c r="F58" s="40"/>
      <c r="G58" s="10" t="e">
        <f>G59</f>
        <v>#REF!</v>
      </c>
    </row>
    <row r="59" spans="1:7" ht="31.5" x14ac:dyDescent="0.25">
      <c r="A59" s="29" t="s">
        <v>255</v>
      </c>
      <c r="B59" s="40" t="s">
        <v>642</v>
      </c>
      <c r="C59" s="40" t="s">
        <v>251</v>
      </c>
      <c r="D59" s="40" t="s">
        <v>222</v>
      </c>
      <c r="E59" s="40" t="s">
        <v>256</v>
      </c>
      <c r="F59" s="40"/>
      <c r="G59" s="10" t="e">
        <f>G60</f>
        <v>#REF!</v>
      </c>
    </row>
    <row r="60" spans="1:7" ht="31.5" x14ac:dyDescent="0.25">
      <c r="A60" s="29" t="s">
        <v>355</v>
      </c>
      <c r="B60" s="40" t="s">
        <v>642</v>
      </c>
      <c r="C60" s="40" t="s">
        <v>251</v>
      </c>
      <c r="D60" s="40" t="s">
        <v>222</v>
      </c>
      <c r="E60" s="40" t="s">
        <v>356</v>
      </c>
      <c r="F60" s="40"/>
      <c r="G60" s="10" t="e">
        <f>'Пр.4 ведом.21'!#REF!</f>
        <v>#REF!</v>
      </c>
    </row>
    <row r="61" spans="1:7" ht="63" x14ac:dyDescent="0.25">
      <c r="A61" s="45" t="s">
        <v>268</v>
      </c>
      <c r="B61" s="40" t="s">
        <v>369</v>
      </c>
      <c r="C61" s="40" t="s">
        <v>251</v>
      </c>
      <c r="D61" s="40" t="s">
        <v>222</v>
      </c>
      <c r="E61" s="40"/>
      <c r="F61" s="40" t="s">
        <v>635</v>
      </c>
      <c r="G61" s="10" t="e">
        <f>G55</f>
        <v>#REF!</v>
      </c>
    </row>
    <row r="62" spans="1:7" ht="78.75" x14ac:dyDescent="0.25">
      <c r="A62" s="58" t="s">
        <v>371</v>
      </c>
      <c r="B62" s="7" t="s">
        <v>372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250</v>
      </c>
      <c r="B63" s="40" t="s">
        <v>372</v>
      </c>
      <c r="C63" s="40" t="s">
        <v>251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259</v>
      </c>
      <c r="B64" s="40" t="s">
        <v>372</v>
      </c>
      <c r="C64" s="40" t="s">
        <v>251</v>
      </c>
      <c r="D64" s="40" t="s">
        <v>222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164</v>
      </c>
      <c r="B65" s="40" t="s">
        <v>643</v>
      </c>
      <c r="C65" s="40" t="s">
        <v>251</v>
      </c>
      <c r="D65" s="40" t="s">
        <v>222</v>
      </c>
      <c r="E65" s="40"/>
      <c r="F65" s="40"/>
      <c r="G65" s="10" t="e">
        <f>G66</f>
        <v>#REF!</v>
      </c>
    </row>
    <row r="66" spans="1:7" ht="47.25" x14ac:dyDescent="0.25">
      <c r="A66" s="29" t="s">
        <v>138</v>
      </c>
      <c r="B66" s="40" t="s">
        <v>643</v>
      </c>
      <c r="C66" s="40" t="s">
        <v>251</v>
      </c>
      <c r="D66" s="40" t="s">
        <v>222</v>
      </c>
      <c r="E66" s="40" t="s">
        <v>139</v>
      </c>
      <c r="F66" s="40"/>
      <c r="G66" s="10" t="e">
        <f>G67</f>
        <v>#REF!</v>
      </c>
    </row>
    <row r="67" spans="1:7" ht="47.25" x14ac:dyDescent="0.25">
      <c r="A67" s="29" t="s">
        <v>140</v>
      </c>
      <c r="B67" s="40" t="s">
        <v>643</v>
      </c>
      <c r="C67" s="40" t="s">
        <v>251</v>
      </c>
      <c r="D67" s="40" t="s">
        <v>222</v>
      </c>
      <c r="E67" s="40" t="s">
        <v>141</v>
      </c>
      <c r="F67" s="40"/>
      <c r="G67" s="10" t="e">
        <f>'Пр.4 ведом.21'!#REF!</f>
        <v>#REF!</v>
      </c>
    </row>
    <row r="68" spans="1:7" ht="63" x14ac:dyDescent="0.25">
      <c r="A68" s="45" t="s">
        <v>268</v>
      </c>
      <c r="B68" s="40" t="s">
        <v>372</v>
      </c>
      <c r="C68" s="40" t="s">
        <v>251</v>
      </c>
      <c r="D68" s="40" t="s">
        <v>222</v>
      </c>
      <c r="E68" s="40"/>
      <c r="F68" s="40" t="s">
        <v>635</v>
      </c>
      <c r="G68" s="10" t="e">
        <f>G62</f>
        <v>#REF!</v>
      </c>
    </row>
    <row r="69" spans="1:7" ht="94.5" x14ac:dyDescent="0.25">
      <c r="A69" s="41" t="s">
        <v>374</v>
      </c>
      <c r="B69" s="7" t="s">
        <v>375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250</v>
      </c>
      <c r="B70" s="40" t="s">
        <v>375</v>
      </c>
      <c r="C70" s="40" t="s">
        <v>251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259</v>
      </c>
      <c r="B71" s="40" t="s">
        <v>375</v>
      </c>
      <c r="C71" s="40" t="s">
        <v>251</v>
      </c>
      <c r="D71" s="40" t="s">
        <v>222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164</v>
      </c>
      <c r="B72" s="40" t="s">
        <v>377</v>
      </c>
      <c r="C72" s="40" t="s">
        <v>251</v>
      </c>
      <c r="D72" s="40" t="s">
        <v>222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138</v>
      </c>
      <c r="B73" s="40" t="s">
        <v>375</v>
      </c>
      <c r="C73" s="40" t="s">
        <v>251</v>
      </c>
      <c r="D73" s="40" t="s">
        <v>222</v>
      </c>
      <c r="E73" s="40" t="s">
        <v>139</v>
      </c>
      <c r="F73" s="40"/>
      <c r="G73" s="10">
        <f>G74</f>
        <v>0</v>
      </c>
    </row>
    <row r="74" spans="1:7" ht="47.25" hidden="1" x14ac:dyDescent="0.25">
      <c r="A74" s="29" t="s">
        <v>140</v>
      </c>
      <c r="B74" s="40" t="s">
        <v>375</v>
      </c>
      <c r="C74" s="40" t="s">
        <v>251</v>
      </c>
      <c r="D74" s="40" t="s">
        <v>222</v>
      </c>
      <c r="E74" s="40" t="s">
        <v>141</v>
      </c>
      <c r="F74" s="40"/>
      <c r="G74" s="10"/>
    </row>
    <row r="75" spans="1:7" ht="63" x14ac:dyDescent="0.25">
      <c r="A75" s="25" t="s">
        <v>279</v>
      </c>
      <c r="B75" s="40" t="s">
        <v>377</v>
      </c>
      <c r="C75" s="40" t="s">
        <v>251</v>
      </c>
      <c r="D75" s="40" t="s">
        <v>222</v>
      </c>
      <c r="E75" s="40" t="s">
        <v>280</v>
      </c>
      <c r="F75" s="40"/>
      <c r="G75" s="10" t="e">
        <f>G76</f>
        <v>#REF!</v>
      </c>
    </row>
    <row r="76" spans="1:7" ht="72.75" customHeight="1" x14ac:dyDescent="0.25">
      <c r="A76" s="25" t="s">
        <v>378</v>
      </c>
      <c r="B76" s="40" t="s">
        <v>377</v>
      </c>
      <c r="C76" s="40" t="s">
        <v>251</v>
      </c>
      <c r="D76" s="40" t="s">
        <v>222</v>
      </c>
      <c r="E76" s="40" t="s">
        <v>379</v>
      </c>
      <c r="F76" s="40"/>
      <c r="G76" s="10" t="e">
        <f>'Пр.4 ведом.21'!#REF!</f>
        <v>#REF!</v>
      </c>
    </row>
    <row r="77" spans="1:7" ht="63" x14ac:dyDescent="0.25">
      <c r="A77" s="25" t="s">
        <v>382</v>
      </c>
      <c r="B77" s="20" t="s">
        <v>383</v>
      </c>
      <c r="C77" s="40" t="s">
        <v>251</v>
      </c>
      <c r="D77" s="40" t="s">
        <v>222</v>
      </c>
      <c r="E77" s="40"/>
      <c r="F77" s="40"/>
      <c r="G77" s="10" t="e">
        <f>G78</f>
        <v>#REF!</v>
      </c>
    </row>
    <row r="78" spans="1:7" ht="31.5" x14ac:dyDescent="0.25">
      <c r="A78" s="25" t="s">
        <v>255</v>
      </c>
      <c r="B78" s="20" t="s">
        <v>383</v>
      </c>
      <c r="C78" s="40" t="s">
        <v>251</v>
      </c>
      <c r="D78" s="40" t="s">
        <v>222</v>
      </c>
      <c r="E78" s="40" t="s">
        <v>256</v>
      </c>
      <c r="F78" s="40"/>
      <c r="G78" s="10" t="e">
        <f>G79</f>
        <v>#REF!</v>
      </c>
    </row>
    <row r="79" spans="1:7" ht="47.25" x14ac:dyDescent="0.25">
      <c r="A79" s="25" t="s">
        <v>257</v>
      </c>
      <c r="B79" s="20" t="s">
        <v>383</v>
      </c>
      <c r="C79" s="40" t="s">
        <v>251</v>
      </c>
      <c r="D79" s="40" t="s">
        <v>222</v>
      </c>
      <c r="E79" s="40" t="s">
        <v>258</v>
      </c>
      <c r="F79" s="40"/>
      <c r="G79" s="10" t="e">
        <f>'Пр.4 ведом.21'!#REF!</f>
        <v>#REF!</v>
      </c>
    </row>
    <row r="80" spans="1:7" ht="63" x14ac:dyDescent="0.25">
      <c r="A80" s="45" t="s">
        <v>268</v>
      </c>
      <c r="B80" s="20" t="s">
        <v>375</v>
      </c>
      <c r="C80" s="40" t="s">
        <v>251</v>
      </c>
      <c r="D80" s="40" t="s">
        <v>222</v>
      </c>
      <c r="E80" s="40"/>
      <c r="F80" s="9" t="s">
        <v>635</v>
      </c>
      <c r="G80" s="10" t="e">
        <f>G69</f>
        <v>#REF!</v>
      </c>
    </row>
    <row r="81" spans="1:7" ht="173.25" hidden="1" x14ac:dyDescent="0.25">
      <c r="A81" s="25" t="s">
        <v>380</v>
      </c>
      <c r="B81" s="20" t="s">
        <v>381</v>
      </c>
      <c r="C81" s="40" t="s">
        <v>251</v>
      </c>
      <c r="D81" s="40" t="s">
        <v>222</v>
      </c>
      <c r="E81" s="40"/>
      <c r="F81" s="9"/>
      <c r="G81" s="10">
        <f>G82</f>
        <v>0</v>
      </c>
    </row>
    <row r="82" spans="1:7" ht="15.75" hidden="1" x14ac:dyDescent="0.25">
      <c r="A82" s="25" t="s">
        <v>142</v>
      </c>
      <c r="B82" s="20" t="s">
        <v>381</v>
      </c>
      <c r="C82" s="40" t="s">
        <v>251</v>
      </c>
      <c r="D82" s="40" t="s">
        <v>222</v>
      </c>
      <c r="E82" s="40" t="s">
        <v>152</v>
      </c>
      <c r="F82" s="9"/>
      <c r="G82" s="10">
        <f>G83</f>
        <v>0</v>
      </c>
    </row>
    <row r="83" spans="1:7" ht="78.75" hidden="1" x14ac:dyDescent="0.25">
      <c r="A83" s="25" t="s">
        <v>191</v>
      </c>
      <c r="B83" s="20" t="s">
        <v>381</v>
      </c>
      <c r="C83" s="40" t="s">
        <v>251</v>
      </c>
      <c r="D83" s="40" t="s">
        <v>222</v>
      </c>
      <c r="E83" s="40" t="s">
        <v>167</v>
      </c>
      <c r="F83" s="9"/>
      <c r="G83" s="10"/>
    </row>
    <row r="84" spans="1:7" ht="63" hidden="1" x14ac:dyDescent="0.25">
      <c r="A84" s="45" t="s">
        <v>268</v>
      </c>
      <c r="B84" s="20" t="s">
        <v>381</v>
      </c>
      <c r="C84" s="40" t="s">
        <v>251</v>
      </c>
      <c r="D84" s="40" t="s">
        <v>222</v>
      </c>
      <c r="E84" s="40"/>
      <c r="F84" s="9" t="s">
        <v>635</v>
      </c>
      <c r="G84" s="10">
        <f>G83</f>
        <v>0</v>
      </c>
    </row>
    <row r="85" spans="1:7" ht="63" hidden="1" x14ac:dyDescent="0.25">
      <c r="A85" s="25" t="s">
        <v>382</v>
      </c>
      <c r="B85" s="20" t="s">
        <v>383</v>
      </c>
      <c r="C85" s="40" t="s">
        <v>251</v>
      </c>
      <c r="D85" s="40" t="s">
        <v>222</v>
      </c>
      <c r="E85" s="40"/>
      <c r="F85" s="9"/>
      <c r="G85" s="10">
        <f>G86</f>
        <v>0</v>
      </c>
    </row>
    <row r="86" spans="1:7" ht="31.5" hidden="1" x14ac:dyDescent="0.25">
      <c r="A86" s="29" t="s">
        <v>255</v>
      </c>
      <c r="B86" s="20" t="s">
        <v>383</v>
      </c>
      <c r="C86" s="40" t="s">
        <v>251</v>
      </c>
      <c r="D86" s="40" t="s">
        <v>222</v>
      </c>
      <c r="E86" s="40" t="s">
        <v>256</v>
      </c>
      <c r="F86" s="9"/>
      <c r="G86" s="10">
        <f>G87</f>
        <v>0</v>
      </c>
    </row>
    <row r="87" spans="1:7" ht="47.25" hidden="1" x14ac:dyDescent="0.25">
      <c r="A87" s="29" t="s">
        <v>257</v>
      </c>
      <c r="B87" s="20" t="s">
        <v>383</v>
      </c>
      <c r="C87" s="40" t="s">
        <v>251</v>
      </c>
      <c r="D87" s="40" t="s">
        <v>222</v>
      </c>
      <c r="E87" s="40" t="s">
        <v>258</v>
      </c>
      <c r="F87" s="9"/>
      <c r="G87" s="10"/>
    </row>
    <row r="88" spans="1:7" ht="63" hidden="1" x14ac:dyDescent="0.25">
      <c r="A88" s="45" t="s">
        <v>268</v>
      </c>
      <c r="B88" s="20" t="s">
        <v>383</v>
      </c>
      <c r="C88" s="40" t="s">
        <v>251</v>
      </c>
      <c r="D88" s="40" t="s">
        <v>222</v>
      </c>
      <c r="E88" s="40"/>
      <c r="F88" s="9" t="s">
        <v>635</v>
      </c>
      <c r="G88" s="10">
        <f>G85</f>
        <v>0</v>
      </c>
    </row>
    <row r="89" spans="1:7" ht="47.25" hidden="1" x14ac:dyDescent="0.25">
      <c r="A89" s="29" t="s">
        <v>384</v>
      </c>
      <c r="B89" s="20" t="s">
        <v>385</v>
      </c>
      <c r="C89" s="40" t="s">
        <v>251</v>
      </c>
      <c r="D89" s="40" t="s">
        <v>222</v>
      </c>
      <c r="E89" s="40"/>
      <c r="F89" s="40"/>
      <c r="G89" s="10">
        <f>G90</f>
        <v>0</v>
      </c>
    </row>
    <row r="90" spans="1:7" ht="47.25" hidden="1" x14ac:dyDescent="0.25">
      <c r="A90" s="29" t="s">
        <v>138</v>
      </c>
      <c r="B90" s="20" t="s">
        <v>385</v>
      </c>
      <c r="C90" s="40" t="s">
        <v>251</v>
      </c>
      <c r="D90" s="40" t="s">
        <v>222</v>
      </c>
      <c r="E90" s="40" t="s">
        <v>139</v>
      </c>
      <c r="F90" s="40"/>
      <c r="G90" s="10">
        <f>G91</f>
        <v>0</v>
      </c>
    </row>
    <row r="91" spans="1:7" ht="47.25" hidden="1" x14ac:dyDescent="0.25">
      <c r="A91" s="29" t="s">
        <v>140</v>
      </c>
      <c r="B91" s="20" t="s">
        <v>385</v>
      </c>
      <c r="C91" s="40" t="s">
        <v>251</v>
      </c>
      <c r="D91" s="40" t="s">
        <v>222</v>
      </c>
      <c r="E91" s="40" t="s">
        <v>141</v>
      </c>
      <c r="F91" s="40"/>
      <c r="G91" s="10">
        <v>0</v>
      </c>
    </row>
    <row r="92" spans="1:7" ht="15.75" hidden="1" x14ac:dyDescent="0.25">
      <c r="A92" s="29" t="s">
        <v>142</v>
      </c>
      <c r="B92" s="20" t="s">
        <v>385</v>
      </c>
      <c r="C92" s="40" t="s">
        <v>251</v>
      </c>
      <c r="D92" s="40" t="s">
        <v>222</v>
      </c>
      <c r="E92" s="40" t="s">
        <v>152</v>
      </c>
      <c r="F92" s="40"/>
      <c r="G92" s="10"/>
    </row>
    <row r="93" spans="1:7" ht="78.75" hidden="1" x14ac:dyDescent="0.25">
      <c r="A93" s="29" t="s">
        <v>191</v>
      </c>
      <c r="B93" s="20" t="s">
        <v>385</v>
      </c>
      <c r="C93" s="40" t="s">
        <v>251</v>
      </c>
      <c r="D93" s="40" t="s">
        <v>222</v>
      </c>
      <c r="E93" s="40" t="s">
        <v>167</v>
      </c>
      <c r="F93" s="40"/>
      <c r="G93" s="10"/>
    </row>
    <row r="94" spans="1:7" ht="63" hidden="1" x14ac:dyDescent="0.25">
      <c r="A94" s="45" t="s">
        <v>268</v>
      </c>
      <c r="B94" s="20" t="s">
        <v>385</v>
      </c>
      <c r="C94" s="40" t="s">
        <v>251</v>
      </c>
      <c r="D94" s="40" t="s">
        <v>222</v>
      </c>
      <c r="E94" s="40"/>
      <c r="F94" s="9" t="s">
        <v>635</v>
      </c>
      <c r="G94" s="10">
        <f>G89</f>
        <v>0</v>
      </c>
    </row>
    <row r="95" spans="1:7" ht="141.75" x14ac:dyDescent="0.25">
      <c r="A95" s="41" t="s">
        <v>387</v>
      </c>
      <c r="B95" s="7" t="s">
        <v>388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250</v>
      </c>
      <c r="B96" s="40" t="s">
        <v>388</v>
      </c>
      <c r="C96" s="40" t="s">
        <v>251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259</v>
      </c>
      <c r="B97" s="40" t="s">
        <v>388</v>
      </c>
      <c r="C97" s="40" t="s">
        <v>251</v>
      </c>
      <c r="D97" s="40" t="s">
        <v>222</v>
      </c>
      <c r="E97" s="40"/>
      <c r="F97" s="9"/>
      <c r="G97" s="10" t="e">
        <f>G98</f>
        <v>#REF!</v>
      </c>
    </row>
    <row r="98" spans="1:7" ht="47.25" x14ac:dyDescent="0.25">
      <c r="A98" s="29" t="s">
        <v>164</v>
      </c>
      <c r="B98" s="40" t="s">
        <v>389</v>
      </c>
      <c r="C98" s="40" t="s">
        <v>251</v>
      </c>
      <c r="D98" s="40" t="s">
        <v>222</v>
      </c>
      <c r="E98" s="40"/>
      <c r="F98" s="9"/>
      <c r="G98" s="10" t="e">
        <f>G99</f>
        <v>#REF!</v>
      </c>
    </row>
    <row r="99" spans="1:7" ht="47.25" x14ac:dyDescent="0.25">
      <c r="A99" s="29" t="s">
        <v>138</v>
      </c>
      <c r="B99" s="40" t="s">
        <v>389</v>
      </c>
      <c r="C99" s="40" t="s">
        <v>251</v>
      </c>
      <c r="D99" s="40" t="s">
        <v>222</v>
      </c>
      <c r="E99" s="40" t="s">
        <v>139</v>
      </c>
      <c r="F99" s="9"/>
      <c r="G99" s="10" t="e">
        <f>G100</f>
        <v>#REF!</v>
      </c>
    </row>
    <row r="100" spans="1:7" ht="47.25" x14ac:dyDescent="0.25">
      <c r="A100" s="29" t="s">
        <v>140</v>
      </c>
      <c r="B100" s="40" t="s">
        <v>389</v>
      </c>
      <c r="C100" s="40" t="s">
        <v>251</v>
      </c>
      <c r="D100" s="40" t="s">
        <v>222</v>
      </c>
      <c r="E100" s="40" t="s">
        <v>141</v>
      </c>
      <c r="F100" s="9"/>
      <c r="G100" s="10" t="e">
        <f>'Пр.4 ведом.21'!#REF!</f>
        <v>#REF!</v>
      </c>
    </row>
    <row r="101" spans="1:7" ht="63" x14ac:dyDescent="0.25">
      <c r="A101" s="45" t="s">
        <v>268</v>
      </c>
      <c r="B101" s="40" t="s">
        <v>388</v>
      </c>
      <c r="C101" s="40" t="s">
        <v>251</v>
      </c>
      <c r="D101" s="40" t="s">
        <v>222</v>
      </c>
      <c r="E101" s="40"/>
      <c r="F101" s="9" t="s">
        <v>635</v>
      </c>
      <c r="G101" s="10" t="e">
        <f>G95</f>
        <v>#REF!</v>
      </c>
    </row>
    <row r="102" spans="1:7" ht="63" x14ac:dyDescent="0.25">
      <c r="A102" s="58" t="s">
        <v>433</v>
      </c>
      <c r="B102" s="7" t="s">
        <v>413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414</v>
      </c>
      <c r="B103" s="7" t="s">
        <v>415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270</v>
      </c>
      <c r="B104" s="40" t="s">
        <v>415</v>
      </c>
      <c r="C104" s="40" t="s">
        <v>271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411</v>
      </c>
      <c r="B105" s="40" t="s">
        <v>415</v>
      </c>
      <c r="C105" s="40" t="s">
        <v>271</v>
      </c>
      <c r="D105" s="40" t="s">
        <v>125</v>
      </c>
      <c r="E105" s="40"/>
      <c r="F105" s="40"/>
      <c r="G105" s="10" t="e">
        <f>G106</f>
        <v>#REF!</v>
      </c>
    </row>
    <row r="106" spans="1:7" ht="63" x14ac:dyDescent="0.25">
      <c r="A106" s="29" t="s">
        <v>416</v>
      </c>
      <c r="B106" s="40" t="s">
        <v>417</v>
      </c>
      <c r="C106" s="40" t="s">
        <v>271</v>
      </c>
      <c r="D106" s="40" t="s">
        <v>125</v>
      </c>
      <c r="E106" s="40"/>
      <c r="F106" s="40"/>
      <c r="G106" s="10" t="e">
        <f>G107</f>
        <v>#REF!</v>
      </c>
    </row>
    <row r="107" spans="1:7" ht="63" x14ac:dyDescent="0.25">
      <c r="A107" s="29" t="s">
        <v>279</v>
      </c>
      <c r="B107" s="40" t="s">
        <v>417</v>
      </c>
      <c r="C107" s="40" t="s">
        <v>271</v>
      </c>
      <c r="D107" s="40" t="s">
        <v>125</v>
      </c>
      <c r="E107" s="40" t="s">
        <v>280</v>
      </c>
      <c r="F107" s="40"/>
      <c r="G107" s="10" t="e">
        <f>G108</f>
        <v>#REF!</v>
      </c>
    </row>
    <row r="108" spans="1:7" ht="15.75" x14ac:dyDescent="0.25">
      <c r="A108" s="29" t="s">
        <v>281</v>
      </c>
      <c r="B108" s="40" t="s">
        <v>417</v>
      </c>
      <c r="C108" s="40" t="s">
        <v>271</v>
      </c>
      <c r="D108" s="40" t="s">
        <v>125</v>
      </c>
      <c r="E108" s="40" t="s">
        <v>282</v>
      </c>
      <c r="F108" s="40"/>
      <c r="G108" s="6" t="e">
        <f>'Пр.4 ведом.21'!#REF!</f>
        <v>#REF!</v>
      </c>
    </row>
    <row r="109" spans="1:7" ht="15.75" x14ac:dyDescent="0.25">
      <c r="A109" s="29" t="s">
        <v>432</v>
      </c>
      <c r="B109" s="40" t="s">
        <v>415</v>
      </c>
      <c r="C109" s="40" t="s">
        <v>271</v>
      </c>
      <c r="D109" s="40" t="s">
        <v>220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434</v>
      </c>
      <c r="B110" s="40" t="s">
        <v>435</v>
      </c>
      <c r="C110" s="40" t="s">
        <v>271</v>
      </c>
      <c r="D110" s="40" t="s">
        <v>220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279</v>
      </c>
      <c r="B111" s="40" t="s">
        <v>435</v>
      </c>
      <c r="C111" s="40" t="s">
        <v>271</v>
      </c>
      <c r="D111" s="40" t="s">
        <v>220</v>
      </c>
      <c r="E111" s="40" t="s">
        <v>280</v>
      </c>
      <c r="F111" s="40"/>
      <c r="G111" s="10" t="e">
        <f>G112</f>
        <v>#REF!</v>
      </c>
    </row>
    <row r="112" spans="1:7" ht="15.75" x14ac:dyDescent="0.25">
      <c r="A112" s="29" t="s">
        <v>281</v>
      </c>
      <c r="B112" s="40" t="s">
        <v>435</v>
      </c>
      <c r="C112" s="40" t="s">
        <v>271</v>
      </c>
      <c r="D112" s="40" t="s">
        <v>220</v>
      </c>
      <c r="E112" s="40" t="s">
        <v>282</v>
      </c>
      <c r="F112" s="40"/>
      <c r="G112" s="6" t="e">
        <f>'Пр.4 ведом.21'!#REF!</f>
        <v>#REF!</v>
      </c>
    </row>
    <row r="113" spans="1:7" ht="15.75" x14ac:dyDescent="0.25">
      <c r="A113" s="29" t="s">
        <v>272</v>
      </c>
      <c r="B113" s="40" t="s">
        <v>415</v>
      </c>
      <c r="C113" s="40" t="s">
        <v>271</v>
      </c>
      <c r="D113" s="40" t="s">
        <v>222</v>
      </c>
      <c r="E113" s="40"/>
      <c r="F113" s="40"/>
      <c r="G113" s="6" t="e">
        <f>G114</f>
        <v>#REF!</v>
      </c>
    </row>
    <row r="114" spans="1:7" ht="63" x14ac:dyDescent="0.25">
      <c r="A114" s="29" t="s">
        <v>277</v>
      </c>
      <c r="B114" s="40" t="s">
        <v>436</v>
      </c>
      <c r="C114" s="40" t="s">
        <v>271</v>
      </c>
      <c r="D114" s="40" t="s">
        <v>222</v>
      </c>
      <c r="E114" s="7"/>
      <c r="F114" s="7"/>
      <c r="G114" s="10" t="e">
        <f>G115</f>
        <v>#REF!</v>
      </c>
    </row>
    <row r="115" spans="1:7" ht="63" x14ac:dyDescent="0.25">
      <c r="A115" s="29" t="s">
        <v>279</v>
      </c>
      <c r="B115" s="40" t="s">
        <v>436</v>
      </c>
      <c r="C115" s="40" t="s">
        <v>271</v>
      </c>
      <c r="D115" s="40" t="s">
        <v>222</v>
      </c>
      <c r="E115" s="40" t="s">
        <v>280</v>
      </c>
      <c r="F115" s="40"/>
      <c r="G115" s="10" t="e">
        <f>G116</f>
        <v>#REF!</v>
      </c>
    </row>
    <row r="116" spans="1:7" ht="15.75" x14ac:dyDescent="0.25">
      <c r="A116" s="29" t="s">
        <v>281</v>
      </c>
      <c r="B116" s="40" t="s">
        <v>436</v>
      </c>
      <c r="C116" s="40" t="s">
        <v>271</v>
      </c>
      <c r="D116" s="40" t="s">
        <v>222</v>
      </c>
      <c r="E116" s="40" t="s">
        <v>282</v>
      </c>
      <c r="F116" s="40"/>
      <c r="G116" s="6" t="e">
        <f>'Пр.4 ведом.21'!#REF!</f>
        <v>#REF!</v>
      </c>
    </row>
    <row r="117" spans="1:7" ht="47.25" x14ac:dyDescent="0.25">
      <c r="A117" s="29" t="s">
        <v>410</v>
      </c>
      <c r="B117" s="40" t="s">
        <v>415</v>
      </c>
      <c r="C117" s="40" t="s">
        <v>271</v>
      </c>
      <c r="D117" s="40" t="s">
        <v>222</v>
      </c>
      <c r="E117" s="40"/>
      <c r="F117" s="40" t="s">
        <v>644</v>
      </c>
      <c r="G117" s="6" t="e">
        <f>G103</f>
        <v>#REF!</v>
      </c>
    </row>
    <row r="118" spans="1:7" ht="47.25" x14ac:dyDescent="0.25">
      <c r="A118" s="41" t="s">
        <v>418</v>
      </c>
      <c r="B118" s="7" t="s">
        <v>419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270</v>
      </c>
      <c r="B119" s="40" t="s">
        <v>419</v>
      </c>
      <c r="C119" s="40" t="s">
        <v>271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411</v>
      </c>
      <c r="B120" s="40" t="s">
        <v>419</v>
      </c>
      <c r="C120" s="40" t="s">
        <v>271</v>
      </c>
      <c r="D120" s="40" t="s">
        <v>125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603</v>
      </c>
      <c r="B121" s="40" t="s">
        <v>604</v>
      </c>
      <c r="C121" s="40" t="s">
        <v>271</v>
      </c>
      <c r="D121" s="40" t="s">
        <v>125</v>
      </c>
      <c r="E121" s="40"/>
      <c r="F121" s="40"/>
      <c r="G121" s="10">
        <f>G122</f>
        <v>0</v>
      </c>
    </row>
    <row r="122" spans="1:7" ht="63" hidden="1" x14ac:dyDescent="0.25">
      <c r="A122" s="29" t="s">
        <v>279</v>
      </c>
      <c r="B122" s="40" t="s">
        <v>604</v>
      </c>
      <c r="C122" s="40" t="s">
        <v>271</v>
      </c>
      <c r="D122" s="40" t="s">
        <v>125</v>
      </c>
      <c r="E122" s="40" t="s">
        <v>280</v>
      </c>
      <c r="F122" s="40"/>
      <c r="G122" s="10">
        <f>G123</f>
        <v>0</v>
      </c>
    </row>
    <row r="123" spans="1:7" ht="15.75" hidden="1" x14ac:dyDescent="0.25">
      <c r="A123" s="29" t="s">
        <v>281</v>
      </c>
      <c r="B123" s="40" t="s">
        <v>604</v>
      </c>
      <c r="C123" s="40" t="s">
        <v>271</v>
      </c>
      <c r="D123" s="40" t="s">
        <v>125</v>
      </c>
      <c r="E123" s="40" t="s">
        <v>282</v>
      </c>
      <c r="F123" s="40"/>
      <c r="G123" s="10"/>
    </row>
    <row r="124" spans="1:7" ht="47.25" hidden="1" x14ac:dyDescent="0.25">
      <c r="A124" s="29" t="s">
        <v>410</v>
      </c>
      <c r="B124" s="40" t="s">
        <v>604</v>
      </c>
      <c r="C124" s="40" t="s">
        <v>271</v>
      </c>
      <c r="D124" s="40" t="s">
        <v>125</v>
      </c>
      <c r="E124" s="40"/>
      <c r="F124" s="40" t="s">
        <v>644</v>
      </c>
      <c r="G124" s="10">
        <v>0</v>
      </c>
    </row>
    <row r="125" spans="1:7" ht="47.25" hidden="1" x14ac:dyDescent="0.25">
      <c r="A125" s="29" t="s">
        <v>285</v>
      </c>
      <c r="B125" s="40" t="s">
        <v>605</v>
      </c>
      <c r="C125" s="40" t="s">
        <v>271</v>
      </c>
      <c r="D125" s="40" t="s">
        <v>125</v>
      </c>
      <c r="E125" s="40"/>
      <c r="F125" s="40"/>
      <c r="G125" s="10">
        <f>G126</f>
        <v>0</v>
      </c>
    </row>
    <row r="126" spans="1:7" ht="63" hidden="1" x14ac:dyDescent="0.25">
      <c r="A126" s="29" t="s">
        <v>279</v>
      </c>
      <c r="B126" s="40" t="s">
        <v>605</v>
      </c>
      <c r="C126" s="40" t="s">
        <v>271</v>
      </c>
      <c r="D126" s="40" t="s">
        <v>125</v>
      </c>
      <c r="E126" s="40" t="s">
        <v>280</v>
      </c>
      <c r="F126" s="40"/>
      <c r="G126" s="10">
        <f>G127</f>
        <v>0</v>
      </c>
    </row>
    <row r="127" spans="1:7" ht="15.75" hidden="1" x14ac:dyDescent="0.25">
      <c r="A127" s="29" t="s">
        <v>281</v>
      </c>
      <c r="B127" s="40" t="s">
        <v>605</v>
      </c>
      <c r="C127" s="40" t="s">
        <v>271</v>
      </c>
      <c r="D127" s="40" t="s">
        <v>125</v>
      </c>
      <c r="E127" s="40" t="s">
        <v>282</v>
      </c>
      <c r="F127" s="40"/>
      <c r="G127" s="10"/>
    </row>
    <row r="128" spans="1:7" ht="47.25" hidden="1" x14ac:dyDescent="0.25">
      <c r="A128" s="29" t="s">
        <v>410</v>
      </c>
      <c r="B128" s="40" t="s">
        <v>605</v>
      </c>
      <c r="C128" s="40" t="s">
        <v>271</v>
      </c>
      <c r="D128" s="40" t="s">
        <v>125</v>
      </c>
      <c r="E128" s="40"/>
      <c r="F128" s="40" t="s">
        <v>644</v>
      </c>
      <c r="G128" s="10">
        <v>0</v>
      </c>
    </row>
    <row r="129" spans="1:8" ht="31.5" x14ac:dyDescent="0.25">
      <c r="A129" s="29" t="s">
        <v>287</v>
      </c>
      <c r="B129" s="40" t="s">
        <v>421</v>
      </c>
      <c r="C129" s="40" t="s">
        <v>271</v>
      </c>
      <c r="D129" s="40" t="s">
        <v>125</v>
      </c>
      <c r="E129" s="40"/>
      <c r="F129" s="40"/>
      <c r="G129" s="10" t="e">
        <f>G130</f>
        <v>#REF!</v>
      </c>
    </row>
    <row r="130" spans="1:8" ht="63" x14ac:dyDescent="0.25">
      <c r="A130" s="29" t="s">
        <v>279</v>
      </c>
      <c r="B130" s="40" t="s">
        <v>421</v>
      </c>
      <c r="C130" s="40" t="s">
        <v>271</v>
      </c>
      <c r="D130" s="40" t="s">
        <v>125</v>
      </c>
      <c r="E130" s="40" t="s">
        <v>280</v>
      </c>
      <c r="F130" s="40"/>
      <c r="G130" s="10" t="e">
        <f>G131</f>
        <v>#REF!</v>
      </c>
    </row>
    <row r="131" spans="1:8" ht="15.75" x14ac:dyDescent="0.25">
      <c r="A131" s="29" t="s">
        <v>281</v>
      </c>
      <c r="B131" s="40" t="s">
        <v>421</v>
      </c>
      <c r="C131" s="40" t="s">
        <v>271</v>
      </c>
      <c r="D131" s="40" t="s">
        <v>125</v>
      </c>
      <c r="E131" s="40" t="s">
        <v>282</v>
      </c>
      <c r="F131" s="40"/>
      <c r="G131" s="159" t="e">
        <f>'Пр.4 ведом.21'!#REF!</f>
        <v>#REF!</v>
      </c>
      <c r="H131" s="160" t="s">
        <v>735</v>
      </c>
    </row>
    <row r="132" spans="1:8" ht="47.25" hidden="1" x14ac:dyDescent="0.25">
      <c r="A132" s="29" t="s">
        <v>410</v>
      </c>
      <c r="B132" s="40" t="s">
        <v>421</v>
      </c>
      <c r="C132" s="40" t="s">
        <v>271</v>
      </c>
      <c r="D132" s="40" t="s">
        <v>125</v>
      </c>
      <c r="E132" s="40"/>
      <c r="F132" s="40" t="s">
        <v>644</v>
      </c>
      <c r="G132" s="10"/>
    </row>
    <row r="133" spans="1:8" ht="63" x14ac:dyDescent="0.25">
      <c r="A133" s="29" t="s">
        <v>422</v>
      </c>
      <c r="B133" s="40" t="s">
        <v>423</v>
      </c>
      <c r="C133" s="40" t="s">
        <v>271</v>
      </c>
      <c r="D133" s="40" t="s">
        <v>125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279</v>
      </c>
      <c r="B134" s="40" t="s">
        <v>423</v>
      </c>
      <c r="C134" s="40" t="s">
        <v>271</v>
      </c>
      <c r="D134" s="40" t="s">
        <v>125</v>
      </c>
      <c r="E134" s="40" t="s">
        <v>280</v>
      </c>
      <c r="F134" s="40"/>
      <c r="G134" s="10" t="e">
        <f>G135</f>
        <v>#REF!</v>
      </c>
    </row>
    <row r="135" spans="1:8" ht="15.75" x14ac:dyDescent="0.25">
      <c r="A135" s="29" t="s">
        <v>281</v>
      </c>
      <c r="B135" s="40" t="s">
        <v>423</v>
      </c>
      <c r="C135" s="40" t="s">
        <v>271</v>
      </c>
      <c r="D135" s="40" t="s">
        <v>125</v>
      </c>
      <c r="E135" s="40" t="s">
        <v>282</v>
      </c>
      <c r="F135" s="40"/>
      <c r="G135" s="6" t="e">
        <f>'Пр.4 ведом.21'!#REF!</f>
        <v>#REF!</v>
      </c>
    </row>
    <row r="136" spans="1:8" ht="47.25" x14ac:dyDescent="0.25">
      <c r="A136" s="29" t="s">
        <v>410</v>
      </c>
      <c r="B136" s="40" t="s">
        <v>419</v>
      </c>
      <c r="C136" s="40" t="s">
        <v>271</v>
      </c>
      <c r="D136" s="40" t="s">
        <v>125</v>
      </c>
      <c r="E136" s="40"/>
      <c r="F136" s="40" t="s">
        <v>644</v>
      </c>
      <c r="G136" s="6" t="e">
        <f>G118+G131</f>
        <v>#REF!</v>
      </c>
    </row>
    <row r="137" spans="1:8" ht="31.5" hidden="1" x14ac:dyDescent="0.25">
      <c r="A137" s="29" t="s">
        <v>291</v>
      </c>
      <c r="B137" s="40" t="s">
        <v>608</v>
      </c>
      <c r="C137" s="40" t="s">
        <v>271</v>
      </c>
      <c r="D137" s="40" t="s">
        <v>125</v>
      </c>
      <c r="E137" s="40"/>
      <c r="F137" s="40"/>
      <c r="G137" s="10">
        <f>G138</f>
        <v>0</v>
      </c>
    </row>
    <row r="138" spans="1:8" ht="63" hidden="1" x14ac:dyDescent="0.25">
      <c r="A138" s="29" t="s">
        <v>279</v>
      </c>
      <c r="B138" s="40" t="s">
        <v>608</v>
      </c>
      <c r="C138" s="40" t="s">
        <v>271</v>
      </c>
      <c r="D138" s="40" t="s">
        <v>125</v>
      </c>
      <c r="E138" s="40" t="s">
        <v>280</v>
      </c>
      <c r="F138" s="40"/>
      <c r="G138" s="10">
        <f>G139</f>
        <v>0</v>
      </c>
    </row>
    <row r="139" spans="1:8" ht="15.75" hidden="1" x14ac:dyDescent="0.25">
      <c r="A139" s="29" t="s">
        <v>281</v>
      </c>
      <c r="B139" s="40" t="s">
        <v>608</v>
      </c>
      <c r="C139" s="40" t="s">
        <v>271</v>
      </c>
      <c r="D139" s="40" t="s">
        <v>125</v>
      </c>
      <c r="E139" s="40" t="s">
        <v>282</v>
      </c>
      <c r="F139" s="40"/>
      <c r="G139" s="10"/>
    </row>
    <row r="140" spans="1:8" ht="47.25" hidden="1" x14ac:dyDescent="0.25">
      <c r="A140" s="29" t="s">
        <v>410</v>
      </c>
      <c r="B140" s="40" t="s">
        <v>608</v>
      </c>
      <c r="C140" s="40" t="s">
        <v>271</v>
      </c>
      <c r="D140" s="40" t="s">
        <v>125</v>
      </c>
      <c r="E140" s="40"/>
      <c r="F140" s="40" t="s">
        <v>644</v>
      </c>
      <c r="G140" s="10">
        <v>0</v>
      </c>
    </row>
    <row r="141" spans="1:8" ht="47.25" x14ac:dyDescent="0.25">
      <c r="A141" s="41" t="s">
        <v>437</v>
      </c>
      <c r="B141" s="7" t="s">
        <v>438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603</v>
      </c>
      <c r="B142" s="40" t="s">
        <v>609</v>
      </c>
      <c r="C142" s="40" t="s">
        <v>271</v>
      </c>
      <c r="D142" s="40" t="s">
        <v>220</v>
      </c>
      <c r="E142" s="40"/>
      <c r="F142" s="40"/>
      <c r="G142" s="10">
        <f>G143</f>
        <v>0</v>
      </c>
    </row>
    <row r="143" spans="1:8" ht="63" hidden="1" x14ac:dyDescent="0.25">
      <c r="A143" s="29" t="s">
        <v>279</v>
      </c>
      <c r="B143" s="40" t="s">
        <v>609</v>
      </c>
      <c r="C143" s="40" t="s">
        <v>271</v>
      </c>
      <c r="D143" s="40" t="s">
        <v>220</v>
      </c>
      <c r="E143" s="40" t="s">
        <v>280</v>
      </c>
      <c r="F143" s="40"/>
      <c r="G143" s="10">
        <f>G145</f>
        <v>0</v>
      </c>
    </row>
    <row r="144" spans="1:8" ht="18.75" hidden="1" customHeight="1" x14ac:dyDescent="0.25">
      <c r="A144" s="29" t="s">
        <v>281</v>
      </c>
      <c r="B144" s="40" t="s">
        <v>609</v>
      </c>
      <c r="C144" s="40" t="s">
        <v>271</v>
      </c>
      <c r="D144" s="40" t="s">
        <v>220</v>
      </c>
      <c r="E144" s="40" t="s">
        <v>282</v>
      </c>
      <c r="F144" s="40"/>
      <c r="G144" s="10"/>
    </row>
    <row r="145" spans="1:7" ht="47.25" hidden="1" x14ac:dyDescent="0.25">
      <c r="A145" s="29" t="s">
        <v>410</v>
      </c>
      <c r="B145" s="40" t="s">
        <v>609</v>
      </c>
      <c r="C145" s="40" t="s">
        <v>271</v>
      </c>
      <c r="D145" s="40" t="s">
        <v>220</v>
      </c>
      <c r="E145" s="40"/>
      <c r="F145" s="40" t="s">
        <v>644</v>
      </c>
      <c r="G145" s="10"/>
    </row>
    <row r="146" spans="1:7" ht="78.75" hidden="1" x14ac:dyDescent="0.25">
      <c r="A146" s="25" t="s">
        <v>439</v>
      </c>
      <c r="B146" s="40" t="s">
        <v>440</v>
      </c>
      <c r="C146" s="40" t="s">
        <v>271</v>
      </c>
      <c r="D146" s="40" t="s">
        <v>220</v>
      </c>
      <c r="E146" s="40"/>
      <c r="F146" s="40"/>
      <c r="G146" s="10">
        <f>G147</f>
        <v>0</v>
      </c>
    </row>
    <row r="147" spans="1:7" ht="63" hidden="1" x14ac:dyDescent="0.25">
      <c r="A147" s="29" t="s">
        <v>279</v>
      </c>
      <c r="B147" s="40" t="s">
        <v>440</v>
      </c>
      <c r="C147" s="40" t="s">
        <v>271</v>
      </c>
      <c r="D147" s="40" t="s">
        <v>220</v>
      </c>
      <c r="E147" s="40" t="s">
        <v>280</v>
      </c>
      <c r="F147" s="40"/>
      <c r="G147" s="10">
        <f>G148</f>
        <v>0</v>
      </c>
    </row>
    <row r="148" spans="1:7" ht="15.75" hidden="1" x14ac:dyDescent="0.25">
      <c r="A148" s="29" t="s">
        <v>281</v>
      </c>
      <c r="B148" s="40" t="s">
        <v>440</v>
      </c>
      <c r="C148" s="40" t="s">
        <v>271</v>
      </c>
      <c r="D148" s="40" t="s">
        <v>220</v>
      </c>
      <c r="E148" s="40" t="s">
        <v>282</v>
      </c>
      <c r="F148" s="40"/>
      <c r="G148" s="10"/>
    </row>
    <row r="149" spans="1:7" ht="54.75" hidden="1" customHeight="1" x14ac:dyDescent="0.25">
      <c r="A149" s="29" t="s">
        <v>410</v>
      </c>
      <c r="B149" s="40" t="s">
        <v>440</v>
      </c>
      <c r="C149" s="40" t="s">
        <v>271</v>
      </c>
      <c r="D149" s="40" t="s">
        <v>220</v>
      </c>
      <c r="E149" s="40"/>
      <c r="F149" s="40" t="s">
        <v>644</v>
      </c>
      <c r="G149" s="10">
        <f>G146</f>
        <v>0</v>
      </c>
    </row>
    <row r="150" spans="1:7" ht="31.5" hidden="1" x14ac:dyDescent="0.25">
      <c r="A150" s="25" t="s">
        <v>441</v>
      </c>
      <c r="B150" s="20" t="s">
        <v>442</v>
      </c>
      <c r="C150" s="40" t="s">
        <v>271</v>
      </c>
      <c r="D150" s="40" t="s">
        <v>220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279</v>
      </c>
      <c r="B151" s="20" t="s">
        <v>442</v>
      </c>
      <c r="C151" s="40" t="s">
        <v>271</v>
      </c>
      <c r="D151" s="40" t="s">
        <v>220</v>
      </c>
      <c r="E151" s="40" t="s">
        <v>280</v>
      </c>
      <c r="F151" s="40"/>
      <c r="G151" s="10">
        <f>G152</f>
        <v>0</v>
      </c>
    </row>
    <row r="152" spans="1:7" ht="15.75" hidden="1" x14ac:dyDescent="0.25">
      <c r="A152" s="25" t="s">
        <v>281</v>
      </c>
      <c r="B152" s="20" t="s">
        <v>442</v>
      </c>
      <c r="C152" s="40" t="s">
        <v>271</v>
      </c>
      <c r="D152" s="40" t="s">
        <v>220</v>
      </c>
      <c r="E152" s="40" t="s">
        <v>282</v>
      </c>
      <c r="F152" s="40"/>
      <c r="G152" s="10"/>
    </row>
    <row r="153" spans="1:7" ht="47.25" hidden="1" x14ac:dyDescent="0.25">
      <c r="A153" s="29" t="s">
        <v>410</v>
      </c>
      <c r="B153" s="20" t="s">
        <v>442</v>
      </c>
      <c r="C153" s="40" t="s">
        <v>271</v>
      </c>
      <c r="D153" s="40" t="s">
        <v>220</v>
      </c>
      <c r="E153" s="40"/>
      <c r="F153" s="40" t="s">
        <v>644</v>
      </c>
      <c r="G153" s="10">
        <f>G150</f>
        <v>0</v>
      </c>
    </row>
    <row r="154" spans="1:7" ht="63" hidden="1" x14ac:dyDescent="0.25">
      <c r="A154" s="25" t="s">
        <v>445</v>
      </c>
      <c r="B154" s="20" t="s">
        <v>446</v>
      </c>
      <c r="C154" s="40" t="s">
        <v>271</v>
      </c>
      <c r="D154" s="40" t="s">
        <v>220</v>
      </c>
      <c r="E154" s="40"/>
      <c r="F154" s="40"/>
      <c r="G154" s="10">
        <f>G155</f>
        <v>0</v>
      </c>
    </row>
    <row r="155" spans="1:7" ht="63" hidden="1" x14ac:dyDescent="0.25">
      <c r="A155" s="29" t="s">
        <v>279</v>
      </c>
      <c r="B155" s="20" t="s">
        <v>446</v>
      </c>
      <c r="C155" s="40" t="s">
        <v>271</v>
      </c>
      <c r="D155" s="40" t="s">
        <v>220</v>
      </c>
      <c r="E155" s="40" t="s">
        <v>280</v>
      </c>
      <c r="F155" s="40"/>
      <c r="G155" s="10">
        <f>G156</f>
        <v>0</v>
      </c>
    </row>
    <row r="156" spans="1:7" ht="15.75" hidden="1" x14ac:dyDescent="0.25">
      <c r="A156" s="29" t="s">
        <v>281</v>
      </c>
      <c r="B156" s="20" t="s">
        <v>446</v>
      </c>
      <c r="C156" s="40" t="s">
        <v>271</v>
      </c>
      <c r="D156" s="40" t="s">
        <v>220</v>
      </c>
      <c r="E156" s="40" t="s">
        <v>282</v>
      </c>
      <c r="F156" s="40"/>
      <c r="G156" s="10"/>
    </row>
    <row r="157" spans="1:7" ht="47.25" hidden="1" x14ac:dyDescent="0.25">
      <c r="A157" s="29" t="s">
        <v>410</v>
      </c>
      <c r="B157" s="20" t="s">
        <v>446</v>
      </c>
      <c r="C157" s="40" t="s">
        <v>271</v>
      </c>
      <c r="D157" s="40" t="s">
        <v>220</v>
      </c>
      <c r="E157" s="40"/>
      <c r="F157" s="40" t="s">
        <v>644</v>
      </c>
      <c r="G157" s="10">
        <f>G156</f>
        <v>0</v>
      </c>
    </row>
    <row r="158" spans="1:7" ht="47.25" hidden="1" x14ac:dyDescent="0.25">
      <c r="A158" s="25" t="s">
        <v>611</v>
      </c>
      <c r="B158" s="20" t="s">
        <v>449</v>
      </c>
      <c r="C158" s="40" t="s">
        <v>271</v>
      </c>
      <c r="D158" s="40" t="s">
        <v>220</v>
      </c>
      <c r="E158" s="40"/>
      <c r="F158" s="40"/>
      <c r="G158" s="10">
        <f>G159</f>
        <v>0</v>
      </c>
    </row>
    <row r="159" spans="1:7" ht="63" hidden="1" x14ac:dyDescent="0.25">
      <c r="A159" s="25" t="s">
        <v>279</v>
      </c>
      <c r="B159" s="20" t="s">
        <v>449</v>
      </c>
      <c r="C159" s="40" t="s">
        <v>271</v>
      </c>
      <c r="D159" s="40" t="s">
        <v>220</v>
      </c>
      <c r="E159" s="40" t="s">
        <v>280</v>
      </c>
      <c r="F159" s="40"/>
      <c r="G159" s="10">
        <f>G160</f>
        <v>0</v>
      </c>
    </row>
    <row r="160" spans="1:7" ht="15.75" hidden="1" x14ac:dyDescent="0.25">
      <c r="A160" s="25" t="s">
        <v>281</v>
      </c>
      <c r="B160" s="20" t="s">
        <v>449</v>
      </c>
      <c r="C160" s="40" t="s">
        <v>271</v>
      </c>
      <c r="D160" s="40" t="s">
        <v>220</v>
      </c>
      <c r="E160" s="40" t="s">
        <v>282</v>
      </c>
      <c r="F160" s="40"/>
      <c r="G160" s="10"/>
    </row>
    <row r="161" spans="1:8" ht="47.25" hidden="1" x14ac:dyDescent="0.25">
      <c r="A161" s="29" t="s">
        <v>410</v>
      </c>
      <c r="B161" s="20" t="s">
        <v>449</v>
      </c>
      <c r="C161" s="40" t="s">
        <v>271</v>
      </c>
      <c r="D161" s="40" t="s">
        <v>220</v>
      </c>
      <c r="E161" s="40"/>
      <c r="F161" s="40" t="s">
        <v>644</v>
      </c>
      <c r="G161" s="10">
        <f>G159</f>
        <v>0</v>
      </c>
    </row>
    <row r="162" spans="1:8" ht="15.75" x14ac:dyDescent="0.25">
      <c r="A162" s="29" t="s">
        <v>270</v>
      </c>
      <c r="B162" s="40" t="s">
        <v>438</v>
      </c>
      <c r="C162" s="40" t="s">
        <v>271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432</v>
      </c>
      <c r="B163" s="40" t="s">
        <v>438</v>
      </c>
      <c r="C163" s="40" t="s">
        <v>271</v>
      </c>
      <c r="D163" s="40" t="s">
        <v>220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610</v>
      </c>
      <c r="B164" s="20" t="s">
        <v>444</v>
      </c>
      <c r="C164" s="40" t="s">
        <v>271</v>
      </c>
      <c r="D164" s="40" t="s">
        <v>220</v>
      </c>
      <c r="E164" s="40"/>
      <c r="F164" s="40"/>
      <c r="G164" s="10" t="e">
        <f>G165</f>
        <v>#REF!</v>
      </c>
    </row>
    <row r="165" spans="1:8" ht="63" x14ac:dyDescent="0.25">
      <c r="A165" s="29" t="s">
        <v>279</v>
      </c>
      <c r="B165" s="20" t="s">
        <v>444</v>
      </c>
      <c r="C165" s="40" t="s">
        <v>271</v>
      </c>
      <c r="D165" s="40" t="s">
        <v>220</v>
      </c>
      <c r="E165" s="40" t="s">
        <v>280</v>
      </c>
      <c r="F165" s="40"/>
      <c r="G165" s="10" t="e">
        <f>G166</f>
        <v>#REF!</v>
      </c>
    </row>
    <row r="166" spans="1:8" ht="24" customHeight="1" x14ac:dyDescent="0.25">
      <c r="A166" s="29" t="s">
        <v>281</v>
      </c>
      <c r="B166" s="20" t="s">
        <v>444</v>
      </c>
      <c r="C166" s="40" t="s">
        <v>271</v>
      </c>
      <c r="D166" s="40" t="s">
        <v>220</v>
      </c>
      <c r="E166" s="40" t="s">
        <v>282</v>
      </c>
      <c r="F166" s="40"/>
      <c r="G166" s="6" t="e">
        <f>'Пр.4 ведом.21'!#REF!</f>
        <v>#REF!</v>
      </c>
    </row>
    <row r="167" spans="1:8" ht="63" x14ac:dyDescent="0.25">
      <c r="A167" s="25" t="s">
        <v>445</v>
      </c>
      <c r="B167" s="20" t="s">
        <v>446</v>
      </c>
      <c r="C167" s="40" t="s">
        <v>271</v>
      </c>
      <c r="D167" s="40" t="s">
        <v>220</v>
      </c>
      <c r="E167" s="40"/>
      <c r="F167" s="40"/>
      <c r="G167" s="6" t="e">
        <f>G168</f>
        <v>#REF!</v>
      </c>
    </row>
    <row r="168" spans="1:8" ht="63" x14ac:dyDescent="0.25">
      <c r="A168" s="25" t="s">
        <v>279</v>
      </c>
      <c r="B168" s="20" t="s">
        <v>446</v>
      </c>
      <c r="C168" s="40" t="s">
        <v>271</v>
      </c>
      <c r="D168" s="40" t="s">
        <v>220</v>
      </c>
      <c r="E168" s="40" t="s">
        <v>280</v>
      </c>
      <c r="F168" s="40"/>
      <c r="G168" s="6" t="e">
        <f>G169</f>
        <v>#REF!</v>
      </c>
    </row>
    <row r="169" spans="1:8" ht="15.75" x14ac:dyDescent="0.25">
      <c r="A169" s="25" t="s">
        <v>281</v>
      </c>
      <c r="B169" s="20" t="s">
        <v>446</v>
      </c>
      <c r="C169" s="40" t="s">
        <v>271</v>
      </c>
      <c r="D169" s="40" t="s">
        <v>220</v>
      </c>
      <c r="E169" s="40" t="s">
        <v>282</v>
      </c>
      <c r="F169" s="40"/>
      <c r="G169" s="6" t="e">
        <f>'Пр.4 ведом.21'!#REF!</f>
        <v>#REF!</v>
      </c>
    </row>
    <row r="170" spans="1:8" ht="47.25" x14ac:dyDescent="0.25">
      <c r="A170" s="25" t="s">
        <v>285</v>
      </c>
      <c r="B170" s="40" t="s">
        <v>449</v>
      </c>
      <c r="C170" s="40" t="s">
        <v>271</v>
      </c>
      <c r="D170" s="40" t="s">
        <v>220</v>
      </c>
      <c r="E170" s="40"/>
      <c r="F170" s="40"/>
      <c r="G170" s="6" t="e">
        <f>G171</f>
        <v>#REF!</v>
      </c>
    </row>
    <row r="171" spans="1:8" ht="63" x14ac:dyDescent="0.25">
      <c r="A171" s="25" t="s">
        <v>279</v>
      </c>
      <c r="B171" s="40" t="s">
        <v>449</v>
      </c>
      <c r="C171" s="40" t="s">
        <v>271</v>
      </c>
      <c r="D171" s="40" t="s">
        <v>220</v>
      </c>
      <c r="E171" s="40" t="s">
        <v>280</v>
      </c>
      <c r="F171" s="40"/>
      <c r="G171" s="6" t="e">
        <f>G172</f>
        <v>#REF!</v>
      </c>
    </row>
    <row r="172" spans="1:8" ht="15.75" x14ac:dyDescent="0.25">
      <c r="A172" s="25" t="s">
        <v>281</v>
      </c>
      <c r="B172" s="40" t="s">
        <v>449</v>
      </c>
      <c r="C172" s="40" t="s">
        <v>271</v>
      </c>
      <c r="D172" s="40" t="s">
        <v>220</v>
      </c>
      <c r="E172" s="40" t="s">
        <v>282</v>
      </c>
      <c r="F172" s="40"/>
      <c r="G172" s="6" t="e">
        <f>'Пр.4 ведом.21'!#REF!</f>
        <v>#REF!</v>
      </c>
      <c r="H172" s="112"/>
    </row>
    <row r="173" spans="1:8" ht="47.25" x14ac:dyDescent="0.25">
      <c r="A173" s="29" t="s">
        <v>289</v>
      </c>
      <c r="B173" s="40" t="s">
        <v>451</v>
      </c>
      <c r="C173" s="40" t="s">
        <v>271</v>
      </c>
      <c r="D173" s="40" t="s">
        <v>220</v>
      </c>
      <c r="E173" s="40"/>
      <c r="F173" s="40"/>
      <c r="G173" s="10" t="e">
        <f>G174</f>
        <v>#REF!</v>
      </c>
    </row>
    <row r="174" spans="1:8" ht="63" x14ac:dyDescent="0.25">
      <c r="A174" s="29" t="s">
        <v>279</v>
      </c>
      <c r="B174" s="40" t="s">
        <v>451</v>
      </c>
      <c r="C174" s="40" t="s">
        <v>271</v>
      </c>
      <c r="D174" s="40" t="s">
        <v>220</v>
      </c>
      <c r="E174" s="40" t="s">
        <v>280</v>
      </c>
      <c r="F174" s="40"/>
      <c r="G174" s="10" t="e">
        <f>G175</f>
        <v>#REF!</v>
      </c>
    </row>
    <row r="175" spans="1:8" ht="26.45" customHeight="1" x14ac:dyDescent="0.25">
      <c r="A175" s="29" t="s">
        <v>281</v>
      </c>
      <c r="B175" s="40" t="s">
        <v>451</v>
      </c>
      <c r="C175" s="40" t="s">
        <v>271</v>
      </c>
      <c r="D175" s="40" t="s">
        <v>220</v>
      </c>
      <c r="E175" s="40" t="s">
        <v>282</v>
      </c>
      <c r="F175" s="40"/>
      <c r="G175" s="10" t="e">
        <f>'Пр.4 ведом.21'!#REF!</f>
        <v>#REF!</v>
      </c>
    </row>
    <row r="176" spans="1:8" ht="31.5" x14ac:dyDescent="0.25">
      <c r="A176" s="29" t="s">
        <v>291</v>
      </c>
      <c r="B176" s="40" t="s">
        <v>452</v>
      </c>
      <c r="C176" s="40" t="s">
        <v>271</v>
      </c>
      <c r="D176" s="40" t="s">
        <v>220</v>
      </c>
      <c r="E176" s="40"/>
      <c r="F176" s="40"/>
      <c r="G176" s="10" t="e">
        <f>G177</f>
        <v>#REF!</v>
      </c>
    </row>
    <row r="177" spans="1:7" ht="63" x14ac:dyDescent="0.25">
      <c r="A177" s="29" t="s">
        <v>279</v>
      </c>
      <c r="B177" s="40" t="s">
        <v>452</v>
      </c>
      <c r="C177" s="40" t="s">
        <v>271</v>
      </c>
      <c r="D177" s="40" t="s">
        <v>220</v>
      </c>
      <c r="E177" s="40" t="s">
        <v>280</v>
      </c>
      <c r="F177" s="40"/>
      <c r="G177" s="10" t="e">
        <f>G178</f>
        <v>#REF!</v>
      </c>
    </row>
    <row r="178" spans="1:7" ht="26.45" customHeight="1" x14ac:dyDescent="0.25">
      <c r="A178" s="29" t="s">
        <v>281</v>
      </c>
      <c r="B178" s="40" t="s">
        <v>452</v>
      </c>
      <c r="C178" s="40" t="s">
        <v>271</v>
      </c>
      <c r="D178" s="40" t="s">
        <v>220</v>
      </c>
      <c r="E178" s="40" t="s">
        <v>282</v>
      </c>
      <c r="F178" s="40"/>
      <c r="G178" s="10" t="e">
        <f>'Пр.4 ведом.21'!#REF!</f>
        <v>#REF!</v>
      </c>
    </row>
    <row r="179" spans="1:7" ht="47.25" x14ac:dyDescent="0.25">
      <c r="A179" s="29" t="s">
        <v>410</v>
      </c>
      <c r="B179" s="40" t="s">
        <v>438</v>
      </c>
      <c r="C179" s="40" t="s">
        <v>271</v>
      </c>
      <c r="D179" s="40" t="s">
        <v>220</v>
      </c>
      <c r="E179" s="40"/>
      <c r="F179" s="40" t="s">
        <v>644</v>
      </c>
      <c r="G179" s="10" t="e">
        <f>G141</f>
        <v>#REF!</v>
      </c>
    </row>
    <row r="180" spans="1:7" ht="31.5" hidden="1" x14ac:dyDescent="0.25">
      <c r="A180" s="29" t="s">
        <v>291</v>
      </c>
      <c r="B180" s="40" t="s">
        <v>612</v>
      </c>
      <c r="C180" s="40" t="s">
        <v>271</v>
      </c>
      <c r="D180" s="40" t="s">
        <v>220</v>
      </c>
      <c r="E180" s="40"/>
      <c r="F180" s="40"/>
      <c r="G180" s="10">
        <f>G181</f>
        <v>0</v>
      </c>
    </row>
    <row r="181" spans="1:7" ht="63" hidden="1" x14ac:dyDescent="0.25">
      <c r="A181" s="29" t="s">
        <v>279</v>
      </c>
      <c r="B181" s="40" t="s">
        <v>612</v>
      </c>
      <c r="C181" s="40" t="s">
        <v>271</v>
      </c>
      <c r="D181" s="40" t="s">
        <v>220</v>
      </c>
      <c r="E181" s="40" t="s">
        <v>280</v>
      </c>
      <c r="F181" s="40"/>
      <c r="G181" s="10">
        <f>G182</f>
        <v>0</v>
      </c>
    </row>
    <row r="182" spans="1:7" ht="15.75" hidden="1" x14ac:dyDescent="0.25">
      <c r="A182" s="29" t="s">
        <v>281</v>
      </c>
      <c r="B182" s="40" t="s">
        <v>612</v>
      </c>
      <c r="C182" s="40" t="s">
        <v>271</v>
      </c>
      <c r="D182" s="40" t="s">
        <v>220</v>
      </c>
      <c r="E182" s="40" t="s">
        <v>282</v>
      </c>
      <c r="F182" s="40"/>
      <c r="G182" s="10"/>
    </row>
    <row r="183" spans="1:7" ht="47.25" hidden="1" x14ac:dyDescent="0.25">
      <c r="A183" s="29" t="s">
        <v>410</v>
      </c>
      <c r="B183" s="40" t="s">
        <v>612</v>
      </c>
      <c r="C183" s="40" t="s">
        <v>271</v>
      </c>
      <c r="D183" s="40" t="s">
        <v>220</v>
      </c>
      <c r="E183" s="40"/>
      <c r="F183" s="40" t="s">
        <v>644</v>
      </c>
      <c r="G183" s="10">
        <v>0</v>
      </c>
    </row>
    <row r="184" spans="1:7" ht="47.25" hidden="1" x14ac:dyDescent="0.25">
      <c r="A184" s="29" t="s">
        <v>645</v>
      </c>
      <c r="B184" s="40" t="s">
        <v>613</v>
      </c>
      <c r="C184" s="40" t="s">
        <v>271</v>
      </c>
      <c r="D184" s="40" t="s">
        <v>220</v>
      </c>
      <c r="E184" s="40"/>
      <c r="F184" s="40"/>
      <c r="G184" s="10">
        <f>G185</f>
        <v>0</v>
      </c>
    </row>
    <row r="185" spans="1:7" ht="63" hidden="1" x14ac:dyDescent="0.25">
      <c r="A185" s="29" t="s">
        <v>279</v>
      </c>
      <c r="B185" s="40" t="s">
        <v>613</v>
      </c>
      <c r="C185" s="40" t="s">
        <v>271</v>
      </c>
      <c r="D185" s="40" t="s">
        <v>220</v>
      </c>
      <c r="E185" s="40" t="s">
        <v>280</v>
      </c>
      <c r="F185" s="40"/>
      <c r="G185" s="10">
        <f>G186</f>
        <v>0</v>
      </c>
    </row>
    <row r="186" spans="1:7" ht="15.75" hidden="1" x14ac:dyDescent="0.25">
      <c r="A186" s="29" t="s">
        <v>281</v>
      </c>
      <c r="B186" s="40" t="s">
        <v>613</v>
      </c>
      <c r="C186" s="40" t="s">
        <v>271</v>
      </c>
      <c r="D186" s="40" t="s">
        <v>220</v>
      </c>
      <c r="E186" s="40" t="s">
        <v>282</v>
      </c>
      <c r="F186" s="40"/>
      <c r="G186" s="10"/>
    </row>
    <row r="187" spans="1:7" ht="47.25" hidden="1" x14ac:dyDescent="0.25">
      <c r="A187" s="29" t="s">
        <v>410</v>
      </c>
      <c r="B187" s="40" t="s">
        <v>613</v>
      </c>
      <c r="C187" s="40" t="s">
        <v>271</v>
      </c>
      <c r="D187" s="40" t="s">
        <v>220</v>
      </c>
      <c r="E187" s="40"/>
      <c r="F187" s="40" t="s">
        <v>644</v>
      </c>
      <c r="G187" s="10">
        <v>0</v>
      </c>
    </row>
    <row r="188" spans="1:7" ht="45.75" customHeight="1" x14ac:dyDescent="0.25">
      <c r="A188" s="41" t="s">
        <v>453</v>
      </c>
      <c r="B188" s="7" t="s">
        <v>454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270</v>
      </c>
      <c r="B189" s="40" t="s">
        <v>454</v>
      </c>
      <c r="C189" s="40" t="s">
        <v>271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272</v>
      </c>
      <c r="B190" s="40" t="s">
        <v>454</v>
      </c>
      <c r="C190" s="40" t="s">
        <v>271</v>
      </c>
      <c r="D190" s="40" t="s">
        <v>222</v>
      </c>
      <c r="E190" s="40"/>
      <c r="F190" s="40"/>
      <c r="G190" s="10" t="e">
        <f>G191</f>
        <v>#REF!</v>
      </c>
    </row>
    <row r="191" spans="1:7" ht="31.5" x14ac:dyDescent="0.25">
      <c r="A191" s="45" t="s">
        <v>711</v>
      </c>
      <c r="B191" s="20" t="s">
        <v>712</v>
      </c>
      <c r="C191" s="40" t="s">
        <v>271</v>
      </c>
      <c r="D191" s="40" t="s">
        <v>222</v>
      </c>
      <c r="E191" s="40"/>
      <c r="F191" s="40"/>
      <c r="G191" s="10" t="e">
        <f>G192</f>
        <v>#REF!</v>
      </c>
    </row>
    <row r="192" spans="1:7" ht="63" x14ac:dyDescent="0.25">
      <c r="A192" s="29" t="s">
        <v>279</v>
      </c>
      <c r="B192" s="20" t="s">
        <v>712</v>
      </c>
      <c r="C192" s="40" t="s">
        <v>271</v>
      </c>
      <c r="D192" s="40" t="s">
        <v>222</v>
      </c>
      <c r="E192" s="40" t="s">
        <v>280</v>
      </c>
      <c r="F192" s="40"/>
      <c r="G192" s="10" t="e">
        <f>G193</f>
        <v>#REF!</v>
      </c>
    </row>
    <row r="193" spans="1:8" ht="15.75" x14ac:dyDescent="0.25">
      <c r="A193" s="29" t="s">
        <v>281</v>
      </c>
      <c r="B193" s="20" t="s">
        <v>712</v>
      </c>
      <c r="C193" s="40" t="s">
        <v>271</v>
      </c>
      <c r="D193" s="40" t="s">
        <v>222</v>
      </c>
      <c r="E193" s="40" t="s">
        <v>282</v>
      </c>
      <c r="F193" s="40"/>
      <c r="G193" s="10" t="e">
        <f>'Пр.4 ведом.21'!#REF!</f>
        <v>#REF!</v>
      </c>
      <c r="H193" s="112"/>
    </row>
    <row r="194" spans="1:8" ht="47.25" x14ac:dyDescent="0.25">
      <c r="A194" s="29" t="s">
        <v>410</v>
      </c>
      <c r="B194" s="20" t="s">
        <v>712</v>
      </c>
      <c r="C194" s="40" t="s">
        <v>271</v>
      </c>
      <c r="D194" s="40" t="s">
        <v>222</v>
      </c>
      <c r="E194" s="40"/>
      <c r="F194" s="40" t="s">
        <v>644</v>
      </c>
      <c r="G194" s="10" t="e">
        <f>G189</f>
        <v>#REF!</v>
      </c>
    </row>
    <row r="195" spans="1:8" ht="47.25" hidden="1" x14ac:dyDescent="0.25">
      <c r="A195" s="29" t="s">
        <v>646</v>
      </c>
      <c r="B195" s="40" t="s">
        <v>614</v>
      </c>
      <c r="C195" s="40" t="s">
        <v>271</v>
      </c>
      <c r="D195" s="40" t="s">
        <v>220</v>
      </c>
      <c r="E195" s="40"/>
      <c r="F195" s="40"/>
      <c r="G195" s="10">
        <f>G199</f>
        <v>0</v>
      </c>
    </row>
    <row r="196" spans="1:8" ht="63" hidden="1" x14ac:dyDescent="0.25">
      <c r="A196" s="29" t="s">
        <v>279</v>
      </c>
      <c r="B196" s="40" t="s">
        <v>614</v>
      </c>
      <c r="C196" s="40" t="s">
        <v>475</v>
      </c>
      <c r="D196" s="40" t="s">
        <v>647</v>
      </c>
      <c r="E196" s="40" t="s">
        <v>280</v>
      </c>
      <c r="F196" s="40"/>
      <c r="G196" s="10">
        <f>G197</f>
        <v>0</v>
      </c>
    </row>
    <row r="197" spans="1:8" ht="15.75" hidden="1" x14ac:dyDescent="0.25">
      <c r="A197" s="29" t="s">
        <v>281</v>
      </c>
      <c r="B197" s="40" t="s">
        <v>614</v>
      </c>
      <c r="C197" s="40" t="s">
        <v>475</v>
      </c>
      <c r="D197" s="40" t="s">
        <v>647</v>
      </c>
      <c r="E197" s="40" t="s">
        <v>282</v>
      </c>
      <c r="F197" s="40"/>
      <c r="G197" s="10">
        <f>G198</f>
        <v>0</v>
      </c>
    </row>
    <row r="198" spans="1:8" ht="31.5" hidden="1" x14ac:dyDescent="0.25">
      <c r="A198" s="29" t="s">
        <v>606</v>
      </c>
      <c r="B198" s="40" t="s">
        <v>614</v>
      </c>
      <c r="C198" s="40" t="s">
        <v>475</v>
      </c>
      <c r="D198" s="40" t="s">
        <v>647</v>
      </c>
      <c r="E198" s="40" t="s">
        <v>607</v>
      </c>
      <c r="F198" s="40"/>
      <c r="G198" s="10">
        <f>G199</f>
        <v>0</v>
      </c>
    </row>
    <row r="199" spans="1:8" ht="47.25" hidden="1" x14ac:dyDescent="0.25">
      <c r="A199" s="29" t="s">
        <v>410</v>
      </c>
      <c r="B199" s="40" t="s">
        <v>614</v>
      </c>
      <c r="C199" s="40" t="s">
        <v>271</v>
      </c>
      <c r="D199" s="40" t="s">
        <v>220</v>
      </c>
      <c r="E199" s="40"/>
      <c r="F199" s="40" t="s">
        <v>644</v>
      </c>
      <c r="G199" s="10"/>
    </row>
    <row r="200" spans="1:8" ht="47.25" hidden="1" x14ac:dyDescent="0.25">
      <c r="A200" s="29" t="s">
        <v>648</v>
      </c>
      <c r="B200" s="20" t="s">
        <v>455</v>
      </c>
      <c r="C200" s="40" t="s">
        <v>271</v>
      </c>
      <c r="D200" s="40" t="s">
        <v>220</v>
      </c>
      <c r="E200" s="40"/>
      <c r="F200" s="40"/>
      <c r="G200" s="10">
        <f>G201</f>
        <v>0</v>
      </c>
    </row>
    <row r="201" spans="1:8" ht="31.5" hidden="1" x14ac:dyDescent="0.25">
      <c r="A201" s="29" t="s">
        <v>287</v>
      </c>
      <c r="B201" s="20" t="s">
        <v>455</v>
      </c>
      <c r="C201" s="40" t="s">
        <v>271</v>
      </c>
      <c r="D201" s="40" t="s">
        <v>220</v>
      </c>
      <c r="E201" s="40" t="s">
        <v>280</v>
      </c>
      <c r="F201" s="40"/>
      <c r="G201" s="10">
        <f>G202</f>
        <v>0</v>
      </c>
    </row>
    <row r="202" spans="1:8" ht="15.75" hidden="1" x14ac:dyDescent="0.25">
      <c r="A202" s="29" t="s">
        <v>281</v>
      </c>
      <c r="B202" s="20" t="s">
        <v>455</v>
      </c>
      <c r="C202" s="40" t="s">
        <v>271</v>
      </c>
      <c r="D202" s="40" t="s">
        <v>220</v>
      </c>
      <c r="E202" s="40" t="s">
        <v>282</v>
      </c>
      <c r="F202" s="40"/>
      <c r="G202" s="10"/>
    </row>
    <row r="203" spans="1:8" ht="31.5" hidden="1" x14ac:dyDescent="0.25">
      <c r="A203" s="29" t="s">
        <v>606</v>
      </c>
      <c r="B203" s="20" t="s">
        <v>455</v>
      </c>
      <c r="C203" s="40" t="s">
        <v>271</v>
      </c>
      <c r="D203" s="40" t="s">
        <v>220</v>
      </c>
      <c r="E203" s="40" t="s">
        <v>607</v>
      </c>
      <c r="F203" s="40"/>
      <c r="G203" s="10"/>
    </row>
    <row r="204" spans="1:8" ht="47.25" hidden="1" x14ac:dyDescent="0.25">
      <c r="A204" s="29" t="s">
        <v>410</v>
      </c>
      <c r="B204" s="20" t="s">
        <v>455</v>
      </c>
      <c r="C204" s="40" t="s">
        <v>271</v>
      </c>
      <c r="D204" s="40" t="s">
        <v>220</v>
      </c>
      <c r="E204" s="40"/>
      <c r="F204" s="40" t="s">
        <v>644</v>
      </c>
      <c r="G204" s="6">
        <f>G200</f>
        <v>0</v>
      </c>
    </row>
    <row r="205" spans="1:8" ht="47.25" hidden="1" x14ac:dyDescent="0.25">
      <c r="A205" s="29" t="s">
        <v>611</v>
      </c>
      <c r="B205" s="40" t="s">
        <v>456</v>
      </c>
      <c r="C205" s="40" t="s">
        <v>271</v>
      </c>
      <c r="D205" s="40" t="s">
        <v>220</v>
      </c>
      <c r="E205" s="40"/>
      <c r="F205" s="40"/>
      <c r="G205" s="10">
        <f>G206</f>
        <v>0</v>
      </c>
    </row>
    <row r="206" spans="1:8" ht="63" hidden="1" x14ac:dyDescent="0.25">
      <c r="A206" s="29" t="s">
        <v>279</v>
      </c>
      <c r="B206" s="40" t="s">
        <v>456</v>
      </c>
      <c r="C206" s="40" t="s">
        <v>271</v>
      </c>
      <c r="D206" s="40" t="s">
        <v>220</v>
      </c>
      <c r="E206" s="40" t="s">
        <v>280</v>
      </c>
      <c r="F206" s="40"/>
      <c r="G206" s="10">
        <f>G207</f>
        <v>0</v>
      </c>
    </row>
    <row r="207" spans="1:8" ht="15.75" hidden="1" x14ac:dyDescent="0.25">
      <c r="A207" s="29" t="s">
        <v>281</v>
      </c>
      <c r="B207" s="40" t="s">
        <v>456</v>
      </c>
      <c r="C207" s="40" t="s">
        <v>271</v>
      </c>
      <c r="D207" s="40" t="s">
        <v>220</v>
      </c>
      <c r="E207" s="40" t="s">
        <v>282</v>
      </c>
      <c r="F207" s="40" t="s">
        <v>644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474</v>
      </c>
      <c r="B210" s="7" t="s">
        <v>476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270</v>
      </c>
      <c r="B211" s="40" t="s">
        <v>476</v>
      </c>
      <c r="C211" s="40" t="s">
        <v>271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473</v>
      </c>
      <c r="B212" s="40" t="s">
        <v>476</v>
      </c>
      <c r="C212" s="40" t="s">
        <v>271</v>
      </c>
      <c r="D212" s="40" t="s">
        <v>271</v>
      </c>
      <c r="E212" s="40"/>
      <c r="F212" s="40"/>
      <c r="G212" s="10" t="e">
        <f>G213</f>
        <v>#REF!</v>
      </c>
    </row>
    <row r="213" spans="1:7" ht="47.25" x14ac:dyDescent="0.25">
      <c r="A213" s="25" t="s">
        <v>617</v>
      </c>
      <c r="B213" s="20" t="s">
        <v>478</v>
      </c>
      <c r="C213" s="40" t="s">
        <v>271</v>
      </c>
      <c r="D213" s="40" t="s">
        <v>271</v>
      </c>
      <c r="E213" s="40"/>
      <c r="F213" s="40"/>
      <c r="G213" s="10" t="e">
        <f>G214</f>
        <v>#REF!</v>
      </c>
    </row>
    <row r="214" spans="1:7" ht="63" x14ac:dyDescent="0.25">
      <c r="A214" s="29" t="s">
        <v>279</v>
      </c>
      <c r="B214" s="20" t="s">
        <v>478</v>
      </c>
      <c r="C214" s="40" t="s">
        <v>271</v>
      </c>
      <c r="D214" s="40" t="s">
        <v>271</v>
      </c>
      <c r="E214" s="40" t="s">
        <v>280</v>
      </c>
      <c r="F214" s="40"/>
      <c r="G214" s="10" t="e">
        <f>G215</f>
        <v>#REF!</v>
      </c>
    </row>
    <row r="215" spans="1:7" ht="15.75" x14ac:dyDescent="0.25">
      <c r="A215" s="29" t="s">
        <v>281</v>
      </c>
      <c r="B215" s="20" t="s">
        <v>478</v>
      </c>
      <c r="C215" s="40" t="s">
        <v>271</v>
      </c>
      <c r="D215" s="40" t="s">
        <v>271</v>
      </c>
      <c r="E215" s="40" t="s">
        <v>282</v>
      </c>
      <c r="F215" s="40"/>
      <c r="G215" s="10" t="e">
        <f>'Пр.4 ведом.21'!#REF!</f>
        <v>#REF!</v>
      </c>
    </row>
    <row r="216" spans="1:7" ht="47.25" x14ac:dyDescent="0.25">
      <c r="A216" s="29" t="s">
        <v>410</v>
      </c>
      <c r="B216" s="20" t="s">
        <v>476</v>
      </c>
      <c r="C216" s="40" t="s">
        <v>271</v>
      </c>
      <c r="D216" s="40" t="s">
        <v>271</v>
      </c>
      <c r="E216" s="40"/>
      <c r="F216" s="40" t="s">
        <v>644</v>
      </c>
      <c r="G216" s="10" t="e">
        <f>G210</f>
        <v>#REF!</v>
      </c>
    </row>
    <row r="217" spans="1:7" ht="78.75" x14ac:dyDescent="0.25">
      <c r="A217" s="58" t="s">
        <v>162</v>
      </c>
      <c r="B217" s="174" t="s">
        <v>163</v>
      </c>
      <c r="C217" s="7"/>
      <c r="D217" s="174"/>
      <c r="E217" s="174"/>
      <c r="F217" s="174"/>
      <c r="G217" s="59" t="e">
        <f>G220</f>
        <v>#REF!</v>
      </c>
    </row>
    <row r="218" spans="1:7" ht="15.75" x14ac:dyDescent="0.25">
      <c r="A218" s="45" t="s">
        <v>124</v>
      </c>
      <c r="B218" s="5" t="s">
        <v>163</v>
      </c>
      <c r="C218" s="40" t="s">
        <v>125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146</v>
      </c>
      <c r="B219" s="66" t="s">
        <v>163</v>
      </c>
      <c r="C219" s="40" t="s">
        <v>125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164</v>
      </c>
      <c r="B220" s="66" t="s">
        <v>165</v>
      </c>
      <c r="C220" s="40" t="s">
        <v>125</v>
      </c>
      <c r="D220" s="40" t="s">
        <v>147</v>
      </c>
      <c r="E220" s="40"/>
      <c r="F220" s="40"/>
      <c r="G220" s="10" t="e">
        <f>G221</f>
        <v>#REF!</v>
      </c>
    </row>
    <row r="221" spans="1:7" ht="47.25" x14ac:dyDescent="0.25">
      <c r="A221" s="29" t="s">
        <v>138</v>
      </c>
      <c r="B221" s="66" t="s">
        <v>165</v>
      </c>
      <c r="C221" s="40" t="s">
        <v>125</v>
      </c>
      <c r="D221" s="40" t="s">
        <v>147</v>
      </c>
      <c r="E221" s="40" t="s">
        <v>152</v>
      </c>
      <c r="F221" s="40"/>
      <c r="G221" s="10" t="e">
        <f>G222</f>
        <v>#REF!</v>
      </c>
    </row>
    <row r="222" spans="1:7" ht="78.75" x14ac:dyDescent="0.25">
      <c r="A222" s="29" t="s">
        <v>191</v>
      </c>
      <c r="B222" s="66" t="s">
        <v>165</v>
      </c>
      <c r="C222" s="40" t="s">
        <v>125</v>
      </c>
      <c r="D222" s="40" t="s">
        <v>147</v>
      </c>
      <c r="E222" s="40" t="s">
        <v>167</v>
      </c>
      <c r="F222" s="40"/>
      <c r="G222" s="10" t="e">
        <f>'Пр.4 ведом.21'!#REF!</f>
        <v>#REF!</v>
      </c>
    </row>
    <row r="223" spans="1:7" ht="31.5" x14ac:dyDescent="0.25">
      <c r="A223" s="29" t="s">
        <v>155</v>
      </c>
      <c r="B223" s="66" t="s">
        <v>163</v>
      </c>
      <c r="C223" s="40" t="s">
        <v>125</v>
      </c>
      <c r="D223" s="40" t="s">
        <v>147</v>
      </c>
      <c r="E223" s="40"/>
      <c r="F223" s="40" t="s">
        <v>649</v>
      </c>
      <c r="G223" s="10" t="e">
        <f>G217</f>
        <v>#REF!</v>
      </c>
    </row>
    <row r="224" spans="1:7" ht="73.5" customHeight="1" x14ac:dyDescent="0.25">
      <c r="A224" s="41" t="s">
        <v>168</v>
      </c>
      <c r="B224" s="174" t="s">
        <v>169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124</v>
      </c>
      <c r="B225" s="5" t="s">
        <v>169</v>
      </c>
      <c r="C225" s="40" t="s">
        <v>125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146</v>
      </c>
      <c r="B226" s="66" t="s">
        <v>169</v>
      </c>
      <c r="C226" s="40" t="s">
        <v>125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170</v>
      </c>
      <c r="B227" s="40" t="s">
        <v>171</v>
      </c>
      <c r="C227" s="40" t="s">
        <v>125</v>
      </c>
      <c r="D227" s="40" t="s">
        <v>147</v>
      </c>
      <c r="E227" s="40"/>
      <c r="F227" s="40"/>
      <c r="G227" s="10" t="e">
        <f>G228</f>
        <v>#REF!</v>
      </c>
    </row>
    <row r="228" spans="1:7" ht="47.25" x14ac:dyDescent="0.25">
      <c r="A228" s="29" t="s">
        <v>138</v>
      </c>
      <c r="B228" s="40" t="s">
        <v>171</v>
      </c>
      <c r="C228" s="40" t="s">
        <v>125</v>
      </c>
      <c r="D228" s="40" t="s">
        <v>147</v>
      </c>
      <c r="E228" s="40" t="s">
        <v>139</v>
      </c>
      <c r="F228" s="40"/>
      <c r="G228" s="10" t="e">
        <f>G229</f>
        <v>#REF!</v>
      </c>
    </row>
    <row r="229" spans="1:7" ht="47.25" x14ac:dyDescent="0.25">
      <c r="A229" s="29" t="s">
        <v>140</v>
      </c>
      <c r="B229" s="40" t="s">
        <v>171</v>
      </c>
      <c r="C229" s="40" t="s">
        <v>125</v>
      </c>
      <c r="D229" s="40" t="s">
        <v>147</v>
      </c>
      <c r="E229" s="40" t="s">
        <v>141</v>
      </c>
      <c r="F229" s="40"/>
      <c r="G229" s="10" t="e">
        <f>'Пр.4 ведом.21'!#REF!</f>
        <v>#REF!</v>
      </c>
    </row>
    <row r="230" spans="1:7" ht="78.75" x14ac:dyDescent="0.25">
      <c r="A230" s="97" t="s">
        <v>172</v>
      </c>
      <c r="B230" s="40" t="s">
        <v>173</v>
      </c>
      <c r="C230" s="40" t="s">
        <v>125</v>
      </c>
      <c r="D230" s="40" t="s">
        <v>147</v>
      </c>
      <c r="E230" s="40"/>
      <c r="F230" s="40"/>
      <c r="G230" s="10" t="e">
        <f>G231+G233</f>
        <v>#REF!</v>
      </c>
    </row>
    <row r="231" spans="1:7" ht="110.25" x14ac:dyDescent="0.25">
      <c r="A231" s="29" t="s">
        <v>134</v>
      </c>
      <c r="B231" s="40" t="s">
        <v>173</v>
      </c>
      <c r="C231" s="40" t="s">
        <v>125</v>
      </c>
      <c r="D231" s="40" t="s">
        <v>147</v>
      </c>
      <c r="E231" s="40" t="s">
        <v>135</v>
      </c>
      <c r="F231" s="40"/>
      <c r="G231" s="10" t="e">
        <f>G232</f>
        <v>#REF!</v>
      </c>
    </row>
    <row r="232" spans="1:7" ht="47.25" x14ac:dyDescent="0.25">
      <c r="A232" s="29" t="s">
        <v>136</v>
      </c>
      <c r="B232" s="40" t="s">
        <v>173</v>
      </c>
      <c r="C232" s="40" t="s">
        <v>125</v>
      </c>
      <c r="D232" s="40" t="s">
        <v>147</v>
      </c>
      <c r="E232" s="40" t="s">
        <v>137</v>
      </c>
      <c r="F232" s="40"/>
      <c r="G232" s="10" t="e">
        <f>'Пр.4 ведом.21'!#REF!</f>
        <v>#REF!</v>
      </c>
    </row>
    <row r="233" spans="1:7" ht="47.25" x14ac:dyDescent="0.25">
      <c r="A233" s="29" t="s">
        <v>138</v>
      </c>
      <c r="B233" s="40" t="s">
        <v>173</v>
      </c>
      <c r="C233" s="40" t="s">
        <v>125</v>
      </c>
      <c r="D233" s="40" t="s">
        <v>147</v>
      </c>
      <c r="E233" s="40" t="s">
        <v>139</v>
      </c>
      <c r="F233" s="40"/>
      <c r="G233" s="10" t="e">
        <f>G234</f>
        <v>#REF!</v>
      </c>
    </row>
    <row r="234" spans="1:7" ht="47.25" x14ac:dyDescent="0.25">
      <c r="A234" s="29" t="s">
        <v>140</v>
      </c>
      <c r="B234" s="40" t="s">
        <v>173</v>
      </c>
      <c r="C234" s="40" t="s">
        <v>125</v>
      </c>
      <c r="D234" s="40" t="s">
        <v>147</v>
      </c>
      <c r="E234" s="40" t="s">
        <v>141</v>
      </c>
      <c r="F234" s="40"/>
      <c r="G234" s="10" t="e">
        <f>'Пр.4 ведом.21'!#REF!</f>
        <v>#REF!</v>
      </c>
    </row>
    <row r="235" spans="1:7" ht="63" x14ac:dyDescent="0.25">
      <c r="A235" s="31" t="s">
        <v>703</v>
      </c>
      <c r="B235" s="40" t="s">
        <v>704</v>
      </c>
      <c r="C235" s="40" t="s">
        <v>125</v>
      </c>
      <c r="D235" s="40" t="s">
        <v>147</v>
      </c>
      <c r="E235" s="40"/>
      <c r="F235" s="40"/>
      <c r="G235" s="10" t="e">
        <f>G236</f>
        <v>#REF!</v>
      </c>
    </row>
    <row r="236" spans="1:7" ht="47.25" x14ac:dyDescent="0.25">
      <c r="A236" s="25" t="s">
        <v>138</v>
      </c>
      <c r="B236" s="40" t="s">
        <v>704</v>
      </c>
      <c r="C236" s="40" t="s">
        <v>125</v>
      </c>
      <c r="D236" s="40" t="s">
        <v>147</v>
      </c>
      <c r="E236" s="40" t="s">
        <v>139</v>
      </c>
      <c r="F236" s="40"/>
      <c r="G236" s="10" t="e">
        <f>G237</f>
        <v>#REF!</v>
      </c>
    </row>
    <row r="237" spans="1:7" ht="47.25" x14ac:dyDescent="0.25">
      <c r="A237" s="25" t="s">
        <v>140</v>
      </c>
      <c r="B237" s="40" t="s">
        <v>704</v>
      </c>
      <c r="C237" s="40" t="s">
        <v>125</v>
      </c>
      <c r="D237" s="40" t="s">
        <v>147</v>
      </c>
      <c r="E237" s="40" t="s">
        <v>141</v>
      </c>
      <c r="F237" s="40"/>
      <c r="G237" s="10" t="e">
        <f>'Пр.4 ведом.21'!#REF!</f>
        <v>#REF!</v>
      </c>
    </row>
    <row r="238" spans="1:7" ht="63" x14ac:dyDescent="0.25">
      <c r="A238" s="33" t="s">
        <v>198</v>
      </c>
      <c r="B238" s="40" t="s">
        <v>690</v>
      </c>
      <c r="C238" s="40" t="s">
        <v>125</v>
      </c>
      <c r="D238" s="40" t="s">
        <v>147</v>
      </c>
      <c r="E238" s="40"/>
      <c r="F238" s="40"/>
      <c r="G238" s="10" t="e">
        <f>G239</f>
        <v>#REF!</v>
      </c>
    </row>
    <row r="239" spans="1:7" ht="47.25" x14ac:dyDescent="0.25">
      <c r="A239" s="25" t="s">
        <v>138</v>
      </c>
      <c r="B239" s="40" t="s">
        <v>690</v>
      </c>
      <c r="C239" s="40" t="s">
        <v>125</v>
      </c>
      <c r="D239" s="40" t="s">
        <v>147</v>
      </c>
      <c r="E239" s="40" t="s">
        <v>139</v>
      </c>
      <c r="F239" s="40"/>
      <c r="G239" s="10" t="e">
        <f>G240</f>
        <v>#REF!</v>
      </c>
    </row>
    <row r="240" spans="1:7" ht="47.25" x14ac:dyDescent="0.25">
      <c r="A240" s="25" t="s">
        <v>140</v>
      </c>
      <c r="B240" s="40" t="s">
        <v>690</v>
      </c>
      <c r="C240" s="40" t="s">
        <v>125</v>
      </c>
      <c r="D240" s="40" t="s">
        <v>147</v>
      </c>
      <c r="E240" s="40" t="s">
        <v>141</v>
      </c>
      <c r="F240" s="40"/>
      <c r="G240" s="10" t="e">
        <f>'Пр.4 ведом.21'!#REF!</f>
        <v>#REF!</v>
      </c>
    </row>
    <row r="241" spans="1:7" ht="31.5" x14ac:dyDescent="0.25">
      <c r="A241" s="29" t="s">
        <v>155</v>
      </c>
      <c r="B241" s="40" t="s">
        <v>169</v>
      </c>
      <c r="C241" s="40" t="s">
        <v>125</v>
      </c>
      <c r="D241" s="40" t="s">
        <v>147</v>
      </c>
      <c r="E241" s="40"/>
      <c r="F241" s="40" t="s">
        <v>649</v>
      </c>
      <c r="G241" s="10" t="e">
        <f>G224</f>
        <v>#REF!</v>
      </c>
    </row>
    <row r="242" spans="1:7" ht="94.5" x14ac:dyDescent="0.25">
      <c r="A242" s="41" t="s">
        <v>260</v>
      </c>
      <c r="B242" s="174" t="s">
        <v>261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250</v>
      </c>
      <c r="B243" s="5" t="s">
        <v>261</v>
      </c>
      <c r="C243" s="40" t="s">
        <v>251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259</v>
      </c>
      <c r="B244" s="5" t="s">
        <v>261</v>
      </c>
      <c r="C244" s="40" t="s">
        <v>251</v>
      </c>
      <c r="D244" s="40" t="s">
        <v>222</v>
      </c>
      <c r="E244" s="40"/>
      <c r="F244" s="40"/>
      <c r="G244" s="10" t="e">
        <f>G245</f>
        <v>#REF!</v>
      </c>
    </row>
    <row r="245" spans="1:7" ht="47.25" x14ac:dyDescent="0.25">
      <c r="A245" s="29" t="s">
        <v>164</v>
      </c>
      <c r="B245" s="66" t="s">
        <v>262</v>
      </c>
      <c r="C245" s="40" t="s">
        <v>251</v>
      </c>
      <c r="D245" s="40" t="s">
        <v>222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255</v>
      </c>
      <c r="B246" s="66" t="s">
        <v>262</v>
      </c>
      <c r="C246" s="40" t="s">
        <v>251</v>
      </c>
      <c r="D246" s="40" t="s">
        <v>222</v>
      </c>
      <c r="E246" s="40" t="s">
        <v>256</v>
      </c>
      <c r="F246" s="40"/>
      <c r="G246" s="10" t="e">
        <f>G247</f>
        <v>#REF!</v>
      </c>
    </row>
    <row r="247" spans="1:7" ht="47.25" x14ac:dyDescent="0.25">
      <c r="A247" s="29" t="s">
        <v>257</v>
      </c>
      <c r="B247" s="66" t="s">
        <v>262</v>
      </c>
      <c r="C247" s="40" t="s">
        <v>251</v>
      </c>
      <c r="D247" s="40" t="s">
        <v>222</v>
      </c>
      <c r="E247" s="40" t="s">
        <v>258</v>
      </c>
      <c r="F247" s="40"/>
      <c r="G247" s="10" t="e">
        <f>'Пр.4 ведом.21'!#REF!</f>
        <v>#REF!</v>
      </c>
    </row>
    <row r="248" spans="1:7" ht="31.5" x14ac:dyDescent="0.25">
      <c r="A248" s="45" t="s">
        <v>155</v>
      </c>
      <c r="B248" s="66" t="s">
        <v>261</v>
      </c>
      <c r="C248" s="40" t="s">
        <v>251</v>
      </c>
      <c r="D248" s="40" t="s">
        <v>222</v>
      </c>
      <c r="E248" s="40"/>
      <c r="F248" s="40" t="s">
        <v>649</v>
      </c>
      <c r="G248" s="10" t="e">
        <f>G242</f>
        <v>#REF!</v>
      </c>
    </row>
    <row r="249" spans="1:7" ht="141.75" x14ac:dyDescent="0.25">
      <c r="A249" s="41" t="s">
        <v>601</v>
      </c>
      <c r="B249" s="174" t="s">
        <v>175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176</v>
      </c>
      <c r="B250" s="174" t="s">
        <v>177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124</v>
      </c>
      <c r="B251" s="5" t="s">
        <v>177</v>
      </c>
      <c r="C251" s="40" t="s">
        <v>125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146</v>
      </c>
      <c r="B252" s="5" t="s">
        <v>177</v>
      </c>
      <c r="C252" s="40" t="s">
        <v>125</v>
      </c>
      <c r="D252" s="40" t="s">
        <v>147</v>
      </c>
      <c r="E252" s="40"/>
      <c r="F252" s="40"/>
      <c r="G252" s="10" t="e">
        <f>G253</f>
        <v>#REF!</v>
      </c>
    </row>
    <row r="253" spans="1:7" ht="47.25" x14ac:dyDescent="0.25">
      <c r="A253" s="97" t="s">
        <v>178</v>
      </c>
      <c r="B253" s="5" t="s">
        <v>179</v>
      </c>
      <c r="C253" s="40" t="s">
        <v>125</v>
      </c>
      <c r="D253" s="40" t="s">
        <v>147</v>
      </c>
      <c r="E253" s="40"/>
      <c r="F253" s="40"/>
      <c r="G253" s="10" t="e">
        <f>G254</f>
        <v>#REF!</v>
      </c>
    </row>
    <row r="254" spans="1:7" ht="47.25" x14ac:dyDescent="0.25">
      <c r="A254" s="29" t="s">
        <v>138</v>
      </c>
      <c r="B254" s="5" t="s">
        <v>179</v>
      </c>
      <c r="C254" s="40" t="s">
        <v>125</v>
      </c>
      <c r="D254" s="40" t="s">
        <v>147</v>
      </c>
      <c r="E254" s="40" t="s">
        <v>139</v>
      </c>
      <c r="F254" s="40"/>
      <c r="G254" s="10" t="e">
        <f>G255</f>
        <v>#REF!</v>
      </c>
    </row>
    <row r="255" spans="1:7" ht="47.25" x14ac:dyDescent="0.25">
      <c r="A255" s="29" t="s">
        <v>140</v>
      </c>
      <c r="B255" s="5" t="s">
        <v>179</v>
      </c>
      <c r="C255" s="40" t="s">
        <v>125</v>
      </c>
      <c r="D255" s="40" t="s">
        <v>147</v>
      </c>
      <c r="E255" s="40" t="s">
        <v>141</v>
      </c>
      <c r="F255" s="40"/>
      <c r="G255" s="10" t="e">
        <f>'Пр.4 ведом.21'!#REF!</f>
        <v>#REF!</v>
      </c>
    </row>
    <row r="256" spans="1:7" ht="31.5" x14ac:dyDescent="0.25">
      <c r="A256" s="29" t="s">
        <v>155</v>
      </c>
      <c r="B256" s="5" t="s">
        <v>177</v>
      </c>
      <c r="C256" s="40" t="s">
        <v>125</v>
      </c>
      <c r="D256" s="40" t="s">
        <v>147</v>
      </c>
      <c r="E256" s="40"/>
      <c r="F256" s="40" t="s">
        <v>649</v>
      </c>
      <c r="G256" s="6" t="e">
        <f>G250</f>
        <v>#REF!</v>
      </c>
    </row>
    <row r="257" spans="1:7" ht="94.5" x14ac:dyDescent="0.25">
      <c r="A257" s="41" t="s">
        <v>180</v>
      </c>
      <c r="B257" s="174" t="s">
        <v>181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124</v>
      </c>
      <c r="B258" s="5" t="s">
        <v>181</v>
      </c>
      <c r="C258" s="40" t="s">
        <v>125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146</v>
      </c>
      <c r="B259" s="5" t="s">
        <v>181</v>
      </c>
      <c r="C259" s="40" t="s">
        <v>125</v>
      </c>
      <c r="D259" s="40" t="s">
        <v>147</v>
      </c>
      <c r="E259" s="40"/>
      <c r="F259" s="40"/>
      <c r="G259" s="6" t="e">
        <f>G260</f>
        <v>#REF!</v>
      </c>
    </row>
    <row r="260" spans="1:7" ht="31.5" x14ac:dyDescent="0.25">
      <c r="A260" s="45" t="s">
        <v>182</v>
      </c>
      <c r="B260" s="5" t="s">
        <v>183</v>
      </c>
      <c r="C260" s="9" t="s">
        <v>125</v>
      </c>
      <c r="D260" s="9" t="s">
        <v>147</v>
      </c>
      <c r="E260" s="9"/>
      <c r="F260" s="26"/>
      <c r="G260" s="26" t="e">
        <f>G261</f>
        <v>#REF!</v>
      </c>
    </row>
    <row r="261" spans="1:7" ht="47.25" x14ac:dyDescent="0.25">
      <c r="A261" s="25" t="s">
        <v>138</v>
      </c>
      <c r="B261" s="5" t="s">
        <v>183</v>
      </c>
      <c r="C261" s="9" t="s">
        <v>125</v>
      </c>
      <c r="D261" s="9" t="s">
        <v>147</v>
      </c>
      <c r="E261" s="9" t="s">
        <v>139</v>
      </c>
      <c r="F261" s="26"/>
      <c r="G261" s="26" t="e">
        <f>G262</f>
        <v>#REF!</v>
      </c>
    </row>
    <row r="262" spans="1:7" ht="47.25" x14ac:dyDescent="0.25">
      <c r="A262" s="25" t="s">
        <v>140</v>
      </c>
      <c r="B262" s="5" t="s">
        <v>183</v>
      </c>
      <c r="C262" s="9" t="s">
        <v>125</v>
      </c>
      <c r="D262" s="9" t="s">
        <v>147</v>
      </c>
      <c r="E262" s="9" t="s">
        <v>141</v>
      </c>
      <c r="F262" s="26"/>
      <c r="G262" s="26" t="e">
        <f>'Пр.4 ведом.21'!#REF!</f>
        <v>#REF!</v>
      </c>
    </row>
    <row r="263" spans="1:7" ht="31.5" x14ac:dyDescent="0.25">
      <c r="A263" s="29" t="s">
        <v>155</v>
      </c>
      <c r="B263" s="5" t="s">
        <v>181</v>
      </c>
      <c r="C263" s="40" t="s">
        <v>125</v>
      </c>
      <c r="D263" s="40" t="s">
        <v>147</v>
      </c>
      <c r="E263" s="40"/>
      <c r="F263" s="40" t="s">
        <v>649</v>
      </c>
      <c r="G263" s="6" t="e">
        <f>G257</f>
        <v>#REF!</v>
      </c>
    </row>
    <row r="264" spans="1:7" ht="63" x14ac:dyDescent="0.25">
      <c r="A264" s="23" t="s">
        <v>184</v>
      </c>
      <c r="B264" s="174" t="s">
        <v>185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124</v>
      </c>
      <c r="B265" s="5" t="s">
        <v>185</v>
      </c>
      <c r="C265" s="40" t="s">
        <v>125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146</v>
      </c>
      <c r="B266" s="5" t="s">
        <v>185</v>
      </c>
      <c r="C266" s="40" t="s">
        <v>125</v>
      </c>
      <c r="D266" s="40" t="s">
        <v>147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186</v>
      </c>
      <c r="B267" s="5" t="s">
        <v>187</v>
      </c>
      <c r="C267" s="40" t="s">
        <v>125</v>
      </c>
      <c r="D267" s="40" t="s">
        <v>147</v>
      </c>
      <c r="E267" s="40"/>
      <c r="F267" s="40"/>
      <c r="G267" s="10" t="e">
        <f>G268</f>
        <v>#REF!</v>
      </c>
    </row>
    <row r="268" spans="1:7" ht="47.25" x14ac:dyDescent="0.25">
      <c r="A268" s="29" t="s">
        <v>138</v>
      </c>
      <c r="B268" s="5" t="s">
        <v>187</v>
      </c>
      <c r="C268" s="40" t="s">
        <v>125</v>
      </c>
      <c r="D268" s="40" t="s">
        <v>147</v>
      </c>
      <c r="E268" s="40" t="s">
        <v>139</v>
      </c>
      <c r="F268" s="40"/>
      <c r="G268" s="10" t="e">
        <f>G269</f>
        <v>#REF!</v>
      </c>
    </row>
    <row r="269" spans="1:7" ht="47.25" x14ac:dyDescent="0.25">
      <c r="A269" s="29" t="s">
        <v>140</v>
      </c>
      <c r="B269" s="5" t="s">
        <v>187</v>
      </c>
      <c r="C269" s="40" t="s">
        <v>125</v>
      </c>
      <c r="D269" s="40" t="s">
        <v>147</v>
      </c>
      <c r="E269" s="40" t="s">
        <v>141</v>
      </c>
      <c r="F269" s="40"/>
      <c r="G269" s="10" t="e">
        <f>'Пр.4 ведом.21'!#REF!</f>
        <v>#REF!</v>
      </c>
    </row>
    <row r="270" spans="1:7" ht="31.5" x14ac:dyDescent="0.25">
      <c r="A270" s="29" t="s">
        <v>155</v>
      </c>
      <c r="B270" s="5" t="s">
        <v>185</v>
      </c>
      <c r="C270" s="40" t="s">
        <v>125</v>
      </c>
      <c r="D270" s="40" t="s">
        <v>147</v>
      </c>
      <c r="E270" s="40"/>
      <c r="F270" s="40" t="s">
        <v>649</v>
      </c>
      <c r="G270" s="10" t="e">
        <f>G264</f>
        <v>#REF!</v>
      </c>
    </row>
    <row r="271" spans="1:7" ht="69" customHeight="1" x14ac:dyDescent="0.25">
      <c r="A271" s="41" t="s">
        <v>488</v>
      </c>
      <c r="B271" s="3" t="s">
        <v>489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650</v>
      </c>
      <c r="B272" s="3" t="s">
        <v>491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270</v>
      </c>
      <c r="B273" s="40" t="s">
        <v>491</v>
      </c>
      <c r="C273" s="40" t="s">
        <v>271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272</v>
      </c>
      <c r="B274" s="40" t="s">
        <v>491</v>
      </c>
      <c r="C274" s="40" t="s">
        <v>271</v>
      </c>
      <c r="D274" s="40" t="s">
        <v>222</v>
      </c>
      <c r="E274" s="68"/>
      <c r="F274" s="68"/>
      <c r="G274" s="10" t="e">
        <f>G275+G290</f>
        <v>#REF!</v>
      </c>
    </row>
    <row r="275" spans="1:7" ht="63" x14ac:dyDescent="0.25">
      <c r="A275" s="29" t="s">
        <v>277</v>
      </c>
      <c r="B275" s="40" t="s">
        <v>492</v>
      </c>
      <c r="C275" s="40" t="s">
        <v>271</v>
      </c>
      <c r="D275" s="40" t="s">
        <v>222</v>
      </c>
      <c r="E275" s="68"/>
      <c r="F275" s="68"/>
      <c r="G275" s="10" t="e">
        <f>G276</f>
        <v>#REF!</v>
      </c>
    </row>
    <row r="276" spans="1:7" ht="63" x14ac:dyDescent="0.25">
      <c r="A276" s="29" t="s">
        <v>279</v>
      </c>
      <c r="B276" s="40" t="s">
        <v>492</v>
      </c>
      <c r="C276" s="40" t="s">
        <v>271</v>
      </c>
      <c r="D276" s="40" t="s">
        <v>222</v>
      </c>
      <c r="E276" s="40" t="s">
        <v>280</v>
      </c>
      <c r="F276" s="68"/>
      <c r="G276" s="10" t="e">
        <f>G277</f>
        <v>#REF!</v>
      </c>
    </row>
    <row r="277" spans="1:7" ht="15.75" x14ac:dyDescent="0.25">
      <c r="A277" s="29" t="s">
        <v>281</v>
      </c>
      <c r="B277" s="40" t="s">
        <v>492</v>
      </c>
      <c r="C277" s="40" t="s">
        <v>271</v>
      </c>
      <c r="D277" s="40" t="s">
        <v>222</v>
      </c>
      <c r="E277" s="40" t="s">
        <v>282</v>
      </c>
      <c r="F277" s="68"/>
      <c r="G277" s="10" t="e">
        <f>'Пр.4 ведом.21'!#REF!</f>
        <v>#REF!</v>
      </c>
    </row>
    <row r="278" spans="1:7" ht="78.75" hidden="1" customHeight="1" x14ac:dyDescent="0.25">
      <c r="A278" s="29" t="s">
        <v>603</v>
      </c>
      <c r="B278" s="40" t="s">
        <v>651</v>
      </c>
      <c r="C278" s="40" t="s">
        <v>271</v>
      </c>
      <c r="D278" s="40" t="s">
        <v>222</v>
      </c>
      <c r="E278" s="40"/>
      <c r="F278" s="68"/>
      <c r="G278" s="10">
        <f>G279</f>
        <v>0</v>
      </c>
    </row>
    <row r="279" spans="1:7" ht="63" hidden="1" x14ac:dyDescent="0.25">
      <c r="A279" s="29" t="s">
        <v>279</v>
      </c>
      <c r="B279" s="40" t="s">
        <v>651</v>
      </c>
      <c r="C279" s="40" t="s">
        <v>271</v>
      </c>
      <c r="D279" s="40" t="s">
        <v>222</v>
      </c>
      <c r="E279" s="40" t="s">
        <v>280</v>
      </c>
      <c r="F279" s="68"/>
      <c r="G279" s="10">
        <f>G280</f>
        <v>0</v>
      </c>
    </row>
    <row r="280" spans="1:7" ht="15.75" hidden="1" x14ac:dyDescent="0.25">
      <c r="A280" s="29" t="s">
        <v>281</v>
      </c>
      <c r="B280" s="40" t="s">
        <v>651</v>
      </c>
      <c r="C280" s="40" t="s">
        <v>271</v>
      </c>
      <c r="D280" s="40" t="s">
        <v>222</v>
      </c>
      <c r="E280" s="40" t="s">
        <v>282</v>
      </c>
      <c r="F280" s="68"/>
      <c r="G280" s="10">
        <f>G281</f>
        <v>0</v>
      </c>
    </row>
    <row r="281" spans="1:7" ht="47.25" hidden="1" x14ac:dyDescent="0.25">
      <c r="A281" s="46" t="s">
        <v>487</v>
      </c>
      <c r="B281" s="40" t="s">
        <v>651</v>
      </c>
      <c r="C281" s="40" t="s">
        <v>271</v>
      </c>
      <c r="D281" s="40" t="s">
        <v>222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285</v>
      </c>
      <c r="B282" s="40" t="s">
        <v>652</v>
      </c>
      <c r="C282" s="40" t="s">
        <v>271</v>
      </c>
      <c r="D282" s="40" t="s">
        <v>222</v>
      </c>
      <c r="E282" s="40"/>
      <c r="F282" s="68"/>
      <c r="G282" s="10">
        <f>G283</f>
        <v>0</v>
      </c>
    </row>
    <row r="283" spans="1:7" ht="63" hidden="1" x14ac:dyDescent="0.25">
      <c r="A283" s="29" t="s">
        <v>279</v>
      </c>
      <c r="B283" s="40" t="s">
        <v>652</v>
      </c>
      <c r="C283" s="40" t="s">
        <v>271</v>
      </c>
      <c r="D283" s="40" t="s">
        <v>222</v>
      </c>
      <c r="E283" s="40" t="s">
        <v>280</v>
      </c>
      <c r="F283" s="68"/>
      <c r="G283" s="10">
        <f>G284</f>
        <v>0</v>
      </c>
    </row>
    <row r="284" spans="1:7" ht="15.75" hidden="1" x14ac:dyDescent="0.25">
      <c r="A284" s="29" t="s">
        <v>281</v>
      </c>
      <c r="B284" s="40" t="s">
        <v>652</v>
      </c>
      <c r="C284" s="40" t="s">
        <v>271</v>
      </c>
      <c r="D284" s="40" t="s">
        <v>222</v>
      </c>
      <c r="E284" s="40" t="s">
        <v>282</v>
      </c>
      <c r="F284" s="68"/>
      <c r="G284" s="10"/>
    </row>
    <row r="285" spans="1:7" ht="47.25" hidden="1" x14ac:dyDescent="0.25">
      <c r="A285" s="46" t="s">
        <v>487</v>
      </c>
      <c r="B285" s="40" t="s">
        <v>652</v>
      </c>
      <c r="C285" s="40" t="s">
        <v>271</v>
      </c>
      <c r="D285" s="40" t="s">
        <v>222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287</v>
      </c>
      <c r="B286" s="40" t="s">
        <v>653</v>
      </c>
      <c r="C286" s="40" t="s">
        <v>271</v>
      </c>
      <c r="D286" s="40" t="s">
        <v>222</v>
      </c>
      <c r="E286" s="40"/>
      <c r="F286" s="68"/>
      <c r="G286" s="10">
        <f>G287</f>
        <v>0</v>
      </c>
    </row>
    <row r="287" spans="1:7" ht="63" hidden="1" x14ac:dyDescent="0.25">
      <c r="A287" s="29" t="s">
        <v>279</v>
      </c>
      <c r="B287" s="40" t="s">
        <v>653</v>
      </c>
      <c r="C287" s="40" t="s">
        <v>271</v>
      </c>
      <c r="D287" s="40" t="s">
        <v>222</v>
      </c>
      <c r="E287" s="40" t="s">
        <v>280</v>
      </c>
      <c r="F287" s="68"/>
      <c r="G287" s="10">
        <f>G288</f>
        <v>0</v>
      </c>
    </row>
    <row r="288" spans="1:7" ht="15.75" hidden="1" x14ac:dyDescent="0.25">
      <c r="A288" s="29" t="s">
        <v>281</v>
      </c>
      <c r="B288" s="40" t="s">
        <v>653</v>
      </c>
      <c r="C288" s="40" t="s">
        <v>271</v>
      </c>
      <c r="D288" s="40" t="s">
        <v>222</v>
      </c>
      <c r="E288" s="40" t="s">
        <v>282</v>
      </c>
      <c r="F288" s="68"/>
      <c r="G288" s="10"/>
    </row>
    <row r="289" spans="1:7" ht="47.25" hidden="1" x14ac:dyDescent="0.25">
      <c r="A289" s="46" t="s">
        <v>487</v>
      </c>
      <c r="B289" s="40" t="s">
        <v>653</v>
      </c>
      <c r="C289" s="40" t="s">
        <v>271</v>
      </c>
      <c r="D289" s="40" t="s">
        <v>222</v>
      </c>
      <c r="E289" s="40"/>
      <c r="F289" s="2">
        <v>907</v>
      </c>
      <c r="G289" s="10">
        <v>0</v>
      </c>
    </row>
    <row r="290" spans="1:7" ht="47.25" x14ac:dyDescent="0.25">
      <c r="A290" s="29" t="s">
        <v>289</v>
      </c>
      <c r="B290" s="40" t="s">
        <v>495</v>
      </c>
      <c r="C290" s="40" t="s">
        <v>271</v>
      </c>
      <c r="D290" s="40" t="s">
        <v>222</v>
      </c>
      <c r="E290" s="40"/>
      <c r="F290" s="68"/>
      <c r="G290" s="10" t="e">
        <f>G291</f>
        <v>#REF!</v>
      </c>
    </row>
    <row r="291" spans="1:7" ht="63" x14ac:dyDescent="0.25">
      <c r="A291" s="29" t="s">
        <v>279</v>
      </c>
      <c r="B291" s="40" t="s">
        <v>495</v>
      </c>
      <c r="C291" s="40" t="s">
        <v>271</v>
      </c>
      <c r="D291" s="40" t="s">
        <v>222</v>
      </c>
      <c r="E291" s="40" t="s">
        <v>280</v>
      </c>
      <c r="F291" s="68"/>
      <c r="G291" s="10" t="e">
        <f>G292</f>
        <v>#REF!</v>
      </c>
    </row>
    <row r="292" spans="1:7" ht="15.75" x14ac:dyDescent="0.25">
      <c r="A292" s="29" t="s">
        <v>281</v>
      </c>
      <c r="B292" s="40" t="s">
        <v>495</v>
      </c>
      <c r="C292" s="40" t="s">
        <v>271</v>
      </c>
      <c r="D292" s="40" t="s">
        <v>222</v>
      </c>
      <c r="E292" s="40" t="s">
        <v>282</v>
      </c>
      <c r="F292" s="68"/>
      <c r="G292" s="10" t="e">
        <f>'Пр.4 ведом.21'!#REF!</f>
        <v>#REF!</v>
      </c>
    </row>
    <row r="293" spans="1:7" ht="58.7" customHeight="1" x14ac:dyDescent="0.25">
      <c r="A293" s="70" t="s">
        <v>487</v>
      </c>
      <c r="B293" s="40" t="s">
        <v>491</v>
      </c>
      <c r="C293" s="40" t="s">
        <v>271</v>
      </c>
      <c r="D293" s="40" t="s">
        <v>222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500</v>
      </c>
      <c r="B294" s="7" t="s">
        <v>501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497</v>
      </c>
      <c r="B295" s="40" t="s">
        <v>501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499</v>
      </c>
      <c r="B296" s="40" t="s">
        <v>501</v>
      </c>
      <c r="C296" s="40" t="s">
        <v>498</v>
      </c>
      <c r="D296" s="40" t="s">
        <v>125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502</v>
      </c>
      <c r="B297" s="40" t="s">
        <v>503</v>
      </c>
      <c r="C297" s="40" t="s">
        <v>498</v>
      </c>
      <c r="D297" s="40" t="s">
        <v>125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279</v>
      </c>
      <c r="B298" s="40" t="s">
        <v>503</v>
      </c>
      <c r="C298" s="40" t="s">
        <v>498</v>
      </c>
      <c r="D298" s="40" t="s">
        <v>125</v>
      </c>
      <c r="E298" s="40" t="s">
        <v>280</v>
      </c>
      <c r="F298" s="5"/>
      <c r="G298" s="10" t="e">
        <f>G299</f>
        <v>#REF!</v>
      </c>
    </row>
    <row r="299" spans="1:7" ht="15.75" x14ac:dyDescent="0.25">
      <c r="A299" s="29" t="s">
        <v>281</v>
      </c>
      <c r="B299" s="40" t="s">
        <v>503</v>
      </c>
      <c r="C299" s="40" t="s">
        <v>498</v>
      </c>
      <c r="D299" s="40" t="s">
        <v>125</v>
      </c>
      <c r="E299" s="40" t="s">
        <v>282</v>
      </c>
      <c r="F299" s="5"/>
      <c r="G299" s="10" t="e">
        <f>'Пр.4 ведом.21'!#REF!</f>
        <v>#REF!</v>
      </c>
    </row>
    <row r="300" spans="1:7" ht="47.25" hidden="1" x14ac:dyDescent="0.25">
      <c r="A300" s="46" t="s">
        <v>487</v>
      </c>
      <c r="B300" s="40" t="s">
        <v>501</v>
      </c>
      <c r="C300" s="40" t="s">
        <v>498</v>
      </c>
      <c r="D300" s="40" t="s">
        <v>125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603</v>
      </c>
      <c r="B301" s="40" t="s">
        <v>654</v>
      </c>
      <c r="C301" s="40" t="s">
        <v>498</v>
      </c>
      <c r="D301" s="40" t="s">
        <v>125</v>
      </c>
      <c r="E301" s="40"/>
      <c r="F301" s="5"/>
      <c r="G301" s="10">
        <f>G302</f>
        <v>0</v>
      </c>
    </row>
    <row r="302" spans="1:7" ht="63" hidden="1" x14ac:dyDescent="0.25">
      <c r="A302" s="29" t="s">
        <v>279</v>
      </c>
      <c r="B302" s="40" t="s">
        <v>654</v>
      </c>
      <c r="C302" s="40" t="s">
        <v>498</v>
      </c>
      <c r="D302" s="40" t="s">
        <v>125</v>
      </c>
      <c r="E302" s="40" t="s">
        <v>280</v>
      </c>
      <c r="F302" s="5"/>
      <c r="G302" s="10">
        <f>G303</f>
        <v>0</v>
      </c>
    </row>
    <row r="303" spans="1:7" ht="15.75" hidden="1" x14ac:dyDescent="0.25">
      <c r="A303" s="29" t="s">
        <v>281</v>
      </c>
      <c r="B303" s="40" t="s">
        <v>654</v>
      </c>
      <c r="C303" s="40" t="s">
        <v>498</v>
      </c>
      <c r="D303" s="40" t="s">
        <v>125</v>
      </c>
      <c r="E303" s="40" t="s">
        <v>282</v>
      </c>
      <c r="F303" s="5"/>
      <c r="G303" s="10">
        <f>G304</f>
        <v>0</v>
      </c>
    </row>
    <row r="304" spans="1:7" ht="47.25" hidden="1" x14ac:dyDescent="0.25">
      <c r="A304" s="70" t="s">
        <v>487</v>
      </c>
      <c r="B304" s="40" t="s">
        <v>654</v>
      </c>
      <c r="C304" s="40" t="s">
        <v>498</v>
      </c>
      <c r="D304" s="40" t="s">
        <v>125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285</v>
      </c>
      <c r="B305" s="40" t="s">
        <v>504</v>
      </c>
      <c r="C305" s="40" t="s">
        <v>498</v>
      </c>
      <c r="D305" s="40" t="s">
        <v>125</v>
      </c>
      <c r="E305" s="40"/>
      <c r="F305" s="5"/>
      <c r="G305" s="10" t="e">
        <f>G306</f>
        <v>#REF!</v>
      </c>
    </row>
    <row r="306" spans="1:8" ht="63" x14ac:dyDescent="0.25">
      <c r="A306" s="29" t="s">
        <v>279</v>
      </c>
      <c r="B306" s="40" t="s">
        <v>504</v>
      </c>
      <c r="C306" s="40" t="s">
        <v>498</v>
      </c>
      <c r="D306" s="40" t="s">
        <v>125</v>
      </c>
      <c r="E306" s="40" t="s">
        <v>280</v>
      </c>
      <c r="F306" s="5"/>
      <c r="G306" s="10" t="e">
        <f>G307</f>
        <v>#REF!</v>
      </c>
    </row>
    <row r="307" spans="1:8" ht="15.75" x14ac:dyDescent="0.25">
      <c r="A307" s="29" t="s">
        <v>281</v>
      </c>
      <c r="B307" s="40" t="s">
        <v>504</v>
      </c>
      <c r="C307" s="40" t="s">
        <v>498</v>
      </c>
      <c r="D307" s="40" t="s">
        <v>125</v>
      </c>
      <c r="E307" s="40" t="s">
        <v>282</v>
      </c>
      <c r="F307" s="5"/>
      <c r="G307" s="159" t="e">
        <f>'Пр.4 ведом.21'!#REF!</f>
        <v>#REF!</v>
      </c>
      <c r="H307" s="160" t="s">
        <v>741</v>
      </c>
    </row>
    <row r="308" spans="1:8" ht="47.25" x14ac:dyDescent="0.25">
      <c r="A308" s="46" t="s">
        <v>487</v>
      </c>
      <c r="B308" s="40" t="s">
        <v>501</v>
      </c>
      <c r="C308" s="40" t="s">
        <v>498</v>
      </c>
      <c r="D308" s="40" t="s">
        <v>125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287</v>
      </c>
      <c r="B309" s="40" t="s">
        <v>655</v>
      </c>
      <c r="C309" s="40" t="s">
        <v>498</v>
      </c>
      <c r="D309" s="40" t="s">
        <v>125</v>
      </c>
      <c r="E309" s="40"/>
      <c r="F309" s="5"/>
      <c r="G309" s="10">
        <f>G310</f>
        <v>0</v>
      </c>
    </row>
    <row r="310" spans="1:8" ht="63" hidden="1" x14ac:dyDescent="0.25">
      <c r="A310" s="29" t="s">
        <v>279</v>
      </c>
      <c r="B310" s="40" t="s">
        <v>655</v>
      </c>
      <c r="C310" s="40" t="s">
        <v>498</v>
      </c>
      <c r="D310" s="40" t="s">
        <v>125</v>
      </c>
      <c r="E310" s="40" t="s">
        <v>280</v>
      </c>
      <c r="F310" s="5"/>
      <c r="G310" s="10">
        <f>G311</f>
        <v>0</v>
      </c>
    </row>
    <row r="311" spans="1:8" ht="15.75" hidden="1" x14ac:dyDescent="0.25">
      <c r="A311" s="29" t="s">
        <v>281</v>
      </c>
      <c r="B311" s="40" t="s">
        <v>655</v>
      </c>
      <c r="C311" s="40" t="s">
        <v>498</v>
      </c>
      <c r="D311" s="40" t="s">
        <v>125</v>
      </c>
      <c r="E311" s="40" t="s">
        <v>282</v>
      </c>
      <c r="F311" s="5"/>
      <c r="G311" s="10"/>
    </row>
    <row r="312" spans="1:8" ht="47.25" hidden="1" x14ac:dyDescent="0.25">
      <c r="A312" s="46" t="s">
        <v>487</v>
      </c>
      <c r="B312" s="40" t="s">
        <v>655</v>
      </c>
      <c r="C312" s="40" t="s">
        <v>498</v>
      </c>
      <c r="D312" s="40" t="s">
        <v>125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291</v>
      </c>
      <c r="B313" s="40" t="s">
        <v>656</v>
      </c>
      <c r="C313" s="40" t="s">
        <v>498</v>
      </c>
      <c r="D313" s="40" t="s">
        <v>125</v>
      </c>
      <c r="E313" s="40"/>
      <c r="F313" s="5"/>
      <c r="G313" s="10">
        <f>G314</f>
        <v>0</v>
      </c>
    </row>
    <row r="314" spans="1:8" ht="63" hidden="1" x14ac:dyDescent="0.25">
      <c r="A314" s="29" t="s">
        <v>279</v>
      </c>
      <c r="B314" s="40" t="s">
        <v>656</v>
      </c>
      <c r="C314" s="40" t="s">
        <v>498</v>
      </c>
      <c r="D314" s="40" t="s">
        <v>125</v>
      </c>
      <c r="E314" s="40" t="s">
        <v>280</v>
      </c>
      <c r="F314" s="5"/>
      <c r="G314" s="10">
        <f>G315</f>
        <v>0</v>
      </c>
    </row>
    <row r="315" spans="1:8" ht="15.75" hidden="1" x14ac:dyDescent="0.25">
      <c r="A315" s="29" t="s">
        <v>281</v>
      </c>
      <c r="B315" s="40" t="s">
        <v>656</v>
      </c>
      <c r="C315" s="40" t="s">
        <v>498</v>
      </c>
      <c r="D315" s="40" t="s">
        <v>125</v>
      </c>
      <c r="E315" s="40" t="s">
        <v>282</v>
      </c>
      <c r="F315" s="5"/>
      <c r="G315" s="10"/>
    </row>
    <row r="316" spans="1:8" ht="47.25" hidden="1" x14ac:dyDescent="0.25">
      <c r="A316" s="46" t="s">
        <v>487</v>
      </c>
      <c r="B316" s="40" t="s">
        <v>656</v>
      </c>
      <c r="C316" s="40" t="s">
        <v>498</v>
      </c>
      <c r="D316" s="40" t="s">
        <v>125</v>
      </c>
      <c r="E316" s="40"/>
      <c r="F316" s="5">
        <v>907</v>
      </c>
      <c r="G316" s="10">
        <v>0</v>
      </c>
    </row>
    <row r="317" spans="1:8" ht="63" x14ac:dyDescent="0.25">
      <c r="A317" s="58" t="s">
        <v>508</v>
      </c>
      <c r="B317" s="7" t="s">
        <v>509</v>
      </c>
      <c r="C317" s="7"/>
      <c r="D317" s="7"/>
      <c r="E317" s="7"/>
      <c r="F317" s="174"/>
      <c r="G317" s="4" t="e">
        <f>G318</f>
        <v>#REF!</v>
      </c>
    </row>
    <row r="318" spans="1:8" ht="15.75" x14ac:dyDescent="0.25">
      <c r="A318" s="29" t="s">
        <v>497</v>
      </c>
      <c r="B318" s="40" t="s">
        <v>509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507</v>
      </c>
      <c r="B319" s="40" t="s">
        <v>509</v>
      </c>
      <c r="C319" s="40" t="s">
        <v>498</v>
      </c>
      <c r="D319" s="40" t="s">
        <v>241</v>
      </c>
      <c r="E319" s="40"/>
      <c r="F319" s="5"/>
      <c r="G319" s="6" t="e">
        <f>G320</f>
        <v>#REF!</v>
      </c>
    </row>
    <row r="320" spans="1:8" ht="47.25" x14ac:dyDescent="0.25">
      <c r="A320" s="29" t="s">
        <v>164</v>
      </c>
      <c r="B320" s="40" t="s">
        <v>510</v>
      </c>
      <c r="C320" s="40" t="s">
        <v>498</v>
      </c>
      <c r="D320" s="40" t="s">
        <v>241</v>
      </c>
      <c r="E320" s="40"/>
      <c r="F320" s="5"/>
      <c r="G320" s="6" t="e">
        <f>G323+G321</f>
        <v>#REF!</v>
      </c>
    </row>
    <row r="321" spans="1:7" ht="110.25" x14ac:dyDescent="0.25">
      <c r="A321" s="25" t="s">
        <v>134</v>
      </c>
      <c r="B321" s="40" t="s">
        <v>510</v>
      </c>
      <c r="C321" s="40" t="s">
        <v>498</v>
      </c>
      <c r="D321" s="40" t="s">
        <v>241</v>
      </c>
      <c r="E321" s="40" t="s">
        <v>135</v>
      </c>
      <c r="F321" s="5"/>
      <c r="G321" s="6" t="e">
        <f>G322</f>
        <v>#REF!</v>
      </c>
    </row>
    <row r="322" spans="1:7" ht="55.5" customHeight="1" x14ac:dyDescent="0.25">
      <c r="A322" s="25" t="s">
        <v>136</v>
      </c>
      <c r="B322" s="40" t="s">
        <v>510</v>
      </c>
      <c r="C322" s="40" t="s">
        <v>498</v>
      </c>
      <c r="D322" s="40" t="s">
        <v>241</v>
      </c>
      <c r="E322" s="40" t="s">
        <v>137</v>
      </c>
      <c r="F322" s="5"/>
      <c r="G322" s="6" t="e">
        <f>'Пр.4 ведом.21'!#REF!</f>
        <v>#REF!</v>
      </c>
    </row>
    <row r="323" spans="1:7" ht="47.25" x14ac:dyDescent="0.25">
      <c r="A323" s="29" t="s">
        <v>138</v>
      </c>
      <c r="B323" s="40" t="s">
        <v>510</v>
      </c>
      <c r="C323" s="40" t="s">
        <v>498</v>
      </c>
      <c r="D323" s="40" t="s">
        <v>241</v>
      </c>
      <c r="E323" s="40" t="s">
        <v>139</v>
      </c>
      <c r="F323" s="5"/>
      <c r="G323" s="6" t="e">
        <f>G324</f>
        <v>#REF!</v>
      </c>
    </row>
    <row r="324" spans="1:7" ht="47.25" x14ac:dyDescent="0.25">
      <c r="A324" s="29" t="s">
        <v>140</v>
      </c>
      <c r="B324" s="40" t="s">
        <v>510</v>
      </c>
      <c r="C324" s="40" t="s">
        <v>498</v>
      </c>
      <c r="D324" s="40" t="s">
        <v>241</v>
      </c>
      <c r="E324" s="40" t="s">
        <v>141</v>
      </c>
      <c r="F324" s="5"/>
      <c r="G324" s="6" t="e">
        <f>'Пр.4 ведом.21'!#REF!</f>
        <v>#REF!</v>
      </c>
    </row>
    <row r="325" spans="1:7" ht="47.25" x14ac:dyDescent="0.25">
      <c r="A325" s="70" t="s">
        <v>487</v>
      </c>
      <c r="B325" s="40" t="s">
        <v>509</v>
      </c>
      <c r="C325" s="40" t="s">
        <v>498</v>
      </c>
      <c r="D325" s="40" t="s">
        <v>241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273</v>
      </c>
      <c r="B326" s="7" t="s">
        <v>274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275</v>
      </c>
      <c r="B327" s="7" t="s">
        <v>276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270</v>
      </c>
      <c r="B328" s="40" t="s">
        <v>276</v>
      </c>
      <c r="C328" s="40" t="s">
        <v>271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432</v>
      </c>
      <c r="B329" s="40" t="s">
        <v>276</v>
      </c>
      <c r="C329" s="40" t="s">
        <v>271</v>
      </c>
      <c r="D329" s="40" t="s">
        <v>222</v>
      </c>
      <c r="E329" s="72"/>
      <c r="F329" s="3"/>
      <c r="G329" s="10" t="e">
        <f>G330+G345</f>
        <v>#REF!</v>
      </c>
    </row>
    <row r="330" spans="1:7" ht="63" x14ac:dyDescent="0.25">
      <c r="A330" s="29" t="s">
        <v>277</v>
      </c>
      <c r="B330" s="40" t="s">
        <v>278</v>
      </c>
      <c r="C330" s="40" t="s">
        <v>271</v>
      </c>
      <c r="D330" s="40" t="s">
        <v>222</v>
      </c>
      <c r="E330" s="72"/>
      <c r="F330" s="3"/>
      <c r="G330" s="10" t="e">
        <f>G331</f>
        <v>#REF!</v>
      </c>
    </row>
    <row r="331" spans="1:7" ht="63" x14ac:dyDescent="0.25">
      <c r="A331" s="29" t="s">
        <v>279</v>
      </c>
      <c r="B331" s="40" t="s">
        <v>278</v>
      </c>
      <c r="C331" s="40" t="s">
        <v>271</v>
      </c>
      <c r="D331" s="40" t="s">
        <v>222</v>
      </c>
      <c r="E331" s="40" t="s">
        <v>280</v>
      </c>
      <c r="F331" s="3"/>
      <c r="G331" s="10" t="e">
        <f>G332</f>
        <v>#REF!</v>
      </c>
    </row>
    <row r="332" spans="1:7" ht="15.75" x14ac:dyDescent="0.25">
      <c r="A332" s="29" t="s">
        <v>281</v>
      </c>
      <c r="B332" s="40" t="s">
        <v>278</v>
      </c>
      <c r="C332" s="40" t="s">
        <v>271</v>
      </c>
      <c r="D332" s="40" t="s">
        <v>222</v>
      </c>
      <c r="E332" s="40" t="s">
        <v>282</v>
      </c>
      <c r="F332" s="3"/>
      <c r="G332" s="6" t="e">
        <f>'Пр.4 ведом.21'!#REF!</f>
        <v>#REF!</v>
      </c>
    </row>
    <row r="333" spans="1:7" ht="63" hidden="1" x14ac:dyDescent="0.25">
      <c r="A333" s="29" t="s">
        <v>283</v>
      </c>
      <c r="B333" s="40" t="s">
        <v>657</v>
      </c>
      <c r="C333" s="40" t="s">
        <v>271</v>
      </c>
      <c r="D333" s="40" t="s">
        <v>222</v>
      </c>
      <c r="E333" s="40"/>
      <c r="F333" s="3"/>
      <c r="G333" s="10">
        <f>G334</f>
        <v>0</v>
      </c>
    </row>
    <row r="334" spans="1:7" ht="63" hidden="1" x14ac:dyDescent="0.25">
      <c r="A334" s="29" t="s">
        <v>279</v>
      </c>
      <c r="B334" s="40" t="s">
        <v>657</v>
      </c>
      <c r="C334" s="40" t="s">
        <v>271</v>
      </c>
      <c r="D334" s="40" t="s">
        <v>222</v>
      </c>
      <c r="E334" s="40" t="s">
        <v>280</v>
      </c>
      <c r="F334" s="3"/>
      <c r="G334" s="10">
        <f>G335</f>
        <v>0</v>
      </c>
    </row>
    <row r="335" spans="1:7" ht="15.75" hidden="1" x14ac:dyDescent="0.25">
      <c r="A335" s="29" t="s">
        <v>281</v>
      </c>
      <c r="B335" s="40" t="s">
        <v>657</v>
      </c>
      <c r="C335" s="40" t="s">
        <v>271</v>
      </c>
      <c r="D335" s="40" t="s">
        <v>222</v>
      </c>
      <c r="E335" s="40" t="s">
        <v>282</v>
      </c>
      <c r="F335" s="3"/>
      <c r="G335" s="10"/>
    </row>
    <row r="336" spans="1:7" ht="63" hidden="1" x14ac:dyDescent="0.25">
      <c r="A336" s="45" t="s">
        <v>268</v>
      </c>
      <c r="B336" s="40" t="s">
        <v>657</v>
      </c>
      <c r="C336" s="40" t="s">
        <v>271</v>
      </c>
      <c r="D336" s="40" t="s">
        <v>222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285</v>
      </c>
      <c r="B337" s="40" t="s">
        <v>658</v>
      </c>
      <c r="C337" s="40" t="s">
        <v>271</v>
      </c>
      <c r="D337" s="40" t="s">
        <v>222</v>
      </c>
      <c r="E337" s="40"/>
      <c r="F337" s="3"/>
      <c r="G337" s="10">
        <f>G338</f>
        <v>0</v>
      </c>
    </row>
    <row r="338" spans="1:7" ht="63" hidden="1" x14ac:dyDescent="0.25">
      <c r="A338" s="29" t="s">
        <v>279</v>
      </c>
      <c r="B338" s="40" t="s">
        <v>658</v>
      </c>
      <c r="C338" s="40" t="s">
        <v>271</v>
      </c>
      <c r="D338" s="40" t="s">
        <v>222</v>
      </c>
      <c r="E338" s="40" t="s">
        <v>280</v>
      </c>
      <c r="F338" s="3"/>
      <c r="G338" s="10">
        <f>G339</f>
        <v>0</v>
      </c>
    </row>
    <row r="339" spans="1:7" ht="15.75" hidden="1" x14ac:dyDescent="0.25">
      <c r="A339" s="29" t="s">
        <v>281</v>
      </c>
      <c r="B339" s="40" t="s">
        <v>658</v>
      </c>
      <c r="C339" s="40" t="s">
        <v>271</v>
      </c>
      <c r="D339" s="40" t="s">
        <v>222</v>
      </c>
      <c r="E339" s="40" t="s">
        <v>282</v>
      </c>
      <c r="F339" s="3"/>
      <c r="G339" s="10"/>
    </row>
    <row r="340" spans="1:7" ht="63" hidden="1" x14ac:dyDescent="0.25">
      <c r="A340" s="45" t="s">
        <v>268</v>
      </c>
      <c r="B340" s="40" t="s">
        <v>658</v>
      </c>
      <c r="C340" s="40" t="s">
        <v>271</v>
      </c>
      <c r="D340" s="40" t="s">
        <v>222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287</v>
      </c>
      <c r="B341" s="40" t="s">
        <v>659</v>
      </c>
      <c r="C341" s="40" t="s">
        <v>271</v>
      </c>
      <c r="D341" s="40" t="s">
        <v>222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279</v>
      </c>
      <c r="B342" s="40" t="s">
        <v>659</v>
      </c>
      <c r="C342" s="40" t="s">
        <v>271</v>
      </c>
      <c r="D342" s="40" t="s">
        <v>222</v>
      </c>
      <c r="E342" s="40" t="s">
        <v>280</v>
      </c>
      <c r="F342" s="3"/>
      <c r="G342" s="10">
        <f>G343</f>
        <v>0</v>
      </c>
    </row>
    <row r="343" spans="1:7" ht="15.75" hidden="1" x14ac:dyDescent="0.25">
      <c r="A343" s="29" t="s">
        <v>281</v>
      </c>
      <c r="B343" s="40" t="s">
        <v>659</v>
      </c>
      <c r="C343" s="40" t="s">
        <v>271</v>
      </c>
      <c r="D343" s="40" t="s">
        <v>222</v>
      </c>
      <c r="E343" s="40" t="s">
        <v>282</v>
      </c>
      <c r="F343" s="3"/>
      <c r="G343" s="10"/>
    </row>
    <row r="344" spans="1:7" ht="63" hidden="1" x14ac:dyDescent="0.25">
      <c r="A344" s="45" t="s">
        <v>268</v>
      </c>
      <c r="B344" s="40" t="s">
        <v>659</v>
      </c>
      <c r="C344" s="40" t="s">
        <v>271</v>
      </c>
      <c r="D344" s="40" t="s">
        <v>222</v>
      </c>
      <c r="E344" s="40"/>
      <c r="F344" s="2">
        <v>903</v>
      </c>
      <c r="G344" s="10">
        <v>0</v>
      </c>
    </row>
    <row r="345" spans="1:7" ht="47.25" x14ac:dyDescent="0.25">
      <c r="A345" s="29" t="s">
        <v>289</v>
      </c>
      <c r="B345" s="40" t="s">
        <v>290</v>
      </c>
      <c r="C345" s="40" t="s">
        <v>271</v>
      </c>
      <c r="D345" s="40" t="s">
        <v>222</v>
      </c>
      <c r="E345" s="40"/>
      <c r="F345" s="3"/>
      <c r="G345" s="10" t="e">
        <f>G346</f>
        <v>#REF!</v>
      </c>
    </row>
    <row r="346" spans="1:7" ht="63" x14ac:dyDescent="0.25">
      <c r="A346" s="29" t="s">
        <v>279</v>
      </c>
      <c r="B346" s="40" t="s">
        <v>290</v>
      </c>
      <c r="C346" s="40" t="s">
        <v>271</v>
      </c>
      <c r="D346" s="40" t="s">
        <v>222</v>
      </c>
      <c r="E346" s="40" t="s">
        <v>280</v>
      </c>
      <c r="F346" s="3"/>
      <c r="G346" s="10" t="e">
        <f>G347</f>
        <v>#REF!</v>
      </c>
    </row>
    <row r="347" spans="1:7" ht="15.75" x14ac:dyDescent="0.25">
      <c r="A347" s="29" t="s">
        <v>281</v>
      </c>
      <c r="B347" s="40" t="s">
        <v>290</v>
      </c>
      <c r="C347" s="40" t="s">
        <v>271</v>
      </c>
      <c r="D347" s="40" t="s">
        <v>222</v>
      </c>
      <c r="E347" s="40" t="s">
        <v>282</v>
      </c>
      <c r="F347" s="3"/>
      <c r="G347" s="6" t="e">
        <f>'Пр.4 ведом.21'!#REF!</f>
        <v>#REF!</v>
      </c>
    </row>
    <row r="348" spans="1:7" ht="63" x14ac:dyDescent="0.25">
      <c r="A348" s="45" t="s">
        <v>268</v>
      </c>
      <c r="B348" s="40" t="s">
        <v>276</v>
      </c>
      <c r="C348" s="40" t="s">
        <v>271</v>
      </c>
      <c r="D348" s="40" t="s">
        <v>222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615</v>
      </c>
      <c r="B349" s="40" t="s">
        <v>616</v>
      </c>
      <c r="C349" s="40" t="s">
        <v>271</v>
      </c>
      <c r="D349" s="40" t="s">
        <v>220</v>
      </c>
      <c r="E349" s="40"/>
      <c r="F349" s="3"/>
      <c r="G349" s="10">
        <f>G350</f>
        <v>0</v>
      </c>
    </row>
    <row r="350" spans="1:7" ht="63" hidden="1" x14ac:dyDescent="0.25">
      <c r="A350" s="29" t="s">
        <v>279</v>
      </c>
      <c r="B350" s="40" t="s">
        <v>616</v>
      </c>
      <c r="C350" s="40" t="s">
        <v>271</v>
      </c>
      <c r="D350" s="40" t="s">
        <v>220</v>
      </c>
      <c r="E350" s="40" t="s">
        <v>280</v>
      </c>
      <c r="F350" s="3"/>
      <c r="G350" s="10">
        <f>G351</f>
        <v>0</v>
      </c>
    </row>
    <row r="351" spans="1:7" ht="15.75" hidden="1" x14ac:dyDescent="0.25">
      <c r="A351" s="29" t="s">
        <v>281</v>
      </c>
      <c r="B351" s="40" t="s">
        <v>616</v>
      </c>
      <c r="C351" s="40" t="s">
        <v>271</v>
      </c>
      <c r="D351" s="40" t="s">
        <v>220</v>
      </c>
      <c r="E351" s="40" t="s">
        <v>282</v>
      </c>
      <c r="F351" s="3"/>
      <c r="G351" s="10"/>
    </row>
    <row r="352" spans="1:7" ht="63" hidden="1" x14ac:dyDescent="0.25">
      <c r="A352" s="45" t="s">
        <v>268</v>
      </c>
      <c r="B352" s="40" t="s">
        <v>616</v>
      </c>
      <c r="C352" s="40" t="s">
        <v>271</v>
      </c>
      <c r="D352" s="40" t="s">
        <v>220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308</v>
      </c>
      <c r="B353" s="7" t="s">
        <v>309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305</v>
      </c>
      <c r="B354" s="40" t="s">
        <v>309</v>
      </c>
      <c r="C354" s="40" t="s">
        <v>306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307</v>
      </c>
      <c r="B355" s="40" t="s">
        <v>309</v>
      </c>
      <c r="C355" s="40" t="s">
        <v>306</v>
      </c>
      <c r="D355" s="40" t="s">
        <v>125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310</v>
      </c>
      <c r="B356" s="40" t="s">
        <v>311</v>
      </c>
      <c r="C356" s="40" t="s">
        <v>306</v>
      </c>
      <c r="D356" s="40" t="s">
        <v>125</v>
      </c>
      <c r="E356" s="73"/>
      <c r="F356" s="2"/>
      <c r="G356" s="10" t="e">
        <f>G357</f>
        <v>#REF!</v>
      </c>
    </row>
    <row r="357" spans="1:7" ht="63" x14ac:dyDescent="0.25">
      <c r="A357" s="29" t="s">
        <v>279</v>
      </c>
      <c r="B357" s="40" t="s">
        <v>311</v>
      </c>
      <c r="C357" s="40" t="s">
        <v>306</v>
      </c>
      <c r="D357" s="40" t="s">
        <v>125</v>
      </c>
      <c r="E357" s="40" t="s">
        <v>280</v>
      </c>
      <c r="F357" s="2"/>
      <c r="G357" s="10" t="e">
        <f>G358</f>
        <v>#REF!</v>
      </c>
    </row>
    <row r="358" spans="1:7" ht="15.75" x14ac:dyDescent="0.25">
      <c r="A358" s="29" t="s">
        <v>281</v>
      </c>
      <c r="B358" s="40" t="s">
        <v>311</v>
      </c>
      <c r="C358" s="40" t="s">
        <v>306</v>
      </c>
      <c r="D358" s="40" t="s">
        <v>125</v>
      </c>
      <c r="E358" s="40" t="s">
        <v>282</v>
      </c>
      <c r="F358" s="2"/>
      <c r="G358" s="10" t="e">
        <f>'Пр.4 ведом.21'!#REF!</f>
        <v>#REF!</v>
      </c>
    </row>
    <row r="359" spans="1:7" ht="63" hidden="1" x14ac:dyDescent="0.25">
      <c r="A359" s="29" t="s">
        <v>283</v>
      </c>
      <c r="B359" s="40" t="s">
        <v>618</v>
      </c>
      <c r="C359" s="40" t="s">
        <v>306</v>
      </c>
      <c r="D359" s="40" t="s">
        <v>125</v>
      </c>
      <c r="E359" s="40"/>
      <c r="F359" s="2"/>
      <c r="G359" s="10">
        <f>G360</f>
        <v>0</v>
      </c>
    </row>
    <row r="360" spans="1:7" ht="63" hidden="1" x14ac:dyDescent="0.25">
      <c r="A360" s="29" t="s">
        <v>279</v>
      </c>
      <c r="B360" s="40" t="s">
        <v>618</v>
      </c>
      <c r="C360" s="40" t="s">
        <v>306</v>
      </c>
      <c r="D360" s="40" t="s">
        <v>125</v>
      </c>
      <c r="E360" s="40" t="s">
        <v>280</v>
      </c>
      <c r="F360" s="2"/>
      <c r="G360" s="10">
        <f>G361</f>
        <v>0</v>
      </c>
    </row>
    <row r="361" spans="1:7" ht="15.75" hidden="1" x14ac:dyDescent="0.25">
      <c r="A361" s="29" t="s">
        <v>281</v>
      </c>
      <c r="B361" s="40" t="s">
        <v>618</v>
      </c>
      <c r="C361" s="40" t="s">
        <v>306</v>
      </c>
      <c r="D361" s="40" t="s">
        <v>125</v>
      </c>
      <c r="E361" s="40" t="s">
        <v>282</v>
      </c>
      <c r="F361" s="2"/>
      <c r="G361" s="10"/>
    </row>
    <row r="362" spans="1:7" ht="63" hidden="1" x14ac:dyDescent="0.25">
      <c r="A362" s="45" t="s">
        <v>268</v>
      </c>
      <c r="B362" s="40" t="s">
        <v>618</v>
      </c>
      <c r="C362" s="40" t="s">
        <v>306</v>
      </c>
      <c r="D362" s="40" t="s">
        <v>125</v>
      </c>
      <c r="E362" s="40"/>
      <c r="F362" s="2">
        <v>903</v>
      </c>
      <c r="G362" s="10">
        <v>0</v>
      </c>
    </row>
    <row r="363" spans="1:7" ht="31.5" x14ac:dyDescent="0.25">
      <c r="A363" s="29" t="s">
        <v>620</v>
      </c>
      <c r="B363" s="40" t="s">
        <v>313</v>
      </c>
      <c r="C363" s="40" t="s">
        <v>306</v>
      </c>
      <c r="D363" s="40" t="s">
        <v>125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279</v>
      </c>
      <c r="B364" s="40" t="s">
        <v>313</v>
      </c>
      <c r="C364" s="40" t="s">
        <v>306</v>
      </c>
      <c r="D364" s="40" t="s">
        <v>125</v>
      </c>
      <c r="E364" s="40" t="s">
        <v>280</v>
      </c>
      <c r="F364" s="2"/>
      <c r="G364" s="10" t="e">
        <f>G365</f>
        <v>#REF!</v>
      </c>
    </row>
    <row r="365" spans="1:7" ht="15.75" x14ac:dyDescent="0.25">
      <c r="A365" s="29" t="s">
        <v>281</v>
      </c>
      <c r="B365" s="40" t="s">
        <v>313</v>
      </c>
      <c r="C365" s="40" t="s">
        <v>306</v>
      </c>
      <c r="D365" s="40" t="s">
        <v>125</v>
      </c>
      <c r="E365" s="40" t="s">
        <v>282</v>
      </c>
      <c r="F365" s="2"/>
      <c r="G365" s="10" t="e">
        <f>'Пр.4 ведом.21'!#REF!</f>
        <v>#REF!</v>
      </c>
    </row>
    <row r="366" spans="1:7" ht="31.5" x14ac:dyDescent="0.25">
      <c r="A366" s="29" t="s">
        <v>314</v>
      </c>
      <c r="B366" s="40" t="s">
        <v>315</v>
      </c>
      <c r="C366" s="40" t="s">
        <v>306</v>
      </c>
      <c r="D366" s="40" t="s">
        <v>125</v>
      </c>
      <c r="E366" s="40"/>
      <c r="F366" s="2"/>
      <c r="G366" s="10" t="e">
        <f>G367</f>
        <v>#REF!</v>
      </c>
    </row>
    <row r="367" spans="1:7" ht="63" x14ac:dyDescent="0.25">
      <c r="A367" s="29" t="s">
        <v>279</v>
      </c>
      <c r="B367" s="40" t="s">
        <v>315</v>
      </c>
      <c r="C367" s="40" t="s">
        <v>306</v>
      </c>
      <c r="D367" s="40" t="s">
        <v>125</v>
      </c>
      <c r="E367" s="40" t="s">
        <v>280</v>
      </c>
      <c r="F367" s="2"/>
      <c r="G367" s="10" t="e">
        <f>G368</f>
        <v>#REF!</v>
      </c>
    </row>
    <row r="368" spans="1:7" ht="15.75" x14ac:dyDescent="0.25">
      <c r="A368" s="29" t="s">
        <v>281</v>
      </c>
      <c r="B368" s="40" t="s">
        <v>315</v>
      </c>
      <c r="C368" s="40" t="s">
        <v>306</v>
      </c>
      <c r="D368" s="40" t="s">
        <v>125</v>
      </c>
      <c r="E368" s="40" t="s">
        <v>282</v>
      </c>
      <c r="F368" s="2"/>
      <c r="G368" s="10" t="e">
        <f>'Пр.4 ведом.21'!#REF!</f>
        <v>#REF!</v>
      </c>
    </row>
    <row r="369" spans="1:7" ht="63" x14ac:dyDescent="0.25">
      <c r="A369" s="45" t="s">
        <v>268</v>
      </c>
      <c r="B369" s="40" t="s">
        <v>309</v>
      </c>
      <c r="C369" s="40" t="s">
        <v>306</v>
      </c>
      <c r="D369" s="40" t="s">
        <v>125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291</v>
      </c>
      <c r="B370" s="40" t="s">
        <v>619</v>
      </c>
      <c r="C370" s="40" t="s">
        <v>306</v>
      </c>
      <c r="D370" s="40" t="s">
        <v>125</v>
      </c>
      <c r="E370" s="40"/>
      <c r="F370" s="2"/>
      <c r="G370" s="10">
        <f>G371</f>
        <v>0</v>
      </c>
    </row>
    <row r="371" spans="1:7" ht="63" hidden="1" x14ac:dyDescent="0.25">
      <c r="A371" s="29" t="s">
        <v>279</v>
      </c>
      <c r="B371" s="40" t="s">
        <v>619</v>
      </c>
      <c r="C371" s="40" t="s">
        <v>306</v>
      </c>
      <c r="D371" s="40" t="s">
        <v>125</v>
      </c>
      <c r="E371" s="40" t="s">
        <v>280</v>
      </c>
      <c r="F371" s="2"/>
      <c r="G371" s="10">
        <f>G372</f>
        <v>0</v>
      </c>
    </row>
    <row r="372" spans="1:7" ht="15.75" hidden="1" x14ac:dyDescent="0.25">
      <c r="A372" s="29" t="s">
        <v>281</v>
      </c>
      <c r="B372" s="40" t="s">
        <v>619</v>
      </c>
      <c r="C372" s="40" t="s">
        <v>306</v>
      </c>
      <c r="D372" s="40" t="s">
        <v>125</v>
      </c>
      <c r="E372" s="40" t="s">
        <v>282</v>
      </c>
      <c r="F372" s="2"/>
      <c r="G372" s="10"/>
    </row>
    <row r="373" spans="1:7" ht="63" hidden="1" x14ac:dyDescent="0.25">
      <c r="A373" s="45" t="s">
        <v>268</v>
      </c>
      <c r="B373" s="40" t="s">
        <v>619</v>
      </c>
      <c r="C373" s="40" t="s">
        <v>306</v>
      </c>
      <c r="D373" s="40" t="s">
        <v>125</v>
      </c>
      <c r="E373" s="40"/>
      <c r="F373" s="2">
        <v>903</v>
      </c>
      <c r="G373" s="10">
        <v>0</v>
      </c>
    </row>
    <row r="374" spans="1:7" ht="63" x14ac:dyDescent="0.25">
      <c r="A374" s="41" t="s">
        <v>319</v>
      </c>
      <c r="B374" s="7" t="s">
        <v>320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305</v>
      </c>
      <c r="B375" s="40" t="s">
        <v>320</v>
      </c>
      <c r="C375" s="40" t="s">
        <v>306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307</v>
      </c>
      <c r="B376" s="40" t="s">
        <v>320</v>
      </c>
      <c r="C376" s="40" t="s">
        <v>306</v>
      </c>
      <c r="D376" s="40" t="s">
        <v>125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310</v>
      </c>
      <c r="B377" s="40" t="s">
        <v>321</v>
      </c>
      <c r="C377" s="40" t="s">
        <v>306</v>
      </c>
      <c r="D377" s="40" t="s">
        <v>125</v>
      </c>
      <c r="E377" s="40"/>
      <c r="F377" s="74"/>
      <c r="G377" s="10" t="e">
        <f>G378</f>
        <v>#REF!</v>
      </c>
    </row>
    <row r="378" spans="1:7" ht="63" x14ac:dyDescent="0.25">
      <c r="A378" s="29" t="s">
        <v>279</v>
      </c>
      <c r="B378" s="40" t="s">
        <v>321</v>
      </c>
      <c r="C378" s="40" t="s">
        <v>306</v>
      </c>
      <c r="D378" s="40" t="s">
        <v>125</v>
      </c>
      <c r="E378" s="40" t="s">
        <v>280</v>
      </c>
      <c r="F378" s="74"/>
      <c r="G378" s="10" t="e">
        <f>G379</f>
        <v>#REF!</v>
      </c>
    </row>
    <row r="379" spans="1:7" ht="15.75" x14ac:dyDescent="0.25">
      <c r="A379" s="29" t="s">
        <v>281</v>
      </c>
      <c r="B379" s="40" t="s">
        <v>321</v>
      </c>
      <c r="C379" s="40" t="s">
        <v>306</v>
      </c>
      <c r="D379" s="40" t="s">
        <v>125</v>
      </c>
      <c r="E379" s="40" t="s">
        <v>282</v>
      </c>
      <c r="F379" s="74"/>
      <c r="G379" s="6" t="e">
        <f>'Пр.4 ведом.21'!#REF!</f>
        <v>#REF!</v>
      </c>
    </row>
    <row r="380" spans="1:7" ht="63" x14ac:dyDescent="0.25">
      <c r="A380" s="29" t="s">
        <v>283</v>
      </c>
      <c r="B380" s="40" t="s">
        <v>324</v>
      </c>
      <c r="C380" s="40" t="s">
        <v>306</v>
      </c>
      <c r="D380" s="40" t="s">
        <v>125</v>
      </c>
      <c r="E380" s="40"/>
      <c r="F380" s="74"/>
      <c r="G380" s="10" t="e">
        <f>G381</f>
        <v>#REF!</v>
      </c>
    </row>
    <row r="381" spans="1:7" ht="63" x14ac:dyDescent="0.25">
      <c r="A381" s="29" t="s">
        <v>279</v>
      </c>
      <c r="B381" s="40" t="s">
        <v>324</v>
      </c>
      <c r="C381" s="40" t="s">
        <v>306</v>
      </c>
      <c r="D381" s="40" t="s">
        <v>125</v>
      </c>
      <c r="E381" s="40" t="s">
        <v>280</v>
      </c>
      <c r="F381" s="74"/>
      <c r="G381" s="10" t="e">
        <f>G382</f>
        <v>#REF!</v>
      </c>
    </row>
    <row r="382" spans="1:7" ht="15.75" x14ac:dyDescent="0.25">
      <c r="A382" s="29" t="s">
        <v>281</v>
      </c>
      <c r="B382" s="40" t="s">
        <v>324</v>
      </c>
      <c r="C382" s="40" t="s">
        <v>306</v>
      </c>
      <c r="D382" s="40" t="s">
        <v>125</v>
      </c>
      <c r="E382" s="40" t="s">
        <v>282</v>
      </c>
      <c r="F382" s="74"/>
      <c r="G382" s="10" t="e">
        <f>'Пр.4 ведом.21'!#REF!</f>
        <v>#REF!</v>
      </c>
    </row>
    <row r="383" spans="1:7" ht="63" hidden="1" x14ac:dyDescent="0.25">
      <c r="A383" s="45" t="s">
        <v>268</v>
      </c>
      <c r="B383" s="40" t="s">
        <v>660</v>
      </c>
      <c r="C383" s="40" t="s">
        <v>306</v>
      </c>
      <c r="D383" s="40" t="s">
        <v>125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285</v>
      </c>
      <c r="B384" s="40" t="s">
        <v>325</v>
      </c>
      <c r="C384" s="40" t="s">
        <v>306</v>
      </c>
      <c r="D384" s="40" t="s">
        <v>125</v>
      </c>
      <c r="E384" s="40"/>
      <c r="F384" s="74"/>
      <c r="G384" s="10">
        <f>G385</f>
        <v>0</v>
      </c>
    </row>
    <row r="385" spans="1:7" ht="63" hidden="1" x14ac:dyDescent="0.25">
      <c r="A385" s="29" t="s">
        <v>279</v>
      </c>
      <c r="B385" s="40" t="s">
        <v>325</v>
      </c>
      <c r="C385" s="40" t="s">
        <v>306</v>
      </c>
      <c r="D385" s="40" t="s">
        <v>125</v>
      </c>
      <c r="E385" s="40" t="s">
        <v>280</v>
      </c>
      <c r="F385" s="74"/>
      <c r="G385" s="10">
        <f>G386</f>
        <v>0</v>
      </c>
    </row>
    <row r="386" spans="1:7" ht="35.450000000000003" hidden="1" customHeight="1" x14ac:dyDescent="0.25">
      <c r="A386" s="29" t="s">
        <v>281</v>
      </c>
      <c r="B386" s="40" t="s">
        <v>325</v>
      </c>
      <c r="C386" s="40" t="s">
        <v>306</v>
      </c>
      <c r="D386" s="40" t="s">
        <v>125</v>
      </c>
      <c r="E386" s="40" t="s">
        <v>282</v>
      </c>
      <c r="F386" s="74"/>
      <c r="G386" s="10"/>
    </row>
    <row r="387" spans="1:7" ht="63" hidden="1" x14ac:dyDescent="0.25">
      <c r="A387" s="45" t="s">
        <v>268</v>
      </c>
      <c r="B387" s="40" t="s">
        <v>325</v>
      </c>
      <c r="C387" s="40" t="s">
        <v>306</v>
      </c>
      <c r="D387" s="40" t="s">
        <v>125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661</v>
      </c>
      <c r="B388" s="40" t="s">
        <v>326</v>
      </c>
      <c r="C388" s="40" t="s">
        <v>306</v>
      </c>
      <c r="D388" s="40" t="s">
        <v>125</v>
      </c>
      <c r="E388" s="40"/>
      <c r="F388" s="74"/>
      <c r="G388" s="10">
        <f>G389</f>
        <v>0</v>
      </c>
    </row>
    <row r="389" spans="1:7" ht="63" hidden="1" x14ac:dyDescent="0.25">
      <c r="A389" s="29" t="s">
        <v>279</v>
      </c>
      <c r="B389" s="40" t="s">
        <v>326</v>
      </c>
      <c r="C389" s="40" t="s">
        <v>306</v>
      </c>
      <c r="D389" s="40" t="s">
        <v>125</v>
      </c>
      <c r="E389" s="40" t="s">
        <v>280</v>
      </c>
      <c r="F389" s="74"/>
      <c r="G389" s="10">
        <f>G390</f>
        <v>0</v>
      </c>
    </row>
    <row r="390" spans="1:7" ht="15.75" hidden="1" x14ac:dyDescent="0.25">
      <c r="A390" s="29" t="s">
        <v>281</v>
      </c>
      <c r="B390" s="40" t="s">
        <v>326</v>
      </c>
      <c r="C390" s="40" t="s">
        <v>306</v>
      </c>
      <c r="D390" s="40" t="s">
        <v>125</v>
      </c>
      <c r="E390" s="40" t="s">
        <v>282</v>
      </c>
      <c r="F390" s="74"/>
      <c r="G390" s="10"/>
    </row>
    <row r="391" spans="1:7" ht="63" hidden="1" x14ac:dyDescent="0.25">
      <c r="A391" s="45" t="s">
        <v>268</v>
      </c>
      <c r="B391" s="40" t="s">
        <v>326</v>
      </c>
      <c r="C391" s="40" t="s">
        <v>306</v>
      </c>
      <c r="D391" s="40" t="s">
        <v>125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291</v>
      </c>
      <c r="B392" s="40" t="s">
        <v>621</v>
      </c>
      <c r="C392" s="40" t="s">
        <v>306</v>
      </c>
      <c r="D392" s="40" t="s">
        <v>125</v>
      </c>
      <c r="E392" s="40"/>
      <c r="F392" s="74"/>
      <c r="G392" s="10">
        <f>G393</f>
        <v>0</v>
      </c>
    </row>
    <row r="393" spans="1:7" ht="63" hidden="1" x14ac:dyDescent="0.25">
      <c r="A393" s="29" t="s">
        <v>279</v>
      </c>
      <c r="B393" s="40" t="s">
        <v>621</v>
      </c>
      <c r="C393" s="40" t="s">
        <v>306</v>
      </c>
      <c r="D393" s="40" t="s">
        <v>125</v>
      </c>
      <c r="E393" s="40" t="s">
        <v>280</v>
      </c>
      <c r="F393" s="74"/>
      <c r="G393" s="10">
        <f>G394</f>
        <v>0</v>
      </c>
    </row>
    <row r="394" spans="1:7" ht="15.75" hidden="1" x14ac:dyDescent="0.25">
      <c r="A394" s="29" t="s">
        <v>281</v>
      </c>
      <c r="B394" s="40" t="s">
        <v>621</v>
      </c>
      <c r="C394" s="40" t="s">
        <v>306</v>
      </c>
      <c r="D394" s="40" t="s">
        <v>125</v>
      </c>
      <c r="E394" s="40" t="s">
        <v>282</v>
      </c>
      <c r="F394" s="74"/>
      <c r="G394" s="10"/>
    </row>
    <row r="395" spans="1:7" ht="63" hidden="1" x14ac:dyDescent="0.25">
      <c r="A395" s="45" t="s">
        <v>268</v>
      </c>
      <c r="B395" s="40" t="s">
        <v>621</v>
      </c>
      <c r="C395" s="40" t="s">
        <v>306</v>
      </c>
      <c r="D395" s="40" t="s">
        <v>125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662</v>
      </c>
      <c r="B396" s="40" t="s">
        <v>323</v>
      </c>
      <c r="C396" s="40" t="s">
        <v>306</v>
      </c>
      <c r="D396" s="40" t="s">
        <v>125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138</v>
      </c>
      <c r="B397" s="40" t="s">
        <v>323</v>
      </c>
      <c r="C397" s="40" t="s">
        <v>306</v>
      </c>
      <c r="D397" s="40" t="s">
        <v>125</v>
      </c>
      <c r="E397" s="40" t="s">
        <v>139</v>
      </c>
      <c r="F397" s="2"/>
      <c r="G397" s="10">
        <f>G398</f>
        <v>0</v>
      </c>
    </row>
    <row r="398" spans="1:7" ht="47.25" hidden="1" x14ac:dyDescent="0.25">
      <c r="A398" s="29" t="s">
        <v>140</v>
      </c>
      <c r="B398" s="40" t="s">
        <v>323</v>
      </c>
      <c r="C398" s="40" t="s">
        <v>306</v>
      </c>
      <c r="D398" s="40" t="s">
        <v>125</v>
      </c>
      <c r="E398" s="40" t="s">
        <v>141</v>
      </c>
      <c r="F398" s="2"/>
      <c r="G398" s="10">
        <v>0</v>
      </c>
    </row>
    <row r="399" spans="1:7" ht="62.45" customHeight="1" x14ac:dyDescent="0.25">
      <c r="A399" s="29" t="s">
        <v>279</v>
      </c>
      <c r="B399" s="40" t="s">
        <v>323</v>
      </c>
      <c r="C399" s="40" t="s">
        <v>306</v>
      </c>
      <c r="D399" s="40" t="s">
        <v>125</v>
      </c>
      <c r="E399" s="40" t="s">
        <v>280</v>
      </c>
      <c r="F399" s="2"/>
      <c r="G399" s="10" t="e">
        <f>G400</f>
        <v>#REF!</v>
      </c>
    </row>
    <row r="400" spans="1:7" ht="15.75" x14ac:dyDescent="0.25">
      <c r="A400" s="29" t="s">
        <v>281</v>
      </c>
      <c r="B400" s="40" t="s">
        <v>323</v>
      </c>
      <c r="C400" s="40" t="s">
        <v>306</v>
      </c>
      <c r="D400" s="40" t="s">
        <v>125</v>
      </c>
      <c r="E400" s="40" t="s">
        <v>282</v>
      </c>
      <c r="F400" s="2"/>
      <c r="G400" s="10" t="e">
        <f>'Пр.4 ведом.21'!#REF!</f>
        <v>#REF!</v>
      </c>
    </row>
    <row r="401" spans="1:7" ht="15.75" x14ac:dyDescent="0.25">
      <c r="A401" s="25" t="s">
        <v>691</v>
      </c>
      <c r="B401" s="20" t="s">
        <v>692</v>
      </c>
      <c r="C401" s="40" t="s">
        <v>306</v>
      </c>
      <c r="D401" s="40" t="s">
        <v>125</v>
      </c>
      <c r="E401" s="40"/>
      <c r="F401" s="2"/>
      <c r="G401" s="10" t="e">
        <f>G402</f>
        <v>#REF!</v>
      </c>
    </row>
    <row r="402" spans="1:7" ht="63" x14ac:dyDescent="0.25">
      <c r="A402" s="25" t="s">
        <v>279</v>
      </c>
      <c r="B402" s="20" t="s">
        <v>692</v>
      </c>
      <c r="C402" s="40" t="s">
        <v>306</v>
      </c>
      <c r="D402" s="40" t="s">
        <v>125</v>
      </c>
      <c r="E402" s="40" t="s">
        <v>280</v>
      </c>
      <c r="F402" s="2"/>
      <c r="G402" s="10" t="e">
        <f>G403</f>
        <v>#REF!</v>
      </c>
    </row>
    <row r="403" spans="1:7" ht="15.75" x14ac:dyDescent="0.25">
      <c r="A403" s="25" t="s">
        <v>281</v>
      </c>
      <c r="B403" s="20" t="s">
        <v>692</v>
      </c>
      <c r="C403" s="40" t="s">
        <v>306</v>
      </c>
      <c r="D403" s="40" t="s">
        <v>125</v>
      </c>
      <c r="E403" s="40" t="s">
        <v>282</v>
      </c>
      <c r="F403" s="2"/>
      <c r="G403" s="10" t="e">
        <f>'Пр.4 ведом.21'!#REF!</f>
        <v>#REF!</v>
      </c>
    </row>
    <row r="404" spans="1:7" ht="63" x14ac:dyDescent="0.25">
      <c r="A404" s="45" t="s">
        <v>268</v>
      </c>
      <c r="B404" s="40" t="s">
        <v>320</v>
      </c>
      <c r="C404" s="40" t="s">
        <v>306</v>
      </c>
      <c r="D404" s="40" t="s">
        <v>125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328</v>
      </c>
      <c r="B405" s="40" t="s">
        <v>329</v>
      </c>
      <c r="C405" s="40" t="s">
        <v>306</v>
      </c>
      <c r="D405" s="40" t="s">
        <v>125</v>
      </c>
      <c r="E405" s="40"/>
      <c r="F405" s="2"/>
      <c r="G405" s="10">
        <f>G406</f>
        <v>0</v>
      </c>
    </row>
    <row r="406" spans="1:7" ht="63" hidden="1" x14ac:dyDescent="0.25">
      <c r="A406" s="29" t="s">
        <v>279</v>
      </c>
      <c r="B406" s="40" t="s">
        <v>329</v>
      </c>
      <c r="C406" s="40" t="s">
        <v>306</v>
      </c>
      <c r="D406" s="40" t="s">
        <v>125</v>
      </c>
      <c r="E406" s="40" t="s">
        <v>280</v>
      </c>
      <c r="F406" s="2"/>
      <c r="G406" s="10"/>
    </row>
    <row r="407" spans="1:7" ht="15.75" hidden="1" x14ac:dyDescent="0.25">
      <c r="A407" s="29" t="s">
        <v>281</v>
      </c>
      <c r="B407" s="40" t="s">
        <v>329</v>
      </c>
      <c r="C407" s="40" t="s">
        <v>306</v>
      </c>
      <c r="D407" s="40" t="s">
        <v>125</v>
      </c>
      <c r="E407" s="40" t="s">
        <v>282</v>
      </c>
      <c r="F407" s="2"/>
      <c r="G407" s="10"/>
    </row>
    <row r="408" spans="1:7" ht="63" hidden="1" x14ac:dyDescent="0.25">
      <c r="A408" s="45" t="s">
        <v>268</v>
      </c>
      <c r="B408" s="40" t="s">
        <v>329</v>
      </c>
      <c r="C408" s="40" t="s">
        <v>306</v>
      </c>
      <c r="D408" s="40" t="s">
        <v>125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330</v>
      </c>
      <c r="B409" s="7" t="s">
        <v>331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305</v>
      </c>
      <c r="B410" s="40" t="s">
        <v>331</v>
      </c>
      <c r="C410" s="40" t="s">
        <v>306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307</v>
      </c>
      <c r="B411" s="40" t="s">
        <v>331</v>
      </c>
      <c r="C411" s="40" t="s">
        <v>306</v>
      </c>
      <c r="D411" s="40" t="s">
        <v>125</v>
      </c>
      <c r="E411" s="73"/>
      <c r="F411" s="73"/>
      <c r="G411" s="10" t="e">
        <f>G412</f>
        <v>#REF!</v>
      </c>
    </row>
    <row r="412" spans="1:7" ht="63" x14ac:dyDescent="0.25">
      <c r="A412" s="29" t="s">
        <v>332</v>
      </c>
      <c r="B412" s="40" t="s">
        <v>333</v>
      </c>
      <c r="C412" s="40" t="s">
        <v>306</v>
      </c>
      <c r="D412" s="40" t="s">
        <v>125</v>
      </c>
      <c r="E412" s="73"/>
      <c r="F412" s="73"/>
      <c r="G412" s="10" t="e">
        <f>G413</f>
        <v>#REF!</v>
      </c>
    </row>
    <row r="413" spans="1:7" ht="63" x14ac:dyDescent="0.25">
      <c r="A413" s="25" t="s">
        <v>279</v>
      </c>
      <c r="B413" s="40" t="s">
        <v>333</v>
      </c>
      <c r="C413" s="40" t="s">
        <v>306</v>
      </c>
      <c r="D413" s="40" t="s">
        <v>125</v>
      </c>
      <c r="E413" s="40" t="s">
        <v>280</v>
      </c>
      <c r="F413" s="73"/>
      <c r="G413" s="10" t="e">
        <f>G414</f>
        <v>#REF!</v>
      </c>
    </row>
    <row r="414" spans="1:7" ht="15.75" x14ac:dyDescent="0.25">
      <c r="A414" s="25" t="s">
        <v>281</v>
      </c>
      <c r="B414" s="40" t="s">
        <v>333</v>
      </c>
      <c r="C414" s="40" t="s">
        <v>306</v>
      </c>
      <c r="D414" s="40" t="s">
        <v>125</v>
      </c>
      <c r="E414" s="40" t="s">
        <v>282</v>
      </c>
      <c r="F414" s="73"/>
      <c r="G414" s="10" t="e">
        <f>'Пр.4 ведом.21'!#REF!</f>
        <v>#REF!</v>
      </c>
    </row>
    <row r="415" spans="1:7" ht="63" hidden="1" x14ac:dyDescent="0.25">
      <c r="A415" s="45" t="s">
        <v>663</v>
      </c>
      <c r="B415" s="40" t="s">
        <v>333</v>
      </c>
      <c r="C415" s="40" t="s">
        <v>306</v>
      </c>
      <c r="D415" s="40" t="s">
        <v>125</v>
      </c>
      <c r="E415" s="40"/>
      <c r="F415" s="73"/>
      <c r="G415" s="10">
        <f>G416</f>
        <v>0</v>
      </c>
    </row>
    <row r="416" spans="1:7" ht="63" hidden="1" x14ac:dyDescent="0.25">
      <c r="A416" s="29" t="s">
        <v>279</v>
      </c>
      <c r="B416" s="40" t="s">
        <v>333</v>
      </c>
      <c r="C416" s="40" t="s">
        <v>306</v>
      </c>
      <c r="D416" s="40" t="s">
        <v>125</v>
      </c>
      <c r="E416" s="40" t="s">
        <v>280</v>
      </c>
      <c r="F416" s="73"/>
      <c r="G416" s="10">
        <f>G417</f>
        <v>0</v>
      </c>
    </row>
    <row r="417" spans="1:7" ht="15.75" hidden="1" x14ac:dyDescent="0.25">
      <c r="A417" s="29" t="s">
        <v>281</v>
      </c>
      <c r="B417" s="40" t="s">
        <v>333</v>
      </c>
      <c r="C417" s="40" t="s">
        <v>306</v>
      </c>
      <c r="D417" s="40" t="s">
        <v>125</v>
      </c>
      <c r="E417" s="40" t="s">
        <v>282</v>
      </c>
      <c r="F417" s="73"/>
      <c r="G417" s="10"/>
    </row>
    <row r="418" spans="1:7" ht="63" x14ac:dyDescent="0.25">
      <c r="A418" s="45" t="s">
        <v>268</v>
      </c>
      <c r="B418" s="40" t="s">
        <v>331</v>
      </c>
      <c r="C418" s="40" t="s">
        <v>306</v>
      </c>
      <c r="D418" s="40" t="s">
        <v>125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549</v>
      </c>
      <c r="B419" s="7" t="s">
        <v>550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551</v>
      </c>
      <c r="B420" s="7" t="s">
        <v>552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397</v>
      </c>
      <c r="B421" s="40" t="s">
        <v>552</v>
      </c>
      <c r="C421" s="40" t="s">
        <v>241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548</v>
      </c>
      <c r="B422" s="40" t="s">
        <v>552</v>
      </c>
      <c r="C422" s="40" t="s">
        <v>241</v>
      </c>
      <c r="D422" s="40" t="s">
        <v>222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553</v>
      </c>
      <c r="B423" s="20" t="s">
        <v>554</v>
      </c>
      <c r="C423" s="40" t="s">
        <v>241</v>
      </c>
      <c r="D423" s="40" t="s">
        <v>222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138</v>
      </c>
      <c r="B424" s="20" t="s">
        <v>554</v>
      </c>
      <c r="C424" s="40" t="s">
        <v>241</v>
      </c>
      <c r="D424" s="40" t="s">
        <v>222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140</v>
      </c>
      <c r="B425" s="20" t="s">
        <v>554</v>
      </c>
      <c r="C425" s="40" t="s">
        <v>241</v>
      </c>
      <c r="D425" s="40" t="s">
        <v>222</v>
      </c>
      <c r="E425" s="2">
        <v>240</v>
      </c>
      <c r="F425" s="2"/>
      <c r="G425" s="10" t="e">
        <f>'Пр.4 ведом.21'!#REF!</f>
        <v>#REF!</v>
      </c>
    </row>
    <row r="426" spans="1:7" ht="31.7" customHeight="1" x14ac:dyDescent="0.25">
      <c r="A426" s="25" t="s">
        <v>555</v>
      </c>
      <c r="B426" s="20" t="s">
        <v>556</v>
      </c>
      <c r="C426" s="40" t="s">
        <v>241</v>
      </c>
      <c r="D426" s="40" t="s">
        <v>222</v>
      </c>
      <c r="E426" s="2"/>
      <c r="F426" s="2"/>
      <c r="G426" s="10" t="e">
        <f>G427</f>
        <v>#REF!</v>
      </c>
    </row>
    <row r="427" spans="1:7" ht="47.25" x14ac:dyDescent="0.25">
      <c r="A427" s="25" t="s">
        <v>138</v>
      </c>
      <c r="B427" s="20" t="s">
        <v>556</v>
      </c>
      <c r="C427" s="40" t="s">
        <v>241</v>
      </c>
      <c r="D427" s="40" t="s">
        <v>222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140</v>
      </c>
      <c r="B428" s="20" t="s">
        <v>556</v>
      </c>
      <c r="C428" s="40" t="s">
        <v>241</v>
      </c>
      <c r="D428" s="40" t="s">
        <v>222</v>
      </c>
      <c r="E428" s="2">
        <v>240</v>
      </c>
      <c r="F428" s="2"/>
      <c r="G428" s="10" t="e">
        <f>'Пр.4 ведом.21'!#REF!</f>
        <v>#REF!</v>
      </c>
    </row>
    <row r="429" spans="1:7" ht="31.5" x14ac:dyDescent="0.25">
      <c r="A429" s="25" t="s">
        <v>557</v>
      </c>
      <c r="B429" s="20" t="s">
        <v>558</v>
      </c>
      <c r="C429" s="40" t="s">
        <v>241</v>
      </c>
      <c r="D429" s="40" t="s">
        <v>222</v>
      </c>
      <c r="E429" s="2"/>
      <c r="F429" s="2"/>
      <c r="G429" s="10" t="e">
        <f>G430</f>
        <v>#REF!</v>
      </c>
    </row>
    <row r="430" spans="1:7" ht="47.25" x14ac:dyDescent="0.25">
      <c r="A430" s="25" t="s">
        <v>138</v>
      </c>
      <c r="B430" s="20" t="s">
        <v>558</v>
      </c>
      <c r="C430" s="40" t="s">
        <v>241</v>
      </c>
      <c r="D430" s="40" t="s">
        <v>222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140</v>
      </c>
      <c r="B431" s="20" t="s">
        <v>558</v>
      </c>
      <c r="C431" s="40" t="s">
        <v>241</v>
      </c>
      <c r="D431" s="40" t="s">
        <v>222</v>
      </c>
      <c r="E431" s="2">
        <v>240</v>
      </c>
      <c r="F431" s="2"/>
      <c r="G431" s="10" t="e">
        <f>'Пр.4 ведом.21'!#REF!</f>
        <v>#REF!</v>
      </c>
    </row>
    <row r="432" spans="1:7" ht="47.25" x14ac:dyDescent="0.25">
      <c r="A432" s="45" t="s">
        <v>631</v>
      </c>
      <c r="B432" s="40" t="s">
        <v>552</v>
      </c>
      <c r="C432" s="40" t="s">
        <v>241</v>
      </c>
      <c r="D432" s="40" t="s">
        <v>222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559</v>
      </c>
      <c r="B433" s="7" t="s">
        <v>560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397</v>
      </c>
      <c r="B434" s="40" t="s">
        <v>560</v>
      </c>
      <c r="C434" s="40" t="s">
        <v>241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548</v>
      </c>
      <c r="B435" s="40" t="s">
        <v>560</v>
      </c>
      <c r="C435" s="40" t="s">
        <v>241</v>
      </c>
      <c r="D435" s="40" t="s">
        <v>222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557</v>
      </c>
      <c r="B436" s="20" t="s">
        <v>561</v>
      </c>
      <c r="C436" s="40" t="s">
        <v>241</v>
      </c>
      <c r="D436" s="40" t="s">
        <v>222</v>
      </c>
      <c r="E436" s="2"/>
      <c r="F436" s="2"/>
      <c r="G436" s="10" t="e">
        <f>G437+G439</f>
        <v>#REF!</v>
      </c>
    </row>
    <row r="437" spans="1:7" ht="110.25" x14ac:dyDescent="0.25">
      <c r="A437" s="25" t="s">
        <v>134</v>
      </c>
      <c r="B437" s="20" t="s">
        <v>561</v>
      </c>
      <c r="C437" s="40" t="s">
        <v>241</v>
      </c>
      <c r="D437" s="40" t="s">
        <v>222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349</v>
      </c>
      <c r="B438" s="20" t="s">
        <v>561</v>
      </c>
      <c r="C438" s="40" t="s">
        <v>241</v>
      </c>
      <c r="D438" s="40" t="s">
        <v>222</v>
      </c>
      <c r="E438" s="2">
        <v>110</v>
      </c>
      <c r="F438" s="2"/>
      <c r="G438" s="10" t="e">
        <f>'Пр.4 ведом.21'!#REF!</f>
        <v>#REF!</v>
      </c>
    </row>
    <row r="439" spans="1:7" ht="47.25" x14ac:dyDescent="0.25">
      <c r="A439" s="25" t="s">
        <v>138</v>
      </c>
      <c r="B439" s="20" t="s">
        <v>561</v>
      </c>
      <c r="C439" s="40" t="s">
        <v>241</v>
      </c>
      <c r="D439" s="40" t="s">
        <v>222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140</v>
      </c>
      <c r="B440" s="20" t="s">
        <v>561</v>
      </c>
      <c r="C440" s="40" t="s">
        <v>241</v>
      </c>
      <c r="D440" s="40" t="s">
        <v>222</v>
      </c>
      <c r="E440" s="2">
        <v>240</v>
      </c>
      <c r="F440" s="2"/>
      <c r="G440" s="10" t="e">
        <f>'Пр.4 ведом.21'!#REF!</f>
        <v>#REF!</v>
      </c>
    </row>
    <row r="441" spans="1:7" ht="15.75" x14ac:dyDescent="0.25">
      <c r="A441" s="25" t="s">
        <v>562</v>
      </c>
      <c r="B441" s="20" t="s">
        <v>563</v>
      </c>
      <c r="C441" s="40" t="s">
        <v>241</v>
      </c>
      <c r="D441" s="40" t="s">
        <v>222</v>
      </c>
      <c r="E441" s="2"/>
      <c r="F441" s="2"/>
      <c r="G441" s="10" t="e">
        <f>G442</f>
        <v>#REF!</v>
      </c>
    </row>
    <row r="442" spans="1:7" ht="47.25" x14ac:dyDescent="0.25">
      <c r="A442" s="25" t="s">
        <v>138</v>
      </c>
      <c r="B442" s="20" t="s">
        <v>563</v>
      </c>
      <c r="C442" s="40" t="s">
        <v>241</v>
      </c>
      <c r="D442" s="40" t="s">
        <v>222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140</v>
      </c>
      <c r="B443" s="20" t="s">
        <v>563</v>
      </c>
      <c r="C443" s="40" t="s">
        <v>241</v>
      </c>
      <c r="D443" s="40" t="s">
        <v>222</v>
      </c>
      <c r="E443" s="2">
        <v>240</v>
      </c>
      <c r="F443" s="2"/>
      <c r="G443" s="10" t="e">
        <f>'Пр.4 ведом.21'!#REF!</f>
        <v>#REF!</v>
      </c>
    </row>
    <row r="444" spans="1:7" ht="63" x14ac:dyDescent="0.25">
      <c r="A444" s="98" t="s">
        <v>564</v>
      </c>
      <c r="B444" s="20" t="s">
        <v>565</v>
      </c>
      <c r="C444" s="40" t="s">
        <v>241</v>
      </c>
      <c r="D444" s="40" t="s">
        <v>222</v>
      </c>
      <c r="E444" s="2"/>
      <c r="F444" s="2"/>
      <c r="G444" s="10" t="e">
        <f>G445</f>
        <v>#REF!</v>
      </c>
    </row>
    <row r="445" spans="1:7" ht="47.25" x14ac:dyDescent="0.25">
      <c r="A445" s="25" t="s">
        <v>138</v>
      </c>
      <c r="B445" s="20" t="s">
        <v>565</v>
      </c>
      <c r="C445" s="40" t="s">
        <v>241</v>
      </c>
      <c r="D445" s="40" t="s">
        <v>222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140</v>
      </c>
      <c r="B446" s="20" t="s">
        <v>565</v>
      </c>
      <c r="C446" s="40" t="s">
        <v>241</v>
      </c>
      <c r="D446" s="40" t="s">
        <v>222</v>
      </c>
      <c r="E446" s="2">
        <v>240</v>
      </c>
      <c r="F446" s="2"/>
      <c r="G446" s="10" t="e">
        <f>'Пр.4 ведом.21'!#REF!</f>
        <v>#REF!</v>
      </c>
    </row>
    <row r="447" spans="1:7" ht="31.5" x14ac:dyDescent="0.25">
      <c r="A447" s="98" t="s">
        <v>566</v>
      </c>
      <c r="B447" s="20" t="s">
        <v>567</v>
      </c>
      <c r="C447" s="40" t="s">
        <v>241</v>
      </c>
      <c r="D447" s="40" t="s">
        <v>222</v>
      </c>
      <c r="E447" s="2"/>
      <c r="F447" s="2"/>
      <c r="G447" s="10" t="e">
        <f>G448</f>
        <v>#REF!</v>
      </c>
    </row>
    <row r="448" spans="1:7" ht="47.25" x14ac:dyDescent="0.25">
      <c r="A448" s="25" t="s">
        <v>138</v>
      </c>
      <c r="B448" s="20" t="s">
        <v>567</v>
      </c>
      <c r="C448" s="40" t="s">
        <v>241</v>
      </c>
      <c r="D448" s="40" t="s">
        <v>222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140</v>
      </c>
      <c r="B449" s="20" t="s">
        <v>567</v>
      </c>
      <c r="C449" s="40" t="s">
        <v>241</v>
      </c>
      <c r="D449" s="40" t="s">
        <v>222</v>
      </c>
      <c r="E449" s="2">
        <v>240</v>
      </c>
      <c r="F449" s="2"/>
      <c r="G449" s="10" t="e">
        <f>'Пр.4 ведом.21'!#REF!</f>
        <v>#REF!</v>
      </c>
    </row>
    <row r="450" spans="1:7" ht="47.25" x14ac:dyDescent="0.25">
      <c r="A450" s="45" t="s">
        <v>631</v>
      </c>
      <c r="B450" s="20" t="s">
        <v>560</v>
      </c>
      <c r="C450" s="40" t="s">
        <v>241</v>
      </c>
      <c r="D450" s="40" t="s">
        <v>222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188</v>
      </c>
      <c r="B451" s="174" t="s">
        <v>189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124</v>
      </c>
      <c r="B452" s="5" t="s">
        <v>189</v>
      </c>
      <c r="C452" s="40" t="s">
        <v>125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146</v>
      </c>
      <c r="B453" s="30" t="s">
        <v>189</v>
      </c>
      <c r="C453" s="40" t="s">
        <v>125</v>
      </c>
      <c r="D453" s="40" t="s">
        <v>147</v>
      </c>
      <c r="E453" s="40"/>
      <c r="F453" s="2"/>
      <c r="G453" s="10" t="e">
        <f>G454</f>
        <v>#REF!</v>
      </c>
    </row>
    <row r="454" spans="1:7" ht="47.25" x14ac:dyDescent="0.25">
      <c r="A454" s="29" t="s">
        <v>164</v>
      </c>
      <c r="B454" s="20" t="s">
        <v>190</v>
      </c>
      <c r="C454" s="40" t="s">
        <v>125</v>
      </c>
      <c r="D454" s="40" t="s">
        <v>147</v>
      </c>
      <c r="E454" s="40"/>
      <c r="F454" s="2"/>
      <c r="G454" s="10" t="e">
        <f>G455</f>
        <v>#REF!</v>
      </c>
    </row>
    <row r="455" spans="1:7" ht="47.25" x14ac:dyDescent="0.25">
      <c r="A455" s="29" t="s">
        <v>138</v>
      </c>
      <c r="B455" s="20" t="s">
        <v>190</v>
      </c>
      <c r="C455" s="40" t="s">
        <v>125</v>
      </c>
      <c r="D455" s="40" t="s">
        <v>147</v>
      </c>
      <c r="E455" s="40" t="s">
        <v>152</v>
      </c>
      <c r="F455" s="2"/>
      <c r="G455" s="10" t="e">
        <f>G456</f>
        <v>#REF!</v>
      </c>
    </row>
    <row r="456" spans="1:7" ht="78.75" x14ac:dyDescent="0.25">
      <c r="A456" s="29" t="s">
        <v>191</v>
      </c>
      <c r="B456" s="20" t="s">
        <v>190</v>
      </c>
      <c r="C456" s="40" t="s">
        <v>125</v>
      </c>
      <c r="D456" s="40" t="s">
        <v>147</v>
      </c>
      <c r="E456" s="40" t="s">
        <v>167</v>
      </c>
      <c r="F456" s="2"/>
      <c r="G456" s="10" t="e">
        <f>'Пр.4 ведом.21'!#REF!</f>
        <v>#REF!</v>
      </c>
    </row>
    <row r="457" spans="1:7" ht="31.5" x14ac:dyDescent="0.25">
      <c r="A457" s="29" t="s">
        <v>155</v>
      </c>
      <c r="B457" s="30" t="s">
        <v>189</v>
      </c>
      <c r="C457" s="40" t="s">
        <v>125</v>
      </c>
      <c r="D457" s="40" t="s">
        <v>147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664</v>
      </c>
      <c r="B458" s="7" t="s">
        <v>525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397</v>
      </c>
      <c r="B459" s="40" t="s">
        <v>525</v>
      </c>
      <c r="C459" s="40" t="s">
        <v>241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524</v>
      </c>
      <c r="B460" s="40" t="s">
        <v>525</v>
      </c>
      <c r="C460" s="40" t="s">
        <v>241</v>
      </c>
      <c r="D460" s="40" t="s">
        <v>220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526</v>
      </c>
      <c r="B461" s="20" t="s">
        <v>527</v>
      </c>
      <c r="C461" s="40" t="s">
        <v>241</v>
      </c>
      <c r="D461" s="40" t="s">
        <v>220</v>
      </c>
      <c r="E461" s="73"/>
      <c r="F461" s="2"/>
      <c r="G461" s="10">
        <f>G462</f>
        <v>0</v>
      </c>
    </row>
    <row r="462" spans="1:7" ht="47.25" hidden="1" x14ac:dyDescent="0.25">
      <c r="A462" s="29" t="s">
        <v>138</v>
      </c>
      <c r="B462" s="20" t="s">
        <v>527</v>
      </c>
      <c r="C462" s="40" t="s">
        <v>241</v>
      </c>
      <c r="D462" s="40" t="s">
        <v>220</v>
      </c>
      <c r="E462" s="40" t="s">
        <v>139</v>
      </c>
      <c r="F462" s="2"/>
      <c r="G462" s="10">
        <f>G463</f>
        <v>0</v>
      </c>
    </row>
    <row r="463" spans="1:7" ht="47.25" hidden="1" x14ac:dyDescent="0.25">
      <c r="A463" s="29" t="s">
        <v>140</v>
      </c>
      <c r="B463" s="20" t="s">
        <v>527</v>
      </c>
      <c r="C463" s="40" t="s">
        <v>241</v>
      </c>
      <c r="D463" s="40" t="s">
        <v>220</v>
      </c>
      <c r="E463" s="40" t="s">
        <v>141</v>
      </c>
      <c r="F463" s="2"/>
      <c r="G463" s="10"/>
    </row>
    <row r="464" spans="1:7" ht="47.25" hidden="1" x14ac:dyDescent="0.25">
      <c r="A464" s="45" t="s">
        <v>631</v>
      </c>
      <c r="B464" s="20" t="s">
        <v>527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528</v>
      </c>
      <c r="B465" s="20" t="s">
        <v>529</v>
      </c>
      <c r="C465" s="40" t="s">
        <v>241</v>
      </c>
      <c r="D465" s="40" t="s">
        <v>220</v>
      </c>
      <c r="E465" s="40"/>
      <c r="F465" s="2"/>
      <c r="G465" s="10" t="e">
        <f>G466</f>
        <v>#REF!</v>
      </c>
    </row>
    <row r="466" spans="1:7" ht="47.25" x14ac:dyDescent="0.25">
      <c r="A466" s="31" t="s">
        <v>138</v>
      </c>
      <c r="B466" s="20" t="s">
        <v>529</v>
      </c>
      <c r="C466" s="40" t="s">
        <v>241</v>
      </c>
      <c r="D466" s="40" t="s">
        <v>220</v>
      </c>
      <c r="E466" s="40" t="s">
        <v>139</v>
      </c>
      <c r="F466" s="2"/>
      <c r="G466" s="10" t="e">
        <f>G467</f>
        <v>#REF!</v>
      </c>
    </row>
    <row r="467" spans="1:7" ht="47.25" x14ac:dyDescent="0.25">
      <c r="A467" s="31" t="s">
        <v>140</v>
      </c>
      <c r="B467" s="20" t="s">
        <v>529</v>
      </c>
      <c r="C467" s="40" t="s">
        <v>241</v>
      </c>
      <c r="D467" s="40" t="s">
        <v>220</v>
      </c>
      <c r="E467" s="40" t="s">
        <v>141</v>
      </c>
      <c r="F467" s="2"/>
      <c r="G467" s="10" t="e">
        <f>'Пр.4 ведом.21'!#REF!</f>
        <v>#REF!</v>
      </c>
    </row>
    <row r="468" spans="1:7" ht="15.75" x14ac:dyDescent="0.25">
      <c r="A468" s="98" t="s">
        <v>530</v>
      </c>
      <c r="B468" s="20" t="s">
        <v>531</v>
      </c>
      <c r="C468" s="40" t="s">
        <v>241</v>
      </c>
      <c r="D468" s="40" t="s">
        <v>220</v>
      </c>
      <c r="E468" s="40"/>
      <c r="F468" s="2"/>
      <c r="G468" s="10" t="e">
        <f>G469</f>
        <v>#REF!</v>
      </c>
    </row>
    <row r="469" spans="1:7" ht="47.25" x14ac:dyDescent="0.25">
      <c r="A469" s="31" t="s">
        <v>138</v>
      </c>
      <c r="B469" s="20" t="s">
        <v>531</v>
      </c>
      <c r="C469" s="40" t="s">
        <v>241</v>
      </c>
      <c r="D469" s="40" t="s">
        <v>220</v>
      </c>
      <c r="E469" s="40" t="s">
        <v>139</v>
      </c>
      <c r="F469" s="2"/>
      <c r="G469" s="10" t="e">
        <f>G470</f>
        <v>#REF!</v>
      </c>
    </row>
    <row r="470" spans="1:7" ht="47.25" x14ac:dyDescent="0.25">
      <c r="A470" s="31" t="s">
        <v>140</v>
      </c>
      <c r="B470" s="20" t="s">
        <v>531</v>
      </c>
      <c r="C470" s="40" t="s">
        <v>241</v>
      </c>
      <c r="D470" s="40" t="s">
        <v>220</v>
      </c>
      <c r="E470" s="40" t="s">
        <v>141</v>
      </c>
      <c r="F470" s="2"/>
      <c r="G470" s="10" t="e">
        <f>'Пр.4 ведом.21'!#REF!</f>
        <v>#REF!</v>
      </c>
    </row>
    <row r="471" spans="1:7" ht="15.75" x14ac:dyDescent="0.25">
      <c r="A471" s="98" t="s">
        <v>532</v>
      </c>
      <c r="B471" s="20" t="s">
        <v>533</v>
      </c>
      <c r="C471" s="40" t="s">
        <v>241</v>
      </c>
      <c r="D471" s="40" t="s">
        <v>220</v>
      </c>
      <c r="E471" s="40"/>
      <c r="F471" s="2"/>
      <c r="G471" s="10" t="e">
        <f>G472</f>
        <v>#REF!</v>
      </c>
    </row>
    <row r="472" spans="1:7" ht="47.25" x14ac:dyDescent="0.25">
      <c r="A472" s="31" t="s">
        <v>138</v>
      </c>
      <c r="B472" s="20" t="s">
        <v>533</v>
      </c>
      <c r="C472" s="40" t="s">
        <v>241</v>
      </c>
      <c r="D472" s="40" t="s">
        <v>220</v>
      </c>
      <c r="E472" s="40" t="s">
        <v>139</v>
      </c>
      <c r="F472" s="2"/>
      <c r="G472" s="10" t="e">
        <f>G473</f>
        <v>#REF!</v>
      </c>
    </row>
    <row r="473" spans="1:7" ht="47.25" x14ac:dyDescent="0.25">
      <c r="A473" s="31" t="s">
        <v>140</v>
      </c>
      <c r="B473" s="20" t="s">
        <v>533</v>
      </c>
      <c r="C473" s="40" t="s">
        <v>241</v>
      </c>
      <c r="D473" s="40" t="s">
        <v>220</v>
      </c>
      <c r="E473" s="40" t="s">
        <v>141</v>
      </c>
      <c r="F473" s="2"/>
      <c r="G473" s="10" t="e">
        <f>'Пр.4 ведом.21'!#REF!</f>
        <v>#REF!</v>
      </c>
    </row>
    <row r="474" spans="1:7" ht="31.5" x14ac:dyDescent="0.25">
      <c r="A474" s="98" t="s">
        <v>534</v>
      </c>
      <c r="B474" s="20" t="s">
        <v>535</v>
      </c>
      <c r="C474" s="40" t="s">
        <v>241</v>
      </c>
      <c r="D474" s="40" t="s">
        <v>220</v>
      </c>
      <c r="E474" s="40"/>
      <c r="F474" s="2"/>
      <c r="G474" s="10" t="e">
        <f>G475</f>
        <v>#REF!</v>
      </c>
    </row>
    <row r="475" spans="1:7" ht="47.25" x14ac:dyDescent="0.25">
      <c r="A475" s="31" t="s">
        <v>138</v>
      </c>
      <c r="B475" s="20" t="s">
        <v>535</v>
      </c>
      <c r="C475" s="40" t="s">
        <v>241</v>
      </c>
      <c r="D475" s="40" t="s">
        <v>220</v>
      </c>
      <c r="E475" s="40" t="s">
        <v>139</v>
      </c>
      <c r="F475" s="2"/>
      <c r="G475" s="10" t="e">
        <f>G476</f>
        <v>#REF!</v>
      </c>
    </row>
    <row r="476" spans="1:7" ht="47.25" x14ac:dyDescent="0.25">
      <c r="A476" s="31" t="s">
        <v>140</v>
      </c>
      <c r="B476" s="20" t="s">
        <v>535</v>
      </c>
      <c r="C476" s="40" t="s">
        <v>241</v>
      </c>
      <c r="D476" s="40" t="s">
        <v>220</v>
      </c>
      <c r="E476" s="40" t="s">
        <v>141</v>
      </c>
      <c r="F476" s="2"/>
      <c r="G476" s="10" t="e">
        <f>'Пр.4 ведом.21'!#REF!</f>
        <v>#REF!</v>
      </c>
    </row>
    <row r="477" spans="1:7" ht="15.75" x14ac:dyDescent="0.25">
      <c r="A477" s="98" t="s">
        <v>536</v>
      </c>
      <c r="B477" s="20" t="s">
        <v>537</v>
      </c>
      <c r="C477" s="40" t="s">
        <v>241</v>
      </c>
      <c r="D477" s="40" t="s">
        <v>220</v>
      </c>
      <c r="E477" s="40"/>
      <c r="F477" s="2"/>
      <c r="G477" s="10" t="e">
        <f>G478</f>
        <v>#REF!</v>
      </c>
    </row>
    <row r="478" spans="1:7" ht="47.25" x14ac:dyDescent="0.25">
      <c r="A478" s="31" t="s">
        <v>138</v>
      </c>
      <c r="B478" s="20" t="s">
        <v>537</v>
      </c>
      <c r="C478" s="40" t="s">
        <v>241</v>
      </c>
      <c r="D478" s="40" t="s">
        <v>220</v>
      </c>
      <c r="E478" s="40" t="s">
        <v>139</v>
      </c>
      <c r="F478" s="2"/>
      <c r="G478" s="10" t="e">
        <f>G479</f>
        <v>#REF!</v>
      </c>
    </row>
    <row r="479" spans="1:7" ht="47.25" x14ac:dyDescent="0.25">
      <c r="A479" s="31" t="s">
        <v>140</v>
      </c>
      <c r="B479" s="20" t="s">
        <v>537</v>
      </c>
      <c r="C479" s="40" t="s">
        <v>241</v>
      </c>
      <c r="D479" s="40" t="s">
        <v>220</v>
      </c>
      <c r="E479" s="40" t="s">
        <v>141</v>
      </c>
      <c r="F479" s="2"/>
      <c r="G479" s="10" t="e">
        <f>'Пр.4 ведом.21'!#REF!</f>
        <v>#REF!</v>
      </c>
    </row>
    <row r="480" spans="1:7" ht="31.5" hidden="1" x14ac:dyDescent="0.25">
      <c r="A480" s="97" t="s">
        <v>538</v>
      </c>
      <c r="B480" s="20" t="s">
        <v>539</v>
      </c>
      <c r="C480" s="40" t="s">
        <v>241</v>
      </c>
      <c r="D480" s="40" t="s">
        <v>220</v>
      </c>
      <c r="E480" s="40"/>
      <c r="F480" s="2"/>
      <c r="G480" s="10">
        <f>G481</f>
        <v>0</v>
      </c>
    </row>
    <row r="481" spans="1:7" ht="47.25" hidden="1" x14ac:dyDescent="0.25">
      <c r="A481" s="31" t="s">
        <v>138</v>
      </c>
      <c r="B481" s="20" t="s">
        <v>539</v>
      </c>
      <c r="C481" s="40" t="s">
        <v>241</v>
      </c>
      <c r="D481" s="40" t="s">
        <v>220</v>
      </c>
      <c r="E481" s="40"/>
      <c r="F481" s="2"/>
      <c r="G481" s="10">
        <f>G482</f>
        <v>0</v>
      </c>
    </row>
    <row r="482" spans="1:7" ht="47.25" hidden="1" x14ac:dyDescent="0.25">
      <c r="A482" s="31" t="s">
        <v>140</v>
      </c>
      <c r="B482" s="20" t="s">
        <v>539</v>
      </c>
      <c r="C482" s="40" t="s">
        <v>241</v>
      </c>
      <c r="D482" s="40" t="s">
        <v>220</v>
      </c>
      <c r="E482" s="40"/>
      <c r="F482" s="2"/>
      <c r="G482" s="10"/>
    </row>
    <row r="483" spans="1:7" ht="31.5" x14ac:dyDescent="0.25">
      <c r="A483" s="97" t="s">
        <v>540</v>
      </c>
      <c r="B483" s="20" t="s">
        <v>541</v>
      </c>
      <c r="C483" s="40" t="s">
        <v>241</v>
      </c>
      <c r="D483" s="40" t="s">
        <v>220</v>
      </c>
      <c r="E483" s="40"/>
      <c r="F483" s="2"/>
      <c r="G483" s="10" t="e">
        <f>G484</f>
        <v>#REF!</v>
      </c>
    </row>
    <row r="484" spans="1:7" ht="47.25" x14ac:dyDescent="0.3">
      <c r="A484" s="25" t="s">
        <v>138</v>
      </c>
      <c r="B484" s="20" t="s">
        <v>541</v>
      </c>
      <c r="C484" s="40" t="s">
        <v>241</v>
      </c>
      <c r="D484" s="40" t="s">
        <v>220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140</v>
      </c>
      <c r="B485" s="20" t="s">
        <v>541</v>
      </c>
      <c r="C485" s="40" t="s">
        <v>241</v>
      </c>
      <c r="D485" s="40" t="s">
        <v>220</v>
      </c>
      <c r="E485" s="2">
        <v>240</v>
      </c>
      <c r="F485" s="77"/>
      <c r="G485" s="6" t="e">
        <f>'Пр.4 ведом.21'!#REF!</f>
        <v>#REF!</v>
      </c>
    </row>
    <row r="486" spans="1:7" ht="47.25" x14ac:dyDescent="0.25">
      <c r="A486" s="45" t="s">
        <v>631</v>
      </c>
      <c r="B486" s="20" t="s">
        <v>525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341</v>
      </c>
      <c r="B487" s="24" t="s">
        <v>342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270</v>
      </c>
      <c r="B488" s="20" t="s">
        <v>342</v>
      </c>
      <c r="C488" s="40" t="s">
        <v>271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302</v>
      </c>
      <c r="B489" s="20" t="s">
        <v>342</v>
      </c>
      <c r="C489" s="40" t="s">
        <v>271</v>
      </c>
      <c r="D489" s="40" t="s">
        <v>226</v>
      </c>
      <c r="E489" s="2"/>
      <c r="F489" s="2"/>
      <c r="G489" s="6" t="e">
        <f>G490+G493</f>
        <v>#REF!</v>
      </c>
    </row>
    <row r="490" spans="1:7" ht="47.25" x14ac:dyDescent="0.25">
      <c r="A490" s="25" t="s">
        <v>343</v>
      </c>
      <c r="B490" s="20" t="s">
        <v>344</v>
      </c>
      <c r="C490" s="40" t="s">
        <v>271</v>
      </c>
      <c r="D490" s="40" t="s">
        <v>226</v>
      </c>
      <c r="E490" s="2"/>
      <c r="F490" s="2"/>
      <c r="G490" s="6" t="e">
        <f>G491</f>
        <v>#REF!</v>
      </c>
    </row>
    <row r="491" spans="1:7" ht="47.25" x14ac:dyDescent="0.25">
      <c r="A491" s="25" t="s">
        <v>138</v>
      </c>
      <c r="B491" s="20" t="s">
        <v>344</v>
      </c>
      <c r="C491" s="40" t="s">
        <v>271</v>
      </c>
      <c r="D491" s="40" t="s">
        <v>226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140</v>
      </c>
      <c r="B492" s="20" t="s">
        <v>344</v>
      </c>
      <c r="C492" s="40" t="s">
        <v>271</v>
      </c>
      <c r="D492" s="40" t="s">
        <v>226</v>
      </c>
      <c r="E492" s="2">
        <v>240</v>
      </c>
      <c r="F492" s="2"/>
      <c r="G492" s="6" t="e">
        <f>'Пр.4 ведом.21'!#REF!</f>
        <v>#REF!</v>
      </c>
    </row>
    <row r="493" spans="1:7" ht="78.75" x14ac:dyDescent="0.25">
      <c r="A493" s="25" t="s">
        <v>483</v>
      </c>
      <c r="B493" s="20" t="s">
        <v>484</v>
      </c>
      <c r="C493" s="40" t="s">
        <v>271</v>
      </c>
      <c r="D493" s="40" t="s">
        <v>226</v>
      </c>
      <c r="E493" s="2"/>
      <c r="F493" s="2"/>
      <c r="G493" s="6" t="e">
        <f>G494+G496</f>
        <v>#REF!</v>
      </c>
    </row>
    <row r="494" spans="1:7" ht="110.25" x14ac:dyDescent="0.25">
      <c r="A494" s="25" t="s">
        <v>134</v>
      </c>
      <c r="B494" s="20" t="s">
        <v>484</v>
      </c>
      <c r="C494" s="40" t="s">
        <v>271</v>
      </c>
      <c r="D494" s="40" t="s">
        <v>226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349</v>
      </c>
      <c r="B495" s="20" t="s">
        <v>484</v>
      </c>
      <c r="C495" s="40" t="s">
        <v>271</v>
      </c>
      <c r="D495" s="40" t="s">
        <v>226</v>
      </c>
      <c r="E495" s="2">
        <v>110</v>
      </c>
      <c r="F495" s="2"/>
      <c r="G495" s="6" t="e">
        <f>'Пр.4 ведом.21'!#REF!</f>
        <v>#REF!</v>
      </c>
    </row>
    <row r="496" spans="1:7" ht="47.25" x14ac:dyDescent="0.25">
      <c r="A496" s="25" t="s">
        <v>138</v>
      </c>
      <c r="B496" s="20" t="s">
        <v>484</v>
      </c>
      <c r="C496" s="40" t="s">
        <v>271</v>
      </c>
      <c r="D496" s="40" t="s">
        <v>226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140</v>
      </c>
      <c r="B497" s="20" t="s">
        <v>484</v>
      </c>
      <c r="C497" s="40" t="s">
        <v>271</v>
      </c>
      <c r="D497" s="40" t="s">
        <v>226</v>
      </c>
      <c r="E497" s="2">
        <v>240</v>
      </c>
      <c r="F497" s="2"/>
      <c r="G497" s="6" t="e">
        <f>'Пр.4 ведом.21'!#REF!</f>
        <v>#REF!</v>
      </c>
    </row>
    <row r="498" spans="1:9" ht="47.25" x14ac:dyDescent="0.25">
      <c r="A498" s="29" t="s">
        <v>410</v>
      </c>
      <c r="B498" s="20" t="s">
        <v>342</v>
      </c>
      <c r="C498" s="40" t="s">
        <v>271</v>
      </c>
      <c r="D498" s="40" t="s">
        <v>226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305</v>
      </c>
      <c r="B499" s="20" t="s">
        <v>342</v>
      </c>
      <c r="C499" s="40" t="s">
        <v>306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340</v>
      </c>
      <c r="B500" s="20" t="s">
        <v>342</v>
      </c>
      <c r="C500" s="40" t="s">
        <v>306</v>
      </c>
      <c r="D500" s="40" t="s">
        <v>157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343</v>
      </c>
      <c r="B501" s="20" t="s">
        <v>344</v>
      </c>
      <c r="C501" s="40" t="s">
        <v>306</v>
      </c>
      <c r="D501" s="40" t="s">
        <v>157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138</v>
      </c>
      <c r="B502" s="20" t="s">
        <v>344</v>
      </c>
      <c r="C502" s="40" t="s">
        <v>306</v>
      </c>
      <c r="D502" s="40" t="s">
        <v>157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140</v>
      </c>
      <c r="B503" s="20" t="s">
        <v>344</v>
      </c>
      <c r="C503" s="40" t="s">
        <v>306</v>
      </c>
      <c r="D503" s="40" t="s">
        <v>157</v>
      </c>
      <c r="E503" s="2">
        <v>240</v>
      </c>
      <c r="F503" s="2"/>
      <c r="G503" s="6" t="e">
        <f>'Пр.4 ведом.21'!#REF!</f>
        <v>#REF!</v>
      </c>
    </row>
    <row r="504" spans="1:9" ht="31.5" x14ac:dyDescent="0.25">
      <c r="A504" s="25" t="s">
        <v>345</v>
      </c>
      <c r="B504" s="20" t="s">
        <v>346</v>
      </c>
      <c r="C504" s="40" t="s">
        <v>306</v>
      </c>
      <c r="D504" s="40" t="s">
        <v>157</v>
      </c>
      <c r="E504" s="2"/>
      <c r="F504" s="2"/>
      <c r="G504" s="6" t="e">
        <f>G505</f>
        <v>#REF!</v>
      </c>
    </row>
    <row r="505" spans="1:9" ht="47.25" x14ac:dyDescent="0.25">
      <c r="A505" s="25" t="s">
        <v>138</v>
      </c>
      <c r="B505" s="20" t="s">
        <v>346</v>
      </c>
      <c r="C505" s="40" t="s">
        <v>306</v>
      </c>
      <c r="D505" s="40" t="s">
        <v>157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140</v>
      </c>
      <c r="B506" s="20" t="s">
        <v>346</v>
      </c>
      <c r="C506" s="40" t="s">
        <v>306</v>
      </c>
      <c r="D506" s="40" t="s">
        <v>157</v>
      </c>
      <c r="E506" s="2">
        <v>240</v>
      </c>
      <c r="F506" s="2"/>
      <c r="G506" s="6" t="e">
        <f>'Пр.4 ведом.21'!#REF!</f>
        <v>#REF!</v>
      </c>
    </row>
    <row r="507" spans="1:9" ht="47.25" x14ac:dyDescent="0.25">
      <c r="A507" s="25" t="s">
        <v>687</v>
      </c>
      <c r="B507" s="20" t="s">
        <v>688</v>
      </c>
      <c r="C507" s="40" t="s">
        <v>306</v>
      </c>
      <c r="D507" s="40" t="s">
        <v>157</v>
      </c>
      <c r="E507" s="2"/>
      <c r="F507" s="2"/>
      <c r="G507" s="6" t="e">
        <f>G508</f>
        <v>#REF!</v>
      </c>
    </row>
    <row r="508" spans="1:9" ht="47.25" x14ac:dyDescent="0.25">
      <c r="A508" s="25" t="s">
        <v>138</v>
      </c>
      <c r="B508" s="20" t="s">
        <v>688</v>
      </c>
      <c r="C508" s="40" t="s">
        <v>306</v>
      </c>
      <c r="D508" s="40" t="s">
        <v>157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140</v>
      </c>
      <c r="B509" s="20" t="s">
        <v>688</v>
      </c>
      <c r="C509" s="40" t="s">
        <v>306</v>
      </c>
      <c r="D509" s="40" t="s">
        <v>157</v>
      </c>
      <c r="E509" s="2">
        <v>240</v>
      </c>
      <c r="F509" s="2"/>
      <c r="G509" s="6" t="e">
        <f>'Пр.4 ведом.21'!#REF!</f>
        <v>#REF!</v>
      </c>
    </row>
    <row r="510" spans="1:9" ht="63" x14ac:dyDescent="0.25">
      <c r="A510" s="45" t="s">
        <v>268</v>
      </c>
      <c r="B510" s="20" t="s">
        <v>342</v>
      </c>
      <c r="C510" s="40" t="s">
        <v>306</v>
      </c>
      <c r="D510" s="40" t="s">
        <v>157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717</v>
      </c>
      <c r="B511" s="24" t="s">
        <v>715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124</v>
      </c>
      <c r="B512" s="20" t="s">
        <v>715</v>
      </c>
      <c r="C512" s="40" t="s">
        <v>125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146</v>
      </c>
      <c r="B513" s="20" t="s">
        <v>715</v>
      </c>
      <c r="C513" s="40" t="s">
        <v>125</v>
      </c>
      <c r="D513" s="40" t="s">
        <v>147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164</v>
      </c>
      <c r="B514" s="20" t="s">
        <v>723</v>
      </c>
      <c r="C514" s="40" t="s">
        <v>125</v>
      </c>
      <c r="D514" s="40" t="s">
        <v>147</v>
      </c>
      <c r="E514" s="2"/>
      <c r="F514" s="2"/>
      <c r="G514" s="6" t="e">
        <f>G515</f>
        <v>#REF!</v>
      </c>
    </row>
    <row r="515" spans="1:9" ht="47.25" x14ac:dyDescent="0.25">
      <c r="A515" s="25" t="s">
        <v>138</v>
      </c>
      <c r="B515" s="20" t="s">
        <v>723</v>
      </c>
      <c r="C515" s="40" t="s">
        <v>125</v>
      </c>
      <c r="D515" s="40" t="s">
        <v>147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140</v>
      </c>
      <c r="B516" s="20" t="s">
        <v>723</v>
      </c>
      <c r="C516" s="40" t="s">
        <v>125</v>
      </c>
      <c r="D516" s="40" t="s">
        <v>147</v>
      </c>
      <c r="E516" s="2">
        <v>240</v>
      </c>
      <c r="F516" s="2"/>
      <c r="G516" s="6" t="e">
        <f>'Пр.4 ведом.21'!#REF!</f>
        <v>#REF!</v>
      </c>
    </row>
    <row r="517" spans="1:9" ht="66.2" hidden="1" customHeight="1" x14ac:dyDescent="0.25">
      <c r="A517" s="29"/>
      <c r="B517" s="20" t="s">
        <v>716</v>
      </c>
      <c r="C517" s="40" t="s">
        <v>125</v>
      </c>
      <c r="D517" s="40" t="s">
        <v>147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138</v>
      </c>
      <c r="B518" s="20" t="s">
        <v>716</v>
      </c>
      <c r="C518" s="40" t="s">
        <v>125</v>
      </c>
      <c r="D518" s="40" t="s">
        <v>147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140</v>
      </c>
      <c r="B519" s="20" t="s">
        <v>716</v>
      </c>
      <c r="C519" s="40" t="s">
        <v>125</v>
      </c>
      <c r="D519" s="40" t="s">
        <v>147</v>
      </c>
      <c r="E519" s="2">
        <v>240</v>
      </c>
      <c r="F519" s="2"/>
      <c r="G519" s="6" t="e">
        <f>'Пр.4 ведом.21'!#REF!</f>
        <v>#REF!</v>
      </c>
    </row>
    <row r="520" spans="1:9" ht="31.5" x14ac:dyDescent="0.25">
      <c r="A520" s="29" t="s">
        <v>155</v>
      </c>
      <c r="B520" s="20" t="s">
        <v>715</v>
      </c>
      <c r="C520" s="40" t="s">
        <v>125</v>
      </c>
      <c r="D520" s="40" t="s">
        <v>147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305</v>
      </c>
      <c r="B521" s="20" t="s">
        <v>715</v>
      </c>
      <c r="C521" s="40" t="s">
        <v>306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340</v>
      </c>
      <c r="B522" s="20" t="s">
        <v>715</v>
      </c>
      <c r="C522" s="40" t="s">
        <v>306</v>
      </c>
      <c r="D522" s="40" t="s">
        <v>157</v>
      </c>
      <c r="E522" s="2"/>
      <c r="F522" s="2"/>
      <c r="G522" s="6" t="e">
        <f>G523</f>
        <v>#REF!</v>
      </c>
    </row>
    <row r="523" spans="1:9" ht="47.25" x14ac:dyDescent="0.25">
      <c r="A523" s="31" t="s">
        <v>164</v>
      </c>
      <c r="B523" s="20" t="s">
        <v>723</v>
      </c>
      <c r="C523" s="40" t="s">
        <v>306</v>
      </c>
      <c r="D523" s="40" t="s">
        <v>157</v>
      </c>
      <c r="E523" s="2"/>
      <c r="F523" s="2"/>
      <c r="G523" s="6" t="e">
        <f>G524</f>
        <v>#REF!</v>
      </c>
    </row>
    <row r="524" spans="1:9" ht="47.25" x14ac:dyDescent="0.25">
      <c r="A524" s="25" t="s">
        <v>138</v>
      </c>
      <c r="B524" s="20" t="s">
        <v>723</v>
      </c>
      <c r="C524" s="40" t="s">
        <v>306</v>
      </c>
      <c r="D524" s="40" t="s">
        <v>157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140</v>
      </c>
      <c r="B525" s="20" t="s">
        <v>723</v>
      </c>
      <c r="C525" s="40" t="s">
        <v>306</v>
      </c>
      <c r="D525" s="40" t="s">
        <v>157</v>
      </c>
      <c r="E525" s="2">
        <v>240</v>
      </c>
      <c r="F525" s="2"/>
      <c r="G525" s="6" t="e">
        <f>'Пр.4 ведом.21'!#REF!</f>
        <v>#REF!</v>
      </c>
    </row>
    <row r="526" spans="1:9" ht="63" x14ac:dyDescent="0.25">
      <c r="A526" s="45" t="s">
        <v>268</v>
      </c>
      <c r="B526" s="20" t="s">
        <v>715</v>
      </c>
      <c r="C526" s="40" t="s">
        <v>306</v>
      </c>
      <c r="D526" s="40" t="s">
        <v>157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719</v>
      </c>
      <c r="B527" s="24" t="s">
        <v>721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397</v>
      </c>
      <c r="B528" s="20" t="s">
        <v>721</v>
      </c>
      <c r="C528" s="40" t="s">
        <v>241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548</v>
      </c>
      <c r="B529" s="20" t="s">
        <v>721</v>
      </c>
      <c r="C529" s="40" t="s">
        <v>241</v>
      </c>
      <c r="D529" s="40" t="s">
        <v>222</v>
      </c>
      <c r="E529" s="2"/>
      <c r="F529" s="2"/>
      <c r="G529" s="6" t="e">
        <f>G530</f>
        <v>#REF!</v>
      </c>
    </row>
    <row r="530" spans="1:7" ht="31.5" x14ac:dyDescent="0.25">
      <c r="A530" s="126" t="s">
        <v>720</v>
      </c>
      <c r="B530" s="20" t="s">
        <v>722</v>
      </c>
      <c r="C530" s="40" t="s">
        <v>241</v>
      </c>
      <c r="D530" s="40" t="s">
        <v>222</v>
      </c>
      <c r="E530" s="2"/>
      <c r="F530" s="2"/>
      <c r="G530" s="6" t="e">
        <f>G531</f>
        <v>#REF!</v>
      </c>
    </row>
    <row r="531" spans="1:7" ht="47.25" x14ac:dyDescent="0.25">
      <c r="A531" s="25" t="s">
        <v>138</v>
      </c>
      <c r="B531" s="20" t="s">
        <v>722</v>
      </c>
      <c r="C531" s="40" t="s">
        <v>241</v>
      </c>
      <c r="D531" s="40" t="s">
        <v>222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140</v>
      </c>
      <c r="B532" s="20" t="s">
        <v>722</v>
      </c>
      <c r="C532" s="40" t="s">
        <v>241</v>
      </c>
      <c r="D532" s="40" t="s">
        <v>222</v>
      </c>
      <c r="E532" s="2">
        <v>240</v>
      </c>
      <c r="F532" s="2"/>
      <c r="G532" s="6" t="e">
        <f>'Пр.4 ведом.21'!#REF!</f>
        <v>#REF!</v>
      </c>
    </row>
    <row r="533" spans="1:7" ht="47.25" x14ac:dyDescent="0.25">
      <c r="A533" s="45" t="s">
        <v>631</v>
      </c>
      <c r="B533" s="20" t="s">
        <v>721</v>
      </c>
      <c r="C533" s="40" t="s">
        <v>241</v>
      </c>
      <c r="D533" s="40" t="s">
        <v>222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665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J904" sqref="J90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203"/>
      <c r="B1" s="203"/>
      <c r="C1" s="203"/>
      <c r="D1" s="203"/>
      <c r="E1" s="203"/>
      <c r="F1" s="203"/>
      <c r="G1" s="479" t="s">
        <v>1568</v>
      </c>
      <c r="H1" s="479"/>
    </row>
    <row r="2" spans="1:8" ht="15.75" x14ac:dyDescent="0.25">
      <c r="A2" s="203"/>
      <c r="B2" s="203"/>
      <c r="C2" s="203"/>
      <c r="D2" s="203"/>
      <c r="E2" s="203"/>
      <c r="F2" s="203"/>
      <c r="G2" s="479" t="s">
        <v>1567</v>
      </c>
      <c r="H2" s="479"/>
    </row>
    <row r="3" spans="1:8" ht="15.75" x14ac:dyDescent="0.25">
      <c r="A3" s="203"/>
      <c r="B3" s="203"/>
      <c r="C3" s="203"/>
      <c r="D3" s="203"/>
      <c r="E3" s="203"/>
      <c r="F3" s="62"/>
      <c r="G3" s="462" t="s">
        <v>1561</v>
      </c>
      <c r="H3" s="462"/>
    </row>
    <row r="4" spans="1:8" s="202" customFormat="1" ht="15.75" x14ac:dyDescent="0.25">
      <c r="A4" s="203"/>
      <c r="B4" s="203"/>
      <c r="C4" s="203"/>
      <c r="D4" s="203"/>
      <c r="E4" s="203"/>
      <c r="F4" s="62"/>
      <c r="G4" s="115"/>
      <c r="H4" s="267"/>
    </row>
    <row r="5" spans="1:8" ht="44.45" customHeight="1" x14ac:dyDescent="0.25">
      <c r="A5" s="478" t="s">
        <v>1343</v>
      </c>
      <c r="B5" s="478"/>
      <c r="C5" s="478"/>
      <c r="D5" s="478"/>
      <c r="E5" s="478"/>
      <c r="F5" s="478"/>
      <c r="G5" s="478"/>
      <c r="H5" s="478"/>
    </row>
    <row r="6" spans="1:8" ht="16.5" x14ac:dyDescent="0.25">
      <c r="A6" s="237"/>
      <c r="B6" s="237"/>
      <c r="C6" s="237"/>
      <c r="D6" s="237"/>
      <c r="E6" s="237"/>
      <c r="F6" s="237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68" t="s">
        <v>1</v>
      </c>
    </row>
    <row r="8" spans="1:8" ht="31.5" x14ac:dyDescent="0.25">
      <c r="A8" s="66" t="s">
        <v>600</v>
      </c>
      <c r="B8" s="66" t="s">
        <v>625</v>
      </c>
      <c r="C8" s="66" t="s">
        <v>626</v>
      </c>
      <c r="D8" s="66" t="s">
        <v>627</v>
      </c>
      <c r="E8" s="66" t="s">
        <v>628</v>
      </c>
      <c r="F8" s="66" t="s">
        <v>629</v>
      </c>
      <c r="G8" s="382" t="s">
        <v>1037</v>
      </c>
      <c r="H8" s="372" t="s">
        <v>1305</v>
      </c>
    </row>
    <row r="9" spans="1:8" ht="47.25" x14ac:dyDescent="0.25">
      <c r="A9" s="58" t="s">
        <v>1387</v>
      </c>
      <c r="B9" s="7" t="s">
        <v>517</v>
      </c>
      <c r="C9" s="7"/>
      <c r="D9" s="7"/>
      <c r="E9" s="7"/>
      <c r="F9" s="7"/>
      <c r="G9" s="4">
        <f>G10+G17</f>
        <v>2319</v>
      </c>
      <c r="H9" s="4">
        <f>H10+H17</f>
        <v>2319</v>
      </c>
    </row>
    <row r="10" spans="1:8" ht="36" hidden="1" customHeight="1" x14ac:dyDescent="0.25">
      <c r="A10" s="34" t="s">
        <v>1009</v>
      </c>
      <c r="B10" s="7" t="s">
        <v>968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239</v>
      </c>
      <c r="B11" s="40" t="s">
        <v>968</v>
      </c>
      <c r="C11" s="40" t="s">
        <v>157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515</v>
      </c>
      <c r="B12" s="40" t="s">
        <v>968</v>
      </c>
      <c r="C12" s="40" t="s">
        <v>157</v>
      </c>
      <c r="D12" s="40" t="s">
        <v>226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1011</v>
      </c>
      <c r="B13" s="40" t="s">
        <v>1010</v>
      </c>
      <c r="C13" s="40" t="s">
        <v>157</v>
      </c>
      <c r="D13" s="40" t="s">
        <v>226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138</v>
      </c>
      <c r="B14" s="40" t="s">
        <v>1010</v>
      </c>
      <c r="C14" s="40" t="s">
        <v>157</v>
      </c>
      <c r="D14" s="40" t="s">
        <v>226</v>
      </c>
      <c r="E14" s="40" t="s">
        <v>139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140</v>
      </c>
      <c r="B15" s="40" t="s">
        <v>1010</v>
      </c>
      <c r="C15" s="40" t="s">
        <v>157</v>
      </c>
      <c r="D15" s="40" t="s">
        <v>226</v>
      </c>
      <c r="E15" s="40" t="s">
        <v>141</v>
      </c>
      <c r="F15" s="40"/>
      <c r="G15" s="6">
        <f>'пр.6.1.ведом.22-23'!G865</f>
        <v>0</v>
      </c>
      <c r="H15" s="6">
        <f>'пр.6.1.ведом.22-23'!H865</f>
        <v>0</v>
      </c>
    </row>
    <row r="16" spans="1:8" ht="47.25" hidden="1" x14ac:dyDescent="0.25">
      <c r="A16" s="45" t="s">
        <v>631</v>
      </c>
      <c r="B16" s="40" t="s">
        <v>1010</v>
      </c>
      <c r="C16" s="40" t="s">
        <v>157</v>
      </c>
      <c r="D16" s="40" t="s">
        <v>226</v>
      </c>
      <c r="E16" s="40" t="s">
        <v>141</v>
      </c>
      <c r="F16" s="40" t="s">
        <v>632</v>
      </c>
      <c r="G16" s="6">
        <f>G15</f>
        <v>0</v>
      </c>
      <c r="H16" s="6">
        <f>H15</f>
        <v>0</v>
      </c>
    </row>
    <row r="17" spans="1:8" ht="47.25" x14ac:dyDescent="0.25">
      <c r="A17" s="34" t="s">
        <v>1071</v>
      </c>
      <c r="B17" s="24" t="s">
        <v>969</v>
      </c>
      <c r="C17" s="40"/>
      <c r="D17" s="40"/>
      <c r="E17" s="40"/>
      <c r="F17" s="40"/>
      <c r="G17" s="4">
        <f t="shared" ref="G17:H19" si="2">G18</f>
        <v>2319</v>
      </c>
      <c r="H17" s="4">
        <f t="shared" si="2"/>
        <v>2319</v>
      </c>
    </row>
    <row r="18" spans="1:8" ht="15.75" x14ac:dyDescent="0.25">
      <c r="A18" s="29" t="s">
        <v>239</v>
      </c>
      <c r="B18" s="40" t="s">
        <v>969</v>
      </c>
      <c r="C18" s="40" t="s">
        <v>157</v>
      </c>
      <c r="D18" s="40"/>
      <c r="E18" s="40"/>
      <c r="F18" s="40"/>
      <c r="G18" s="6">
        <f t="shared" si="2"/>
        <v>2319</v>
      </c>
      <c r="H18" s="6">
        <f t="shared" si="2"/>
        <v>2319</v>
      </c>
    </row>
    <row r="19" spans="1:8" ht="15.75" x14ac:dyDescent="0.25">
      <c r="A19" s="29" t="s">
        <v>515</v>
      </c>
      <c r="B19" s="40" t="s">
        <v>969</v>
      </c>
      <c r="C19" s="40" t="s">
        <v>157</v>
      </c>
      <c r="D19" s="40" t="s">
        <v>226</v>
      </c>
      <c r="E19" s="40"/>
      <c r="F19" s="40"/>
      <c r="G19" s="6">
        <f t="shared" si="2"/>
        <v>2319</v>
      </c>
      <c r="H19" s="6">
        <f t="shared" si="2"/>
        <v>2319</v>
      </c>
    </row>
    <row r="20" spans="1:8" ht="15.75" x14ac:dyDescent="0.25">
      <c r="A20" s="29" t="s">
        <v>518</v>
      </c>
      <c r="B20" s="40" t="s">
        <v>1012</v>
      </c>
      <c r="C20" s="40" t="s">
        <v>157</v>
      </c>
      <c r="D20" s="40" t="s">
        <v>226</v>
      </c>
      <c r="E20" s="40"/>
      <c r="F20" s="40"/>
      <c r="G20" s="6">
        <f>G24+G27+G21</f>
        <v>2319</v>
      </c>
      <c r="H20" s="6">
        <f>H24+H27+H21</f>
        <v>2319</v>
      </c>
    </row>
    <row r="21" spans="1:8" s="202" customFormat="1" ht="94.5" x14ac:dyDescent="0.25">
      <c r="A21" s="25" t="s">
        <v>134</v>
      </c>
      <c r="B21" s="40" t="s">
        <v>1012</v>
      </c>
      <c r="C21" s="40" t="s">
        <v>157</v>
      </c>
      <c r="D21" s="40" t="s">
        <v>226</v>
      </c>
      <c r="E21" s="40" t="s">
        <v>135</v>
      </c>
      <c r="F21" s="40"/>
      <c r="G21" s="6">
        <f>G22</f>
        <v>1807</v>
      </c>
      <c r="H21" s="6">
        <f>H22</f>
        <v>1807</v>
      </c>
    </row>
    <row r="22" spans="1:8" s="202" customFormat="1" ht="31.5" x14ac:dyDescent="0.25">
      <c r="A22" s="25" t="s">
        <v>349</v>
      </c>
      <c r="B22" s="40" t="s">
        <v>1012</v>
      </c>
      <c r="C22" s="40" t="s">
        <v>157</v>
      </c>
      <c r="D22" s="40" t="s">
        <v>226</v>
      </c>
      <c r="E22" s="40" t="s">
        <v>216</v>
      </c>
      <c r="F22" s="40"/>
      <c r="G22" s="6">
        <f>'пр.6.1.ведом.22-23'!G869</f>
        <v>1807</v>
      </c>
      <c r="H22" s="6">
        <f>'пр.6.1.ведом.22-23'!H869</f>
        <v>1807</v>
      </c>
    </row>
    <row r="23" spans="1:8" s="202" customFormat="1" ht="47.25" x14ac:dyDescent="0.25">
      <c r="A23" s="45" t="s">
        <v>631</v>
      </c>
      <c r="B23" s="40" t="s">
        <v>1012</v>
      </c>
      <c r="C23" s="40" t="s">
        <v>157</v>
      </c>
      <c r="D23" s="40" t="s">
        <v>226</v>
      </c>
      <c r="E23" s="40" t="s">
        <v>216</v>
      </c>
      <c r="F23" s="40" t="s">
        <v>632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138</v>
      </c>
      <c r="B24" s="40" t="s">
        <v>1012</v>
      </c>
      <c r="C24" s="40" t="s">
        <v>157</v>
      </c>
      <c r="D24" s="40" t="s">
        <v>226</v>
      </c>
      <c r="E24" s="40" t="s">
        <v>139</v>
      </c>
      <c r="F24" s="40"/>
      <c r="G24" s="6">
        <f t="shared" ref="G24:H24" si="3">G25</f>
        <v>512</v>
      </c>
      <c r="H24" s="6">
        <f t="shared" si="3"/>
        <v>512</v>
      </c>
    </row>
    <row r="25" spans="1:8" ht="47.25" x14ac:dyDescent="0.25">
      <c r="A25" s="29" t="s">
        <v>140</v>
      </c>
      <c r="B25" s="40" t="s">
        <v>1012</v>
      </c>
      <c r="C25" s="40" t="s">
        <v>157</v>
      </c>
      <c r="D25" s="40" t="s">
        <v>226</v>
      </c>
      <c r="E25" s="40" t="s">
        <v>141</v>
      </c>
      <c r="F25" s="40"/>
      <c r="G25" s="6">
        <f>'пр.6.1.ведом.22-23'!G871</f>
        <v>512</v>
      </c>
      <c r="H25" s="6">
        <f>'пр.6.1.ведом.22-23'!H871</f>
        <v>512</v>
      </c>
    </row>
    <row r="26" spans="1:8" ht="47.25" x14ac:dyDescent="0.25">
      <c r="A26" s="45" t="s">
        <v>631</v>
      </c>
      <c r="B26" s="40" t="s">
        <v>1012</v>
      </c>
      <c r="C26" s="40" t="s">
        <v>157</v>
      </c>
      <c r="D26" s="40" t="s">
        <v>226</v>
      </c>
      <c r="E26" s="40" t="s">
        <v>141</v>
      </c>
      <c r="F26" s="40" t="s">
        <v>632</v>
      </c>
      <c r="G26" s="6">
        <f>G25</f>
        <v>512</v>
      </c>
      <c r="H26" s="6">
        <f>H25</f>
        <v>512</v>
      </c>
    </row>
    <row r="27" spans="1:8" ht="15.75" hidden="1" x14ac:dyDescent="0.25">
      <c r="A27" s="25" t="s">
        <v>142</v>
      </c>
      <c r="B27" s="40" t="s">
        <v>1012</v>
      </c>
      <c r="C27" s="40" t="s">
        <v>157</v>
      </c>
      <c r="D27" s="40" t="s">
        <v>226</v>
      </c>
      <c r="E27" s="40" t="s">
        <v>152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144</v>
      </c>
      <c r="B28" s="40" t="s">
        <v>1012</v>
      </c>
      <c r="C28" s="40" t="s">
        <v>157</v>
      </c>
      <c r="D28" s="40" t="s">
        <v>226</v>
      </c>
      <c r="E28" s="40" t="s">
        <v>145</v>
      </c>
      <c r="F28" s="40"/>
      <c r="G28" s="6">
        <f>'пр.6.1.ведом.22-23'!G873</f>
        <v>0</v>
      </c>
      <c r="H28" s="6">
        <f>'пр.6.1.ведом.22-23'!H873</f>
        <v>0</v>
      </c>
    </row>
    <row r="29" spans="1:8" ht="47.25" hidden="1" x14ac:dyDescent="0.25">
      <c r="A29" s="45" t="s">
        <v>631</v>
      </c>
      <c r="B29" s="40" t="s">
        <v>1012</v>
      </c>
      <c r="C29" s="40" t="s">
        <v>157</v>
      </c>
      <c r="D29" s="40" t="s">
        <v>226</v>
      </c>
      <c r="E29" s="40" t="s">
        <v>145</v>
      </c>
      <c r="F29" s="40" t="s">
        <v>632</v>
      </c>
      <c r="G29" s="6">
        <f>G28</f>
        <v>0</v>
      </c>
      <c r="H29" s="6">
        <f>H28</f>
        <v>0</v>
      </c>
    </row>
    <row r="30" spans="1:8" ht="63" x14ac:dyDescent="0.25">
      <c r="A30" s="58" t="s">
        <v>1399</v>
      </c>
      <c r="B30" s="7" t="s">
        <v>351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633</v>
      </c>
      <c r="B31" s="7" t="s">
        <v>353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06" t="s">
        <v>1039</v>
      </c>
      <c r="B32" s="24" t="s">
        <v>902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270</v>
      </c>
      <c r="B33" s="40" t="s">
        <v>902</v>
      </c>
      <c r="C33" s="40" t="s">
        <v>271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473</v>
      </c>
      <c r="B34" s="40" t="s">
        <v>902</v>
      </c>
      <c r="C34" s="40" t="s">
        <v>271</v>
      </c>
      <c r="D34" s="40" t="s">
        <v>271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1045</v>
      </c>
      <c r="B35" s="20" t="s">
        <v>903</v>
      </c>
      <c r="C35" s="40" t="s">
        <v>271</v>
      </c>
      <c r="D35" s="40" t="s">
        <v>271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134</v>
      </c>
      <c r="B36" s="20" t="s">
        <v>903</v>
      </c>
      <c r="C36" s="40" t="s">
        <v>271</v>
      </c>
      <c r="D36" s="40" t="s">
        <v>271</v>
      </c>
      <c r="E36" s="40" t="s">
        <v>135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349</v>
      </c>
      <c r="B37" s="20" t="s">
        <v>903</v>
      </c>
      <c r="C37" s="40" t="s">
        <v>271</v>
      </c>
      <c r="D37" s="40" t="s">
        <v>271</v>
      </c>
      <c r="E37" s="40" t="s">
        <v>216</v>
      </c>
      <c r="F37" s="40"/>
      <c r="G37" s="10">
        <f>'пр.6.1.ведом.22-23'!G343</f>
        <v>280</v>
      </c>
      <c r="H37" s="10">
        <f>'пр.6.1.ведом.22-23'!H343</f>
        <v>280</v>
      </c>
    </row>
    <row r="38" spans="1:8" ht="47.25" x14ac:dyDescent="0.25">
      <c r="A38" s="45" t="s">
        <v>268</v>
      </c>
      <c r="B38" s="20" t="s">
        <v>903</v>
      </c>
      <c r="C38" s="40" t="s">
        <v>271</v>
      </c>
      <c r="D38" s="40" t="s">
        <v>271</v>
      </c>
      <c r="E38" s="40" t="s">
        <v>216</v>
      </c>
      <c r="F38" s="40" t="s">
        <v>635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1040</v>
      </c>
      <c r="B39" s="20" t="s">
        <v>1057</v>
      </c>
      <c r="C39" s="40" t="s">
        <v>271</v>
      </c>
      <c r="D39" s="40" t="s">
        <v>271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138</v>
      </c>
      <c r="B40" s="20" t="s">
        <v>1057</v>
      </c>
      <c r="C40" s="40" t="s">
        <v>271</v>
      </c>
      <c r="D40" s="40" t="s">
        <v>271</v>
      </c>
      <c r="E40" s="40" t="s">
        <v>139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140</v>
      </c>
      <c r="B41" s="20" t="s">
        <v>1057</v>
      </c>
      <c r="C41" s="40" t="s">
        <v>271</v>
      </c>
      <c r="D41" s="40" t="s">
        <v>271</v>
      </c>
      <c r="E41" s="40" t="s">
        <v>141</v>
      </c>
      <c r="F41" s="40"/>
      <c r="G41" s="10">
        <f>'пр.6.1.ведом.22-23'!G346</f>
        <v>0</v>
      </c>
      <c r="H41" s="10">
        <f>'пр.6.1.ведом.22-23'!H346</f>
        <v>0</v>
      </c>
    </row>
    <row r="42" spans="1:8" ht="47.25" hidden="1" x14ac:dyDescent="0.25">
      <c r="A42" s="45" t="s">
        <v>268</v>
      </c>
      <c r="B42" s="20" t="s">
        <v>1057</v>
      </c>
      <c r="C42" s="40" t="s">
        <v>271</v>
      </c>
      <c r="D42" s="40" t="s">
        <v>271</v>
      </c>
      <c r="E42" s="40" t="s">
        <v>141</v>
      </c>
      <c r="F42" s="40" t="s">
        <v>635</v>
      </c>
      <c r="G42" s="6">
        <f>G41</f>
        <v>0</v>
      </c>
      <c r="H42" s="6">
        <f>H41</f>
        <v>0</v>
      </c>
    </row>
    <row r="43" spans="1:8" ht="78.75" x14ac:dyDescent="0.25">
      <c r="A43" s="23" t="s">
        <v>1041</v>
      </c>
      <c r="B43" s="24" t="s">
        <v>904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270</v>
      </c>
      <c r="B44" s="40" t="s">
        <v>904</v>
      </c>
      <c r="C44" s="40" t="s">
        <v>271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473</v>
      </c>
      <c r="B45" s="40" t="s">
        <v>904</v>
      </c>
      <c r="C45" s="40" t="s">
        <v>271</v>
      </c>
      <c r="D45" s="40" t="s">
        <v>271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1042</v>
      </c>
      <c r="B46" s="20" t="s">
        <v>911</v>
      </c>
      <c r="C46" s="40" t="s">
        <v>271</v>
      </c>
      <c r="D46" s="40" t="s">
        <v>271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134</v>
      </c>
      <c r="B47" s="20" t="s">
        <v>911</v>
      </c>
      <c r="C47" s="40" t="s">
        <v>271</v>
      </c>
      <c r="D47" s="40" t="s">
        <v>271</v>
      </c>
      <c r="E47" s="40" t="s">
        <v>135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349</v>
      </c>
      <c r="B48" s="20" t="s">
        <v>911</v>
      </c>
      <c r="C48" s="40" t="s">
        <v>271</v>
      </c>
      <c r="D48" s="40" t="s">
        <v>271</v>
      </c>
      <c r="E48" s="40" t="s">
        <v>216</v>
      </c>
      <c r="F48" s="40"/>
      <c r="G48" s="10">
        <f>'пр.6.1.ведом.22-23'!G350</f>
        <v>40</v>
      </c>
      <c r="H48" s="10">
        <f>'пр.6.1.ведом.22-23'!H350</f>
        <v>40</v>
      </c>
    </row>
    <row r="49" spans="1:8" ht="47.25" x14ac:dyDescent="0.25">
      <c r="A49" s="45" t="s">
        <v>268</v>
      </c>
      <c r="B49" s="20" t="s">
        <v>911</v>
      </c>
      <c r="C49" s="40" t="s">
        <v>271</v>
      </c>
      <c r="D49" s="40" t="s">
        <v>271</v>
      </c>
      <c r="E49" s="40" t="s">
        <v>216</v>
      </c>
      <c r="F49" s="40" t="s">
        <v>635</v>
      </c>
      <c r="G49" s="6">
        <f>G48</f>
        <v>40</v>
      </c>
      <c r="H49" s="6">
        <f>H48</f>
        <v>40</v>
      </c>
    </row>
    <row r="50" spans="1:8" ht="31.5" x14ac:dyDescent="0.25">
      <c r="A50" s="25" t="s">
        <v>138</v>
      </c>
      <c r="B50" s="20" t="s">
        <v>911</v>
      </c>
      <c r="C50" s="40" t="s">
        <v>271</v>
      </c>
      <c r="D50" s="40" t="s">
        <v>271</v>
      </c>
      <c r="E50" s="40" t="s">
        <v>139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140</v>
      </c>
      <c r="B51" s="20" t="s">
        <v>911</v>
      </c>
      <c r="C51" s="40" t="s">
        <v>271</v>
      </c>
      <c r="D51" s="40" t="s">
        <v>271</v>
      </c>
      <c r="E51" s="40" t="s">
        <v>141</v>
      </c>
      <c r="F51" s="40"/>
      <c r="G51" s="6">
        <f>'пр.6.1.ведом.22-23'!G352</f>
        <v>415</v>
      </c>
      <c r="H51" s="6">
        <f>'пр.6.1.ведом.22-23'!H352</f>
        <v>480</v>
      </c>
    </row>
    <row r="52" spans="1:8" ht="47.25" x14ac:dyDescent="0.25">
      <c r="A52" s="45" t="s">
        <v>268</v>
      </c>
      <c r="B52" s="20" t="s">
        <v>911</v>
      </c>
      <c r="C52" s="40" t="s">
        <v>271</v>
      </c>
      <c r="D52" s="40" t="s">
        <v>271</v>
      </c>
      <c r="E52" s="40" t="s">
        <v>141</v>
      </c>
      <c r="F52" s="40" t="s">
        <v>635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1047</v>
      </c>
      <c r="B53" s="24" t="s">
        <v>1043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270</v>
      </c>
      <c r="B54" s="40" t="s">
        <v>1043</v>
      </c>
      <c r="C54" s="40" t="s">
        <v>271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473</v>
      </c>
      <c r="B55" s="40" t="s">
        <v>1043</v>
      </c>
      <c r="C55" s="40" t="s">
        <v>271</v>
      </c>
      <c r="D55" s="40" t="s">
        <v>271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26" t="s">
        <v>1044</v>
      </c>
      <c r="B56" s="20" t="s">
        <v>1058</v>
      </c>
      <c r="C56" s="40" t="s">
        <v>271</v>
      </c>
      <c r="D56" s="40" t="s">
        <v>271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255</v>
      </c>
      <c r="B57" s="20" t="s">
        <v>1058</v>
      </c>
      <c r="C57" s="40" t="s">
        <v>271</v>
      </c>
      <c r="D57" s="40" t="s">
        <v>271</v>
      </c>
      <c r="E57" s="20" t="s">
        <v>256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1211</v>
      </c>
      <c r="B58" s="20" t="s">
        <v>1058</v>
      </c>
      <c r="C58" s="40" t="s">
        <v>271</v>
      </c>
      <c r="D58" s="40" t="s">
        <v>271</v>
      </c>
      <c r="E58" s="20" t="s">
        <v>356</v>
      </c>
      <c r="F58" s="40"/>
      <c r="G58" s="10">
        <f>'пр.6.1.ведом.22-23'!G356</f>
        <v>25</v>
      </c>
      <c r="H58" s="10">
        <f>'пр.6.1.ведом.22-23'!H356</f>
        <v>25</v>
      </c>
    </row>
    <row r="59" spans="1:8" ht="47.25" x14ac:dyDescent="0.25">
      <c r="A59" s="45" t="s">
        <v>268</v>
      </c>
      <c r="B59" s="20" t="s">
        <v>1058</v>
      </c>
      <c r="C59" s="40" t="s">
        <v>271</v>
      </c>
      <c r="D59" s="40" t="s">
        <v>271</v>
      </c>
      <c r="E59" s="40" t="s">
        <v>356</v>
      </c>
      <c r="F59" s="40" t="s">
        <v>635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1400</v>
      </c>
      <c r="B60" s="7" t="s">
        <v>360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915</v>
      </c>
      <c r="B61" s="24" t="s">
        <v>914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250</v>
      </c>
      <c r="B62" s="40" t="s">
        <v>914</v>
      </c>
      <c r="C62" s="40" t="s">
        <v>251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259</v>
      </c>
      <c r="B63" s="40" t="s">
        <v>914</v>
      </c>
      <c r="C63" s="40" t="s">
        <v>251</v>
      </c>
      <c r="D63" s="40" t="s">
        <v>222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834</v>
      </c>
      <c r="B64" s="20" t="s">
        <v>916</v>
      </c>
      <c r="C64" s="40" t="s">
        <v>251</v>
      </c>
      <c r="D64" s="40" t="s">
        <v>222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255</v>
      </c>
      <c r="B65" s="20" t="s">
        <v>916</v>
      </c>
      <c r="C65" s="40" t="s">
        <v>251</v>
      </c>
      <c r="D65" s="40" t="s">
        <v>222</v>
      </c>
      <c r="E65" s="40" t="s">
        <v>256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257</v>
      </c>
      <c r="B66" s="20" t="s">
        <v>916</v>
      </c>
      <c r="C66" s="40" t="s">
        <v>251</v>
      </c>
      <c r="D66" s="40" t="s">
        <v>222</v>
      </c>
      <c r="E66" s="40" t="s">
        <v>258</v>
      </c>
      <c r="F66" s="40"/>
      <c r="G66" s="10">
        <f>'пр.6.1.ведом.22-23'!G452</f>
        <v>294.61</v>
      </c>
      <c r="H66" s="10">
        <f>'пр.6.1.ведом.22-23'!H452</f>
        <v>289.11</v>
      </c>
    </row>
    <row r="67" spans="1:8" ht="47.25" hidden="1" x14ac:dyDescent="0.25">
      <c r="A67" s="45" t="s">
        <v>268</v>
      </c>
      <c r="B67" s="20" t="s">
        <v>916</v>
      </c>
      <c r="C67" s="40" t="s">
        <v>251</v>
      </c>
      <c r="D67" s="40" t="s">
        <v>222</v>
      </c>
      <c r="E67" s="40" t="s">
        <v>258</v>
      </c>
      <c r="F67" s="40" t="s">
        <v>635</v>
      </c>
      <c r="G67" s="10">
        <f>G66</f>
        <v>294.61</v>
      </c>
      <c r="H67" s="10">
        <f>H66</f>
        <v>289.11</v>
      </c>
    </row>
    <row r="68" spans="1:8" s="202" customFormat="1" ht="63" x14ac:dyDescent="0.25">
      <c r="A68" s="41" t="s">
        <v>374</v>
      </c>
      <c r="B68" s="7" t="s">
        <v>363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s="202" customFormat="1" ht="47.25" hidden="1" x14ac:dyDescent="0.25">
      <c r="A69" s="210" t="s">
        <v>1053</v>
      </c>
      <c r="B69" s="24" t="s">
        <v>917</v>
      </c>
      <c r="C69" s="7"/>
      <c r="D69" s="7"/>
      <c r="E69" s="7"/>
      <c r="F69" s="7"/>
      <c r="G69" s="59">
        <f t="shared" ref="G69:H73" si="10">G70</f>
        <v>0</v>
      </c>
      <c r="H69" s="59">
        <f t="shared" si="10"/>
        <v>0</v>
      </c>
    </row>
    <row r="70" spans="1:8" s="202" customFormat="1" ht="15.75" hidden="1" x14ac:dyDescent="0.25">
      <c r="A70" s="45" t="s">
        <v>239</v>
      </c>
      <c r="B70" s="40" t="s">
        <v>917</v>
      </c>
      <c r="C70" s="40" t="s">
        <v>157</v>
      </c>
      <c r="D70" s="40"/>
      <c r="E70" s="40"/>
      <c r="F70" s="40"/>
      <c r="G70" s="10">
        <f t="shared" si="10"/>
        <v>0</v>
      </c>
      <c r="H70" s="10">
        <f t="shared" si="10"/>
        <v>0</v>
      </c>
    </row>
    <row r="71" spans="1:8" s="202" customFormat="1" ht="31.5" hidden="1" x14ac:dyDescent="0.25">
      <c r="A71" s="45" t="s">
        <v>244</v>
      </c>
      <c r="B71" s="40" t="s">
        <v>917</v>
      </c>
      <c r="C71" s="40" t="s">
        <v>157</v>
      </c>
      <c r="D71" s="40" t="s">
        <v>245</v>
      </c>
      <c r="E71" s="40"/>
      <c r="F71" s="40"/>
      <c r="G71" s="10">
        <f t="shared" si="10"/>
        <v>0</v>
      </c>
      <c r="H71" s="10">
        <f t="shared" si="10"/>
        <v>0</v>
      </c>
    </row>
    <row r="72" spans="1:8" s="202" customFormat="1" ht="63" hidden="1" x14ac:dyDescent="0.25">
      <c r="A72" s="25" t="s">
        <v>382</v>
      </c>
      <c r="B72" s="20" t="s">
        <v>1331</v>
      </c>
      <c r="C72" s="40" t="s">
        <v>157</v>
      </c>
      <c r="D72" s="40" t="s">
        <v>245</v>
      </c>
      <c r="E72" s="40"/>
      <c r="F72" s="40"/>
      <c r="G72" s="10">
        <f t="shared" si="10"/>
        <v>0</v>
      </c>
      <c r="H72" s="10">
        <f t="shared" si="10"/>
        <v>0</v>
      </c>
    </row>
    <row r="73" spans="1:8" s="202" customFormat="1" ht="31.5" hidden="1" x14ac:dyDescent="0.25">
      <c r="A73" s="25" t="s">
        <v>255</v>
      </c>
      <c r="B73" s="20" t="s">
        <v>1331</v>
      </c>
      <c r="C73" s="40" t="s">
        <v>157</v>
      </c>
      <c r="D73" s="40" t="s">
        <v>245</v>
      </c>
      <c r="E73" s="40" t="s">
        <v>256</v>
      </c>
      <c r="F73" s="40"/>
      <c r="G73" s="10">
        <f t="shared" si="10"/>
        <v>0</v>
      </c>
      <c r="H73" s="10">
        <f t="shared" si="10"/>
        <v>0</v>
      </c>
    </row>
    <row r="74" spans="1:8" s="202" customFormat="1" ht="47.25" hidden="1" x14ac:dyDescent="0.25">
      <c r="A74" s="25" t="s">
        <v>257</v>
      </c>
      <c r="B74" s="20" t="s">
        <v>1331</v>
      </c>
      <c r="C74" s="40" t="s">
        <v>157</v>
      </c>
      <c r="D74" s="40" t="s">
        <v>245</v>
      </c>
      <c r="E74" s="40" t="s">
        <v>258</v>
      </c>
      <c r="F74" s="40"/>
      <c r="G74" s="10">
        <f>'пр.6.1.ведом.22-23'!G280</f>
        <v>0</v>
      </c>
      <c r="H74" s="10">
        <f>'пр.6.1.ведом.22-23'!H280</f>
        <v>0</v>
      </c>
    </row>
    <row r="75" spans="1:8" s="202" customFormat="1" ht="47.25" hidden="1" x14ac:dyDescent="0.25">
      <c r="A75" s="45" t="s">
        <v>268</v>
      </c>
      <c r="B75" s="20" t="s">
        <v>1331</v>
      </c>
      <c r="C75" s="40" t="s">
        <v>157</v>
      </c>
      <c r="D75" s="40" t="s">
        <v>245</v>
      </c>
      <c r="E75" s="40" t="s">
        <v>258</v>
      </c>
      <c r="F75" s="40" t="s">
        <v>635</v>
      </c>
      <c r="G75" s="10">
        <f>G74</f>
        <v>0</v>
      </c>
      <c r="H75" s="10">
        <f>H74</f>
        <v>0</v>
      </c>
    </row>
    <row r="76" spans="1:8" s="202" customFormat="1" ht="47.25" x14ac:dyDescent="0.25">
      <c r="A76" s="23" t="s">
        <v>1051</v>
      </c>
      <c r="B76" s="7" t="s">
        <v>1214</v>
      </c>
      <c r="C76" s="7"/>
      <c r="D76" s="7"/>
      <c r="E76" s="7"/>
      <c r="F76" s="7"/>
      <c r="G76" s="59">
        <f t="shared" ref="G76:H80" si="11">G77</f>
        <v>260</v>
      </c>
      <c r="H76" s="59">
        <f t="shared" si="11"/>
        <v>260</v>
      </c>
    </row>
    <row r="77" spans="1:8" s="202" customFormat="1" ht="15.75" x14ac:dyDescent="0.25">
      <c r="A77" s="45" t="s">
        <v>239</v>
      </c>
      <c r="B77" s="40" t="s">
        <v>1214</v>
      </c>
      <c r="C77" s="40" t="s">
        <v>157</v>
      </c>
      <c r="D77" s="40"/>
      <c r="E77" s="40"/>
      <c r="F77" s="40"/>
      <c r="G77" s="10">
        <f t="shared" si="11"/>
        <v>260</v>
      </c>
      <c r="H77" s="10">
        <f t="shared" si="11"/>
        <v>260</v>
      </c>
    </row>
    <row r="78" spans="1:8" s="202" customFormat="1" ht="31.5" x14ac:dyDescent="0.25">
      <c r="A78" s="45" t="s">
        <v>244</v>
      </c>
      <c r="B78" s="40" t="s">
        <v>1214</v>
      </c>
      <c r="C78" s="40" t="s">
        <v>157</v>
      </c>
      <c r="D78" s="40" t="s">
        <v>245</v>
      </c>
      <c r="E78" s="40"/>
      <c r="F78" s="40"/>
      <c r="G78" s="10">
        <f t="shared" si="11"/>
        <v>260</v>
      </c>
      <c r="H78" s="10">
        <f t="shared" si="11"/>
        <v>260</v>
      </c>
    </row>
    <row r="79" spans="1:8" s="202" customFormat="1" ht="126" x14ac:dyDescent="0.25">
      <c r="A79" s="25" t="s">
        <v>1549</v>
      </c>
      <c r="B79" s="20" t="s">
        <v>1215</v>
      </c>
      <c r="C79" s="40" t="s">
        <v>157</v>
      </c>
      <c r="D79" s="40" t="s">
        <v>245</v>
      </c>
      <c r="E79" s="40"/>
      <c r="F79" s="40"/>
      <c r="G79" s="10">
        <f t="shared" si="11"/>
        <v>260</v>
      </c>
      <c r="H79" s="10">
        <f t="shared" si="11"/>
        <v>260</v>
      </c>
    </row>
    <row r="80" spans="1:8" s="202" customFormat="1" ht="47.25" x14ac:dyDescent="0.25">
      <c r="A80" s="25" t="s">
        <v>279</v>
      </c>
      <c r="B80" s="20" t="s">
        <v>1215</v>
      </c>
      <c r="C80" s="40" t="s">
        <v>157</v>
      </c>
      <c r="D80" s="40" t="s">
        <v>245</v>
      </c>
      <c r="E80" s="40" t="s">
        <v>280</v>
      </c>
      <c r="F80" s="40"/>
      <c r="G80" s="10">
        <f t="shared" si="11"/>
        <v>260</v>
      </c>
      <c r="H80" s="10">
        <f t="shared" si="11"/>
        <v>260</v>
      </c>
    </row>
    <row r="81" spans="1:8" s="202" customFormat="1" ht="78.75" x14ac:dyDescent="0.25">
      <c r="A81" s="25" t="s">
        <v>1100</v>
      </c>
      <c r="B81" s="20" t="s">
        <v>1215</v>
      </c>
      <c r="C81" s="40" t="s">
        <v>157</v>
      </c>
      <c r="D81" s="40" t="s">
        <v>245</v>
      </c>
      <c r="E81" s="40" t="s">
        <v>379</v>
      </c>
      <c r="F81" s="40"/>
      <c r="G81" s="10">
        <f>'пр.6.1.ведом.22-23'!G284</f>
        <v>260</v>
      </c>
      <c r="H81" s="10">
        <f>'пр.6.1.ведом.22-23'!H284</f>
        <v>260</v>
      </c>
    </row>
    <row r="82" spans="1:8" s="202" customFormat="1" ht="47.25" x14ac:dyDescent="0.25">
      <c r="A82" s="45" t="s">
        <v>268</v>
      </c>
      <c r="B82" s="20" t="s">
        <v>1215</v>
      </c>
      <c r="C82" s="40" t="s">
        <v>157</v>
      </c>
      <c r="D82" s="40" t="s">
        <v>245</v>
      </c>
      <c r="E82" s="40" t="s">
        <v>379</v>
      </c>
      <c r="F82" s="40" t="s">
        <v>635</v>
      </c>
      <c r="G82" s="10">
        <f>G81</f>
        <v>260</v>
      </c>
      <c r="H82" s="10">
        <f>H81</f>
        <v>260</v>
      </c>
    </row>
    <row r="83" spans="1:8" s="202" customFormat="1" ht="31.5" hidden="1" x14ac:dyDescent="0.25">
      <c r="A83" s="23" t="s">
        <v>1005</v>
      </c>
      <c r="B83" s="24" t="s">
        <v>1324</v>
      </c>
      <c r="C83" s="7"/>
      <c r="D83" s="7"/>
      <c r="E83" s="7"/>
      <c r="F83" s="7"/>
      <c r="G83" s="59">
        <f t="shared" ref="G83:H87" si="12">G84</f>
        <v>0</v>
      </c>
      <c r="H83" s="59">
        <f t="shared" si="12"/>
        <v>0</v>
      </c>
    </row>
    <row r="84" spans="1:8" s="202" customFormat="1" ht="15.75" hidden="1" x14ac:dyDescent="0.25">
      <c r="A84" s="45" t="s">
        <v>239</v>
      </c>
      <c r="B84" s="40" t="s">
        <v>1324</v>
      </c>
      <c r="C84" s="40" t="s">
        <v>157</v>
      </c>
      <c r="D84" s="40"/>
      <c r="E84" s="40"/>
      <c r="F84" s="40"/>
      <c r="G84" s="10">
        <f t="shared" si="12"/>
        <v>0</v>
      </c>
      <c r="H84" s="10">
        <f t="shared" si="12"/>
        <v>0</v>
      </c>
    </row>
    <row r="85" spans="1:8" s="202" customFormat="1" ht="31.5" hidden="1" x14ac:dyDescent="0.25">
      <c r="A85" s="45" t="s">
        <v>244</v>
      </c>
      <c r="B85" s="40" t="s">
        <v>1324</v>
      </c>
      <c r="C85" s="40" t="s">
        <v>157</v>
      </c>
      <c r="D85" s="40" t="s">
        <v>245</v>
      </c>
      <c r="E85" s="40"/>
      <c r="F85" s="40"/>
      <c r="G85" s="10">
        <f t="shared" si="12"/>
        <v>0</v>
      </c>
      <c r="H85" s="10">
        <f t="shared" si="12"/>
        <v>0</v>
      </c>
    </row>
    <row r="86" spans="1:8" s="202" customFormat="1" ht="47.25" hidden="1" x14ac:dyDescent="0.25">
      <c r="A86" s="247" t="s">
        <v>1054</v>
      </c>
      <c r="B86" s="20" t="s">
        <v>1325</v>
      </c>
      <c r="C86" s="40" t="s">
        <v>157</v>
      </c>
      <c r="D86" s="40" t="s">
        <v>245</v>
      </c>
      <c r="E86" s="40"/>
      <c r="F86" s="40"/>
      <c r="G86" s="10">
        <f t="shared" si="12"/>
        <v>0</v>
      </c>
      <c r="H86" s="10">
        <f t="shared" si="12"/>
        <v>0</v>
      </c>
    </row>
    <row r="87" spans="1:8" s="202" customFormat="1" ht="31.5" hidden="1" x14ac:dyDescent="0.25">
      <c r="A87" s="25" t="s">
        <v>138</v>
      </c>
      <c r="B87" s="20" t="s">
        <v>1325</v>
      </c>
      <c r="C87" s="40" t="s">
        <v>157</v>
      </c>
      <c r="D87" s="40" t="s">
        <v>245</v>
      </c>
      <c r="E87" s="40" t="s">
        <v>139</v>
      </c>
      <c r="F87" s="40"/>
      <c r="G87" s="10">
        <f t="shared" si="12"/>
        <v>0</v>
      </c>
      <c r="H87" s="10">
        <f t="shared" si="12"/>
        <v>0</v>
      </c>
    </row>
    <row r="88" spans="1:8" s="202" customFormat="1" ht="47.25" hidden="1" x14ac:dyDescent="0.25">
      <c r="A88" s="25" t="s">
        <v>140</v>
      </c>
      <c r="B88" s="20" t="s">
        <v>1325</v>
      </c>
      <c r="C88" s="40" t="s">
        <v>157</v>
      </c>
      <c r="D88" s="40" t="s">
        <v>245</v>
      </c>
      <c r="E88" s="40" t="s">
        <v>141</v>
      </c>
      <c r="F88" s="40"/>
      <c r="G88" s="10">
        <f>'пр.6.1.ведом.22-23'!G288</f>
        <v>0</v>
      </c>
      <c r="H88" s="10">
        <f>'пр.6.1.ведом.22-23'!H288</f>
        <v>0</v>
      </c>
    </row>
    <row r="89" spans="1:8" s="202" customFormat="1" ht="47.25" hidden="1" x14ac:dyDescent="0.25">
      <c r="A89" s="45" t="s">
        <v>268</v>
      </c>
      <c r="B89" s="20" t="s">
        <v>1325</v>
      </c>
      <c r="C89" s="40" t="s">
        <v>157</v>
      </c>
      <c r="D89" s="40" t="s">
        <v>245</v>
      </c>
      <c r="E89" s="40" t="s">
        <v>141</v>
      </c>
      <c r="F89" s="9" t="s">
        <v>635</v>
      </c>
      <c r="G89" s="10">
        <f>G88</f>
        <v>0</v>
      </c>
      <c r="H89" s="10">
        <f>H88</f>
        <v>0</v>
      </c>
    </row>
    <row r="90" spans="1:8" s="202" customFormat="1" ht="47.25" hidden="1" x14ac:dyDescent="0.25">
      <c r="A90" s="207" t="s">
        <v>1113</v>
      </c>
      <c r="B90" s="24" t="s">
        <v>1216</v>
      </c>
      <c r="C90" s="7"/>
      <c r="D90" s="7"/>
      <c r="E90" s="7"/>
      <c r="F90" s="7"/>
      <c r="G90" s="59">
        <f t="shared" ref="G90:H94" si="13">G91</f>
        <v>0</v>
      </c>
      <c r="H90" s="59">
        <f t="shared" si="13"/>
        <v>0</v>
      </c>
    </row>
    <row r="91" spans="1:8" s="202" customFormat="1" ht="15.75" hidden="1" x14ac:dyDescent="0.25">
      <c r="A91" s="45" t="s">
        <v>239</v>
      </c>
      <c r="B91" s="40" t="s">
        <v>1216</v>
      </c>
      <c r="C91" s="40" t="s">
        <v>157</v>
      </c>
      <c r="D91" s="40"/>
      <c r="E91" s="40"/>
      <c r="F91" s="40"/>
      <c r="G91" s="10">
        <f t="shared" si="13"/>
        <v>0</v>
      </c>
      <c r="H91" s="10">
        <f t="shared" si="13"/>
        <v>0</v>
      </c>
    </row>
    <row r="92" spans="1:8" s="202" customFormat="1" ht="31.5" hidden="1" x14ac:dyDescent="0.25">
      <c r="A92" s="45" t="s">
        <v>244</v>
      </c>
      <c r="B92" s="40" t="s">
        <v>1216</v>
      </c>
      <c r="C92" s="40" t="s">
        <v>157</v>
      </c>
      <c r="D92" s="40" t="s">
        <v>245</v>
      </c>
      <c r="E92" s="40"/>
      <c r="F92" s="40"/>
      <c r="G92" s="10">
        <f t="shared" si="13"/>
        <v>0</v>
      </c>
      <c r="H92" s="10">
        <f t="shared" si="13"/>
        <v>0</v>
      </c>
    </row>
    <row r="93" spans="1:8" s="202" customFormat="1" ht="31.5" hidden="1" x14ac:dyDescent="0.25">
      <c r="A93" s="226" t="s">
        <v>1114</v>
      </c>
      <c r="B93" s="20" t="s">
        <v>1217</v>
      </c>
      <c r="C93" s="40" t="s">
        <v>157</v>
      </c>
      <c r="D93" s="40" t="s">
        <v>245</v>
      </c>
      <c r="E93" s="40"/>
      <c r="F93" s="40"/>
      <c r="G93" s="10">
        <f t="shared" si="13"/>
        <v>0</v>
      </c>
      <c r="H93" s="10">
        <f t="shared" si="13"/>
        <v>0</v>
      </c>
    </row>
    <row r="94" spans="1:8" s="202" customFormat="1" ht="31.5" hidden="1" x14ac:dyDescent="0.25">
      <c r="A94" s="25" t="s">
        <v>138</v>
      </c>
      <c r="B94" s="20" t="s">
        <v>1217</v>
      </c>
      <c r="C94" s="40" t="s">
        <v>157</v>
      </c>
      <c r="D94" s="40" t="s">
        <v>245</v>
      </c>
      <c r="E94" s="40" t="s">
        <v>139</v>
      </c>
      <c r="F94" s="40"/>
      <c r="G94" s="10">
        <f t="shared" si="13"/>
        <v>0</v>
      </c>
      <c r="H94" s="10">
        <f t="shared" si="13"/>
        <v>0</v>
      </c>
    </row>
    <row r="95" spans="1:8" s="202" customFormat="1" ht="47.25" hidden="1" x14ac:dyDescent="0.25">
      <c r="A95" s="25" t="s">
        <v>140</v>
      </c>
      <c r="B95" s="20" t="s">
        <v>1217</v>
      </c>
      <c r="C95" s="40" t="s">
        <v>157</v>
      </c>
      <c r="D95" s="40" t="s">
        <v>245</v>
      </c>
      <c r="E95" s="40" t="s">
        <v>141</v>
      </c>
      <c r="F95" s="40"/>
      <c r="G95" s="10">
        <f>'пр.6.1.ведом.22-23'!G292</f>
        <v>0</v>
      </c>
      <c r="H95" s="10">
        <f>'пр.6.1.ведом.22-23'!H292</f>
        <v>0</v>
      </c>
    </row>
    <row r="96" spans="1:8" s="202" customFormat="1" ht="47.25" hidden="1" x14ac:dyDescent="0.25">
      <c r="A96" s="45" t="s">
        <v>268</v>
      </c>
      <c r="B96" s="20" t="s">
        <v>1217</v>
      </c>
      <c r="C96" s="40" t="s">
        <v>157</v>
      </c>
      <c r="D96" s="40" t="s">
        <v>245</v>
      </c>
      <c r="E96" s="40" t="s">
        <v>141</v>
      </c>
      <c r="F96" s="9" t="s">
        <v>635</v>
      </c>
      <c r="G96" s="10">
        <f>G95</f>
        <v>0</v>
      </c>
      <c r="H96" s="10">
        <f>H95</f>
        <v>0</v>
      </c>
    </row>
    <row r="97" spans="1:8" s="202" customFormat="1" ht="94.5" x14ac:dyDescent="0.25">
      <c r="A97" s="41" t="s">
        <v>1365</v>
      </c>
      <c r="B97" s="7" t="s">
        <v>366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s="202" customFormat="1" ht="63" x14ac:dyDescent="0.25">
      <c r="A98" s="245" t="s">
        <v>1055</v>
      </c>
      <c r="B98" s="7" t="s">
        <v>919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s="202" customFormat="1" ht="15.75" x14ac:dyDescent="0.25">
      <c r="A99" s="45" t="s">
        <v>124</v>
      </c>
      <c r="B99" s="40" t="s">
        <v>919</v>
      </c>
      <c r="C99" s="40" t="s">
        <v>125</v>
      </c>
      <c r="D99" s="40"/>
      <c r="E99" s="40"/>
      <c r="F99" s="9"/>
      <c r="G99" s="10">
        <f t="shared" ref="G99:H102" si="14">G100</f>
        <v>200</v>
      </c>
      <c r="H99" s="10">
        <f t="shared" si="14"/>
        <v>500</v>
      </c>
    </row>
    <row r="100" spans="1:8" s="202" customFormat="1" ht="15.75" x14ac:dyDescent="0.25">
      <c r="A100" s="45" t="s">
        <v>146</v>
      </c>
      <c r="B100" s="40" t="s">
        <v>919</v>
      </c>
      <c r="C100" s="40" t="s">
        <v>125</v>
      </c>
      <c r="D100" s="40" t="s">
        <v>147</v>
      </c>
      <c r="E100" s="40"/>
      <c r="F100" s="9"/>
      <c r="G100" s="10">
        <f>G101</f>
        <v>200</v>
      </c>
      <c r="H100" s="10">
        <f>H101</f>
        <v>500</v>
      </c>
    </row>
    <row r="101" spans="1:8" s="202" customFormat="1" ht="47.25" x14ac:dyDescent="0.25">
      <c r="A101" s="98" t="s">
        <v>1056</v>
      </c>
      <c r="B101" s="40" t="s">
        <v>1213</v>
      </c>
      <c r="C101" s="40" t="s">
        <v>125</v>
      </c>
      <c r="D101" s="40" t="s">
        <v>147</v>
      </c>
      <c r="E101" s="40"/>
      <c r="F101" s="9"/>
      <c r="G101" s="10">
        <f t="shared" si="14"/>
        <v>200</v>
      </c>
      <c r="H101" s="10">
        <f t="shared" si="14"/>
        <v>500</v>
      </c>
    </row>
    <row r="102" spans="1:8" s="202" customFormat="1" ht="31.5" x14ac:dyDescent="0.25">
      <c r="A102" s="29" t="s">
        <v>138</v>
      </c>
      <c r="B102" s="40" t="s">
        <v>1213</v>
      </c>
      <c r="C102" s="40" t="s">
        <v>125</v>
      </c>
      <c r="D102" s="40" t="s">
        <v>147</v>
      </c>
      <c r="E102" s="40" t="s">
        <v>139</v>
      </c>
      <c r="F102" s="9"/>
      <c r="G102" s="10">
        <f t="shared" si="14"/>
        <v>200</v>
      </c>
      <c r="H102" s="10">
        <f t="shared" si="14"/>
        <v>500</v>
      </c>
    </row>
    <row r="103" spans="1:8" s="202" customFormat="1" ht="47.25" x14ac:dyDescent="0.25">
      <c r="A103" s="29" t="s">
        <v>140</v>
      </c>
      <c r="B103" s="40" t="s">
        <v>1213</v>
      </c>
      <c r="C103" s="40" t="s">
        <v>125</v>
      </c>
      <c r="D103" s="40" t="s">
        <v>147</v>
      </c>
      <c r="E103" s="40" t="s">
        <v>141</v>
      </c>
      <c r="F103" s="9"/>
      <c r="G103" s="10">
        <f>'пр.6.1.ведом.22-23'!G250</f>
        <v>200</v>
      </c>
      <c r="H103" s="10">
        <f>'пр.6.1.ведом.22-23'!H250</f>
        <v>500</v>
      </c>
    </row>
    <row r="104" spans="1:8" s="202" customFormat="1" ht="47.25" x14ac:dyDescent="0.25">
      <c r="A104" s="45" t="s">
        <v>268</v>
      </c>
      <c r="B104" s="40" t="s">
        <v>1213</v>
      </c>
      <c r="C104" s="40" t="s">
        <v>125</v>
      </c>
      <c r="D104" s="40" t="s">
        <v>147</v>
      </c>
      <c r="E104" s="40" t="s">
        <v>141</v>
      </c>
      <c r="F104" s="9" t="s">
        <v>635</v>
      </c>
      <c r="G104" s="10">
        <f>G103</f>
        <v>200</v>
      </c>
      <c r="H104" s="10">
        <f>H103</f>
        <v>500</v>
      </c>
    </row>
    <row r="105" spans="1:8" s="202" customFormat="1" ht="47.25" hidden="1" x14ac:dyDescent="0.25">
      <c r="A105" s="35" t="s">
        <v>896</v>
      </c>
      <c r="B105" s="20" t="s">
        <v>1312</v>
      </c>
      <c r="C105" s="40" t="s">
        <v>125</v>
      </c>
      <c r="D105" s="40" t="s">
        <v>147</v>
      </c>
      <c r="E105" s="40"/>
      <c r="F105" s="9"/>
      <c r="G105" s="10" t="e">
        <f>G106</f>
        <v>#REF!</v>
      </c>
      <c r="H105" s="10" t="e">
        <f>H106</f>
        <v>#REF!</v>
      </c>
    </row>
    <row r="106" spans="1:8" s="202" customFormat="1" ht="31.5" hidden="1" x14ac:dyDescent="0.25">
      <c r="A106" s="25" t="s">
        <v>138</v>
      </c>
      <c r="B106" s="20" t="s">
        <v>1312</v>
      </c>
      <c r="C106" s="40" t="s">
        <v>125</v>
      </c>
      <c r="D106" s="40" t="s">
        <v>147</v>
      </c>
      <c r="E106" s="40" t="s">
        <v>139</v>
      </c>
      <c r="F106" s="9"/>
      <c r="G106" s="10" t="e">
        <f>G107</f>
        <v>#REF!</v>
      </c>
      <c r="H106" s="10" t="e">
        <f>H107</f>
        <v>#REF!</v>
      </c>
    </row>
    <row r="107" spans="1:8" s="202" customFormat="1" ht="47.25" hidden="1" x14ac:dyDescent="0.25">
      <c r="A107" s="25" t="s">
        <v>140</v>
      </c>
      <c r="B107" s="20" t="s">
        <v>1312</v>
      </c>
      <c r="C107" s="40" t="s">
        <v>125</v>
      </c>
      <c r="D107" s="40" t="s">
        <v>147</v>
      </c>
      <c r="E107" s="40" t="s">
        <v>141</v>
      </c>
      <c r="F107" s="9"/>
      <c r="G107" s="10" t="e">
        <f>'пр.6.1.ведом.22-23'!#REF!</f>
        <v>#REF!</v>
      </c>
      <c r="H107" s="10" t="e">
        <f>'пр.6.1.ведом.22-23'!#REF!</f>
        <v>#REF!</v>
      </c>
    </row>
    <row r="108" spans="1:8" s="202" customFormat="1" ht="47.25" hidden="1" x14ac:dyDescent="0.25">
      <c r="A108" s="45" t="s">
        <v>268</v>
      </c>
      <c r="B108" s="20" t="s">
        <v>1312</v>
      </c>
      <c r="C108" s="40" t="s">
        <v>125</v>
      </c>
      <c r="D108" s="40" t="s">
        <v>147</v>
      </c>
      <c r="E108" s="40" t="s">
        <v>141</v>
      </c>
      <c r="F108" s="9" t="s">
        <v>635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637</v>
      </c>
      <c r="B109" s="7" t="s">
        <v>369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23" t="s">
        <v>1048</v>
      </c>
      <c r="B110" s="24" t="s">
        <v>923</v>
      </c>
      <c r="C110" s="40"/>
      <c r="D110" s="40"/>
      <c r="E110" s="40"/>
      <c r="F110" s="40"/>
      <c r="G110" s="59">
        <f>G111</f>
        <v>630</v>
      </c>
      <c r="H110" s="59">
        <f>H111</f>
        <v>630</v>
      </c>
    </row>
    <row r="111" spans="1:8" ht="15.75" x14ac:dyDescent="0.25">
      <c r="A111" s="45" t="s">
        <v>250</v>
      </c>
      <c r="B111" s="40" t="s">
        <v>923</v>
      </c>
      <c r="C111" s="40" t="s">
        <v>251</v>
      </c>
      <c r="D111" s="40"/>
      <c r="E111" s="40"/>
      <c r="F111" s="40"/>
      <c r="G111" s="10">
        <f t="shared" ref="G111:H114" si="15">G112</f>
        <v>630</v>
      </c>
      <c r="H111" s="10">
        <f t="shared" si="15"/>
        <v>630</v>
      </c>
    </row>
    <row r="112" spans="1:8" ht="15.75" x14ac:dyDescent="0.25">
      <c r="A112" s="45" t="s">
        <v>259</v>
      </c>
      <c r="B112" s="40" t="s">
        <v>923</v>
      </c>
      <c r="C112" s="40" t="s">
        <v>251</v>
      </c>
      <c r="D112" s="40" t="s">
        <v>222</v>
      </c>
      <c r="E112" s="40"/>
      <c r="F112" s="40"/>
      <c r="G112" s="10">
        <f>G113</f>
        <v>630</v>
      </c>
      <c r="H112" s="10">
        <f>H113</f>
        <v>630</v>
      </c>
    </row>
    <row r="113" spans="1:8" ht="63" x14ac:dyDescent="0.25">
      <c r="A113" s="98" t="s">
        <v>1049</v>
      </c>
      <c r="B113" s="20" t="s">
        <v>1239</v>
      </c>
      <c r="C113" s="40" t="s">
        <v>251</v>
      </c>
      <c r="D113" s="40" t="s">
        <v>222</v>
      </c>
      <c r="E113" s="40"/>
      <c r="F113" s="40"/>
      <c r="G113" s="10">
        <f t="shared" si="15"/>
        <v>630</v>
      </c>
      <c r="H113" s="10">
        <f t="shared" si="15"/>
        <v>630</v>
      </c>
    </row>
    <row r="114" spans="1:8" ht="31.5" x14ac:dyDescent="0.25">
      <c r="A114" s="25" t="s">
        <v>255</v>
      </c>
      <c r="B114" s="20" t="s">
        <v>1239</v>
      </c>
      <c r="C114" s="40" t="s">
        <v>251</v>
      </c>
      <c r="D114" s="40" t="s">
        <v>222</v>
      </c>
      <c r="E114" s="40" t="s">
        <v>256</v>
      </c>
      <c r="F114" s="40"/>
      <c r="G114" s="10">
        <f t="shared" si="15"/>
        <v>630</v>
      </c>
      <c r="H114" s="10">
        <f t="shared" si="15"/>
        <v>630</v>
      </c>
    </row>
    <row r="115" spans="1:8" ht="31.5" x14ac:dyDescent="0.25">
      <c r="A115" s="25" t="s">
        <v>355</v>
      </c>
      <c r="B115" s="20" t="s">
        <v>1239</v>
      </c>
      <c r="C115" s="40" t="s">
        <v>251</v>
      </c>
      <c r="D115" s="40" t="s">
        <v>222</v>
      </c>
      <c r="E115" s="40" t="s">
        <v>356</v>
      </c>
      <c r="F115" s="40"/>
      <c r="G115" s="10">
        <f>'пр.6.1.ведом.22-23'!G457</f>
        <v>630</v>
      </c>
      <c r="H115" s="10">
        <f>'пр.6.1.ведом.22-23'!H457</f>
        <v>630</v>
      </c>
    </row>
    <row r="116" spans="1:8" ht="47.25" x14ac:dyDescent="0.25">
      <c r="A116" s="45" t="s">
        <v>268</v>
      </c>
      <c r="B116" s="20" t="s">
        <v>1239</v>
      </c>
      <c r="C116" s="40" t="s">
        <v>251</v>
      </c>
      <c r="D116" s="40" t="s">
        <v>222</v>
      </c>
      <c r="E116" s="40" t="s">
        <v>356</v>
      </c>
      <c r="F116" s="40" t="s">
        <v>635</v>
      </c>
      <c r="G116" s="10">
        <f>G115</f>
        <v>630</v>
      </c>
      <c r="H116" s="10">
        <f>H115</f>
        <v>630</v>
      </c>
    </row>
    <row r="117" spans="1:8" ht="31.5" x14ac:dyDescent="0.25">
      <c r="A117" s="23" t="s">
        <v>1243</v>
      </c>
      <c r="B117" s="24" t="s">
        <v>1241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250</v>
      </c>
      <c r="B118" s="40" t="s">
        <v>1241</v>
      </c>
      <c r="C118" s="40" t="s">
        <v>251</v>
      </c>
      <c r="D118" s="40"/>
      <c r="E118" s="40"/>
      <c r="F118" s="40"/>
      <c r="G118" s="10">
        <f t="shared" ref="G118:H118" si="16">G119</f>
        <v>657</v>
      </c>
      <c r="H118" s="10">
        <f t="shared" si="16"/>
        <v>657</v>
      </c>
    </row>
    <row r="119" spans="1:8" ht="15.75" x14ac:dyDescent="0.25">
      <c r="A119" s="45" t="s">
        <v>259</v>
      </c>
      <c r="B119" s="40" t="s">
        <v>1241</v>
      </c>
      <c r="C119" s="40" t="s">
        <v>251</v>
      </c>
      <c r="D119" s="40" t="s">
        <v>222</v>
      </c>
      <c r="E119" s="40"/>
      <c r="F119" s="40"/>
      <c r="G119" s="10">
        <f>G120</f>
        <v>657</v>
      </c>
      <c r="H119" s="10">
        <f>H120</f>
        <v>657</v>
      </c>
    </row>
    <row r="120" spans="1:8" ht="31.5" x14ac:dyDescent="0.25">
      <c r="A120" s="25" t="s">
        <v>1240</v>
      </c>
      <c r="B120" s="20" t="s">
        <v>1242</v>
      </c>
      <c r="C120" s="40" t="s">
        <v>251</v>
      </c>
      <c r="D120" s="40" t="s">
        <v>222</v>
      </c>
      <c r="E120" s="40"/>
      <c r="F120" s="40"/>
      <c r="G120" s="10">
        <f>G121+G124</f>
        <v>657</v>
      </c>
      <c r="H120" s="10">
        <f>H121+H124</f>
        <v>657</v>
      </c>
    </row>
    <row r="121" spans="1:8" ht="31.5" x14ac:dyDescent="0.25">
      <c r="A121" s="25" t="s">
        <v>138</v>
      </c>
      <c r="B121" s="20" t="s">
        <v>1242</v>
      </c>
      <c r="C121" s="40" t="s">
        <v>251</v>
      </c>
      <c r="D121" s="40" t="s">
        <v>222</v>
      </c>
      <c r="E121" s="40" t="s">
        <v>139</v>
      </c>
      <c r="F121" s="40"/>
      <c r="G121" s="10">
        <f>G122</f>
        <v>400</v>
      </c>
      <c r="H121" s="10">
        <f>H122</f>
        <v>400</v>
      </c>
    </row>
    <row r="122" spans="1:8" ht="47.25" x14ac:dyDescent="0.25">
      <c r="A122" s="25" t="s">
        <v>140</v>
      </c>
      <c r="B122" s="20" t="s">
        <v>1242</v>
      </c>
      <c r="C122" s="40" t="s">
        <v>251</v>
      </c>
      <c r="D122" s="40" t="s">
        <v>222</v>
      </c>
      <c r="E122" s="40" t="s">
        <v>141</v>
      </c>
      <c r="F122" s="40"/>
      <c r="G122" s="10">
        <f>'пр.6.1.ведом.22-23'!G461</f>
        <v>400</v>
      </c>
      <c r="H122" s="10">
        <f>'пр.6.1.ведом.22-23'!H461</f>
        <v>400</v>
      </c>
    </row>
    <row r="123" spans="1:8" ht="47.25" x14ac:dyDescent="0.25">
      <c r="A123" s="45" t="s">
        <v>268</v>
      </c>
      <c r="B123" s="20" t="s">
        <v>1242</v>
      </c>
      <c r="C123" s="40" t="s">
        <v>251</v>
      </c>
      <c r="D123" s="40" t="s">
        <v>222</v>
      </c>
      <c r="E123" s="40" t="s">
        <v>141</v>
      </c>
      <c r="F123" s="40" t="s">
        <v>635</v>
      </c>
      <c r="G123" s="10">
        <f>G122</f>
        <v>400</v>
      </c>
      <c r="H123" s="10">
        <f>H122</f>
        <v>400</v>
      </c>
    </row>
    <row r="124" spans="1:8" ht="31.5" x14ac:dyDescent="0.25">
      <c r="A124" s="25" t="s">
        <v>255</v>
      </c>
      <c r="B124" s="20" t="s">
        <v>1242</v>
      </c>
      <c r="C124" s="40" t="s">
        <v>251</v>
      </c>
      <c r="D124" s="40" t="s">
        <v>222</v>
      </c>
      <c r="E124" s="40" t="s">
        <v>256</v>
      </c>
      <c r="F124" s="40"/>
      <c r="G124" s="10">
        <f>G125</f>
        <v>257</v>
      </c>
      <c r="H124" s="10">
        <f>H125</f>
        <v>257</v>
      </c>
    </row>
    <row r="125" spans="1:8" ht="31.5" x14ac:dyDescent="0.25">
      <c r="A125" s="25" t="s">
        <v>355</v>
      </c>
      <c r="B125" s="20" t="s">
        <v>1242</v>
      </c>
      <c r="C125" s="40" t="s">
        <v>251</v>
      </c>
      <c r="D125" s="40" t="s">
        <v>222</v>
      </c>
      <c r="E125" s="40" t="s">
        <v>356</v>
      </c>
      <c r="F125" s="40"/>
      <c r="G125" s="10">
        <f>'пр.6.1.ведом.22-23'!G463</f>
        <v>257</v>
      </c>
      <c r="H125" s="10">
        <f>'пр.6.1.ведом.22-23'!H463</f>
        <v>257</v>
      </c>
    </row>
    <row r="126" spans="1:8" ht="47.25" x14ac:dyDescent="0.25">
      <c r="A126" s="45" t="s">
        <v>268</v>
      </c>
      <c r="B126" s="20" t="s">
        <v>1242</v>
      </c>
      <c r="C126" s="40" t="s">
        <v>251</v>
      </c>
      <c r="D126" s="40" t="s">
        <v>222</v>
      </c>
      <c r="E126" s="40" t="s">
        <v>356</v>
      </c>
      <c r="F126" s="40" t="s">
        <v>635</v>
      </c>
      <c r="G126" s="10">
        <f>G125</f>
        <v>257</v>
      </c>
      <c r="H126" s="10">
        <f>H125</f>
        <v>257</v>
      </c>
    </row>
    <row r="127" spans="1:8" ht="31.5" x14ac:dyDescent="0.25">
      <c r="A127" s="23" t="s">
        <v>1007</v>
      </c>
      <c r="B127" s="24" t="s">
        <v>1236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25" t="s">
        <v>305</v>
      </c>
      <c r="B128" s="20" t="s">
        <v>1236</v>
      </c>
      <c r="C128" s="40" t="s">
        <v>306</v>
      </c>
      <c r="D128" s="40"/>
      <c r="E128" s="7"/>
      <c r="F128" s="7"/>
      <c r="G128" s="10">
        <f t="shared" ref="G128:H131" si="17">G129</f>
        <v>260</v>
      </c>
      <c r="H128" s="10">
        <f t="shared" si="17"/>
        <v>285</v>
      </c>
    </row>
    <row r="129" spans="1:8" ht="15.75" x14ac:dyDescent="0.25">
      <c r="A129" s="25" t="s">
        <v>307</v>
      </c>
      <c r="B129" s="20" t="s">
        <v>1236</v>
      </c>
      <c r="C129" s="40" t="s">
        <v>306</v>
      </c>
      <c r="D129" s="40" t="s">
        <v>157</v>
      </c>
      <c r="E129" s="7"/>
      <c r="F129" s="7"/>
      <c r="G129" s="10">
        <f t="shared" si="17"/>
        <v>260</v>
      </c>
      <c r="H129" s="10">
        <f t="shared" si="17"/>
        <v>285</v>
      </c>
    </row>
    <row r="130" spans="1:8" ht="31.5" x14ac:dyDescent="0.25">
      <c r="A130" s="25" t="s">
        <v>1006</v>
      </c>
      <c r="B130" s="20" t="s">
        <v>1237</v>
      </c>
      <c r="C130" s="40" t="s">
        <v>306</v>
      </c>
      <c r="D130" s="40" t="s">
        <v>157</v>
      </c>
      <c r="E130" s="7"/>
      <c r="F130" s="7"/>
      <c r="G130" s="10">
        <f t="shared" si="17"/>
        <v>260</v>
      </c>
      <c r="H130" s="10">
        <f t="shared" si="17"/>
        <v>285</v>
      </c>
    </row>
    <row r="131" spans="1:8" ht="31.5" x14ac:dyDescent="0.25">
      <c r="A131" s="25" t="s">
        <v>138</v>
      </c>
      <c r="B131" s="20" t="s">
        <v>1237</v>
      </c>
      <c r="C131" s="40" t="s">
        <v>306</v>
      </c>
      <c r="D131" s="40" t="s">
        <v>157</v>
      </c>
      <c r="E131" s="40" t="s">
        <v>139</v>
      </c>
      <c r="F131" s="40"/>
      <c r="G131" s="10">
        <f t="shared" si="17"/>
        <v>260</v>
      </c>
      <c r="H131" s="10">
        <f t="shared" si="17"/>
        <v>285</v>
      </c>
    </row>
    <row r="132" spans="1:8" s="202" customFormat="1" ht="47.25" x14ac:dyDescent="0.25">
      <c r="A132" s="25" t="s">
        <v>140</v>
      </c>
      <c r="B132" s="20" t="s">
        <v>1237</v>
      </c>
      <c r="C132" s="40" t="s">
        <v>306</v>
      </c>
      <c r="D132" s="40" t="s">
        <v>157</v>
      </c>
      <c r="E132" s="40" t="s">
        <v>141</v>
      </c>
      <c r="F132" s="40"/>
      <c r="G132" s="10">
        <f>'пр.6.1.ведом.22-23'!G439</f>
        <v>260</v>
      </c>
      <c r="H132" s="10">
        <f>'пр.6.1.ведом.22-23'!H439</f>
        <v>285</v>
      </c>
    </row>
    <row r="133" spans="1:8" s="202" customFormat="1" ht="47.25" x14ac:dyDescent="0.25">
      <c r="A133" s="45" t="s">
        <v>268</v>
      </c>
      <c r="B133" s="20" t="s">
        <v>1237</v>
      </c>
      <c r="C133" s="40" t="s">
        <v>306</v>
      </c>
      <c r="D133" s="40" t="s">
        <v>157</v>
      </c>
      <c r="E133" s="40" t="s">
        <v>141</v>
      </c>
      <c r="F133" s="40" t="s">
        <v>635</v>
      </c>
      <c r="G133" s="10">
        <f>G132</f>
        <v>260</v>
      </c>
      <c r="H133" s="10">
        <f>H132</f>
        <v>285</v>
      </c>
    </row>
    <row r="134" spans="1:8" s="202" customFormat="1" ht="15.75" x14ac:dyDescent="0.25">
      <c r="A134" s="45" t="s">
        <v>250</v>
      </c>
      <c r="B134" s="20" t="s">
        <v>1236</v>
      </c>
      <c r="C134" s="40" t="s">
        <v>251</v>
      </c>
      <c r="D134" s="40"/>
      <c r="E134" s="40"/>
      <c r="F134" s="40"/>
      <c r="G134" s="10">
        <f t="shared" ref="G134:H137" si="18">G135</f>
        <v>420</v>
      </c>
      <c r="H134" s="10">
        <f t="shared" si="18"/>
        <v>450</v>
      </c>
    </row>
    <row r="135" spans="1:8" ht="15.75" x14ac:dyDescent="0.25">
      <c r="A135" s="45" t="s">
        <v>259</v>
      </c>
      <c r="B135" s="20" t="s">
        <v>1236</v>
      </c>
      <c r="C135" s="40" t="s">
        <v>251</v>
      </c>
      <c r="D135" s="40" t="s">
        <v>222</v>
      </c>
      <c r="E135" s="40"/>
      <c r="F135" s="40"/>
      <c r="G135" s="10">
        <f t="shared" si="18"/>
        <v>420</v>
      </c>
      <c r="H135" s="10">
        <f t="shared" si="18"/>
        <v>450</v>
      </c>
    </row>
    <row r="136" spans="1:8" ht="15.75" x14ac:dyDescent="0.25">
      <c r="A136" s="25" t="s">
        <v>1046</v>
      </c>
      <c r="B136" s="20" t="s">
        <v>1238</v>
      </c>
      <c r="C136" s="40" t="s">
        <v>251</v>
      </c>
      <c r="D136" s="40" t="s">
        <v>222</v>
      </c>
      <c r="E136" s="40"/>
      <c r="F136" s="40"/>
      <c r="G136" s="10">
        <f t="shared" si="18"/>
        <v>420</v>
      </c>
      <c r="H136" s="10">
        <f t="shared" si="18"/>
        <v>450</v>
      </c>
    </row>
    <row r="137" spans="1:8" ht="31.5" x14ac:dyDescent="0.25">
      <c r="A137" s="25" t="s">
        <v>255</v>
      </c>
      <c r="B137" s="20" t="s">
        <v>1238</v>
      </c>
      <c r="C137" s="40" t="s">
        <v>251</v>
      </c>
      <c r="D137" s="40" t="s">
        <v>222</v>
      </c>
      <c r="E137" s="40" t="s">
        <v>256</v>
      </c>
      <c r="F137" s="40"/>
      <c r="G137" s="10">
        <f t="shared" si="18"/>
        <v>420</v>
      </c>
      <c r="H137" s="10">
        <f t="shared" si="18"/>
        <v>450</v>
      </c>
    </row>
    <row r="138" spans="1:8" ht="31.5" x14ac:dyDescent="0.25">
      <c r="A138" s="25" t="s">
        <v>355</v>
      </c>
      <c r="B138" s="20" t="s">
        <v>1238</v>
      </c>
      <c r="C138" s="40" t="s">
        <v>251</v>
      </c>
      <c r="D138" s="40" t="s">
        <v>222</v>
      </c>
      <c r="E138" s="40" t="s">
        <v>356</v>
      </c>
      <c r="F138" s="40"/>
      <c r="G138" s="10">
        <f>'Пр.4 ведом.21'!G457</f>
        <v>420</v>
      </c>
      <c r="H138" s="10">
        <f>'пр.6.1.ведом.22-23'!H467</f>
        <v>450</v>
      </c>
    </row>
    <row r="139" spans="1:8" ht="47.25" x14ac:dyDescent="0.25">
      <c r="A139" s="45" t="s">
        <v>268</v>
      </c>
      <c r="B139" s="20" t="s">
        <v>1238</v>
      </c>
      <c r="C139" s="40" t="s">
        <v>251</v>
      </c>
      <c r="D139" s="40" t="s">
        <v>222</v>
      </c>
      <c r="E139" s="40" t="s">
        <v>356</v>
      </c>
      <c r="F139" s="40" t="s">
        <v>635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1375</v>
      </c>
      <c r="B140" s="7" t="s">
        <v>413</v>
      </c>
      <c r="C140" s="7"/>
      <c r="D140" s="7"/>
      <c r="E140" s="7"/>
      <c r="F140" s="7"/>
      <c r="G140" s="59">
        <f>G141+G158+G215+G248+G255+G284+G291+G298+G305+G312+G330+G323+G337</f>
        <v>324504.29999999993</v>
      </c>
      <c r="H140" s="59">
        <f>H141+H158+H215+H248+H255+H284+H291+H298+H305+H312+H330+H323+H337</f>
        <v>347534.15</v>
      </c>
    </row>
    <row r="141" spans="1:8" ht="47.25" x14ac:dyDescent="0.25">
      <c r="A141" s="23" t="s">
        <v>947</v>
      </c>
      <c r="B141" s="24" t="s">
        <v>1245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270</v>
      </c>
      <c r="B142" s="40" t="s">
        <v>1245</v>
      </c>
      <c r="C142" s="40" t="s">
        <v>271</v>
      </c>
      <c r="D142" s="40"/>
      <c r="E142" s="40"/>
      <c r="F142" s="40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411</v>
      </c>
      <c r="B143" s="40" t="s">
        <v>1245</v>
      </c>
      <c r="C143" s="40" t="s">
        <v>271</v>
      </c>
      <c r="D143" s="40" t="s">
        <v>125</v>
      </c>
      <c r="E143" s="40"/>
      <c r="F143" s="40"/>
      <c r="G143" s="10">
        <f>G144</f>
        <v>14795.6</v>
      </c>
      <c r="H143" s="10">
        <f>H144</f>
        <v>14795.6</v>
      </c>
    </row>
    <row r="144" spans="1:8" ht="47.25" x14ac:dyDescent="0.25">
      <c r="A144" s="25" t="s">
        <v>1244</v>
      </c>
      <c r="B144" s="20" t="s">
        <v>1246</v>
      </c>
      <c r="C144" s="40" t="s">
        <v>271</v>
      </c>
      <c r="D144" s="40" t="s">
        <v>125</v>
      </c>
      <c r="E144" s="40"/>
      <c r="F144" s="40"/>
      <c r="G144" s="10">
        <f t="shared" ref="G144:H145" si="19">G145</f>
        <v>14795.6</v>
      </c>
      <c r="H144" s="10">
        <f t="shared" si="19"/>
        <v>14795.6</v>
      </c>
    </row>
    <row r="145" spans="1:8" ht="47.25" x14ac:dyDescent="0.25">
      <c r="A145" s="25" t="s">
        <v>279</v>
      </c>
      <c r="B145" s="20" t="s">
        <v>1246</v>
      </c>
      <c r="C145" s="40" t="s">
        <v>271</v>
      </c>
      <c r="D145" s="40" t="s">
        <v>125</v>
      </c>
      <c r="E145" s="40" t="s">
        <v>280</v>
      </c>
      <c r="F145" s="40"/>
      <c r="G145" s="10">
        <f t="shared" si="19"/>
        <v>14795.6</v>
      </c>
      <c r="H145" s="10">
        <f t="shared" si="19"/>
        <v>14795.6</v>
      </c>
    </row>
    <row r="146" spans="1:8" ht="15.75" x14ac:dyDescent="0.25">
      <c r="A146" s="25" t="s">
        <v>281</v>
      </c>
      <c r="B146" s="20" t="s">
        <v>1246</v>
      </c>
      <c r="C146" s="40" t="s">
        <v>271</v>
      </c>
      <c r="D146" s="40" t="s">
        <v>125</v>
      </c>
      <c r="E146" s="40" t="s">
        <v>282</v>
      </c>
      <c r="F146" s="40"/>
      <c r="G146" s="6">
        <f>'пр.6.1.ведом.22-23'!G554</f>
        <v>14795.6</v>
      </c>
      <c r="H146" s="6">
        <f>'пр.6.1.ведом.22-23'!H554</f>
        <v>14795.6</v>
      </c>
    </row>
    <row r="147" spans="1:8" ht="31.5" x14ac:dyDescent="0.25">
      <c r="A147" s="29" t="s">
        <v>410</v>
      </c>
      <c r="B147" s="20" t="s">
        <v>1246</v>
      </c>
      <c r="C147" s="40" t="s">
        <v>271</v>
      </c>
      <c r="D147" s="40" t="s">
        <v>125</v>
      </c>
      <c r="E147" s="40" t="s">
        <v>282</v>
      </c>
      <c r="F147" s="40" t="s">
        <v>644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432</v>
      </c>
      <c r="B148" s="40" t="s">
        <v>1245</v>
      </c>
      <c r="C148" s="40" t="s">
        <v>271</v>
      </c>
      <c r="D148" s="40" t="s">
        <v>220</v>
      </c>
      <c r="E148" s="40"/>
      <c r="F148" s="40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25" t="s">
        <v>434</v>
      </c>
      <c r="B149" s="20" t="s">
        <v>1264</v>
      </c>
      <c r="C149" s="40" t="s">
        <v>271</v>
      </c>
      <c r="D149" s="40" t="s">
        <v>220</v>
      </c>
      <c r="E149" s="40"/>
      <c r="F149" s="40"/>
      <c r="G149" s="10">
        <f t="shared" ref="G149:H150" si="20">G150</f>
        <v>28690.799999999999</v>
      </c>
      <c r="H149" s="10">
        <f t="shared" si="20"/>
        <v>28690.799999999999</v>
      </c>
    </row>
    <row r="150" spans="1:8" ht="47.25" x14ac:dyDescent="0.25">
      <c r="A150" s="25" t="s">
        <v>279</v>
      </c>
      <c r="B150" s="20" t="s">
        <v>1264</v>
      </c>
      <c r="C150" s="40" t="s">
        <v>271</v>
      </c>
      <c r="D150" s="40" t="s">
        <v>220</v>
      </c>
      <c r="E150" s="40" t="s">
        <v>280</v>
      </c>
      <c r="F150" s="40"/>
      <c r="G150" s="10">
        <f t="shared" si="20"/>
        <v>28690.799999999999</v>
      </c>
      <c r="H150" s="10">
        <f t="shared" si="20"/>
        <v>28690.799999999999</v>
      </c>
    </row>
    <row r="151" spans="1:8" ht="15.75" x14ac:dyDescent="0.25">
      <c r="A151" s="25" t="s">
        <v>281</v>
      </c>
      <c r="B151" s="20" t="s">
        <v>1264</v>
      </c>
      <c r="C151" s="40" t="s">
        <v>271</v>
      </c>
      <c r="D151" s="40" t="s">
        <v>220</v>
      </c>
      <c r="E151" s="40" t="s">
        <v>282</v>
      </c>
      <c r="F151" s="40"/>
      <c r="G151" s="6">
        <f>'пр.6.1.ведом.22-23'!G614</f>
        <v>28690.799999999999</v>
      </c>
      <c r="H151" s="6">
        <f>'пр.6.1.ведом.22-23'!H614</f>
        <v>28690.799999999999</v>
      </c>
    </row>
    <row r="152" spans="1:8" ht="31.5" x14ac:dyDescent="0.25">
      <c r="A152" s="29" t="s">
        <v>410</v>
      </c>
      <c r="B152" s="20" t="s">
        <v>1264</v>
      </c>
      <c r="C152" s="40" t="s">
        <v>271</v>
      </c>
      <c r="D152" s="40" t="s">
        <v>220</v>
      </c>
      <c r="E152" s="40" t="s">
        <v>282</v>
      </c>
      <c r="F152" s="40" t="s">
        <v>644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272</v>
      </c>
      <c r="B153" s="40" t="s">
        <v>1245</v>
      </c>
      <c r="C153" s="40" t="s">
        <v>271</v>
      </c>
      <c r="D153" s="40" t="s">
        <v>222</v>
      </c>
      <c r="E153" s="40"/>
      <c r="F153" s="40"/>
      <c r="G153" s="6">
        <f t="shared" ref="G153:H155" si="21">G154</f>
        <v>37056.300000000003</v>
      </c>
      <c r="H153" s="6">
        <f t="shared" si="21"/>
        <v>37056.300000000003</v>
      </c>
    </row>
    <row r="154" spans="1:8" ht="47.25" x14ac:dyDescent="0.25">
      <c r="A154" s="29" t="s">
        <v>277</v>
      </c>
      <c r="B154" s="20" t="s">
        <v>1275</v>
      </c>
      <c r="C154" s="40" t="s">
        <v>271</v>
      </c>
      <c r="D154" s="40" t="s">
        <v>222</v>
      </c>
      <c r="E154" s="7"/>
      <c r="F154" s="7"/>
      <c r="G154" s="10">
        <f t="shared" si="21"/>
        <v>37056.300000000003</v>
      </c>
      <c r="H154" s="10">
        <f t="shared" si="21"/>
        <v>37056.300000000003</v>
      </c>
    </row>
    <row r="155" spans="1:8" ht="47.25" x14ac:dyDescent="0.25">
      <c r="A155" s="29" t="s">
        <v>279</v>
      </c>
      <c r="B155" s="20" t="s">
        <v>1275</v>
      </c>
      <c r="C155" s="40" t="s">
        <v>271</v>
      </c>
      <c r="D155" s="40" t="s">
        <v>222</v>
      </c>
      <c r="E155" s="40" t="s">
        <v>280</v>
      </c>
      <c r="F155" s="40"/>
      <c r="G155" s="10">
        <f t="shared" si="21"/>
        <v>37056.300000000003</v>
      </c>
      <c r="H155" s="10">
        <f t="shared" si="21"/>
        <v>37056.300000000003</v>
      </c>
    </row>
    <row r="156" spans="1:8" ht="15.75" x14ac:dyDescent="0.25">
      <c r="A156" s="29" t="s">
        <v>281</v>
      </c>
      <c r="B156" s="20" t="s">
        <v>1275</v>
      </c>
      <c r="C156" s="40" t="s">
        <v>271</v>
      </c>
      <c r="D156" s="40" t="s">
        <v>222</v>
      </c>
      <c r="E156" s="40" t="s">
        <v>282</v>
      </c>
      <c r="F156" s="40"/>
      <c r="G156" s="6">
        <f>'пр.6.1.ведом.22-23'!G696</f>
        <v>37056.300000000003</v>
      </c>
      <c r="H156" s="6">
        <f>'пр.6.1.ведом.22-23'!H696</f>
        <v>37056.300000000003</v>
      </c>
    </row>
    <row r="157" spans="1:8" ht="31.5" x14ac:dyDescent="0.25">
      <c r="A157" s="29" t="s">
        <v>410</v>
      </c>
      <c r="B157" s="20" t="s">
        <v>1275</v>
      </c>
      <c r="C157" s="40" t="s">
        <v>271</v>
      </c>
      <c r="D157" s="40" t="s">
        <v>222</v>
      </c>
      <c r="E157" s="40" t="s">
        <v>282</v>
      </c>
      <c r="F157" s="40" t="s">
        <v>644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23" t="s">
        <v>910</v>
      </c>
      <c r="B158" s="24" t="s">
        <v>1247</v>
      </c>
      <c r="C158" s="7"/>
      <c r="D158" s="7"/>
      <c r="E158" s="7"/>
      <c r="F158" s="7"/>
      <c r="G158" s="4">
        <f>G159</f>
        <v>209060.9</v>
      </c>
      <c r="H158" s="4">
        <f>H159</f>
        <v>232587.40000000002</v>
      </c>
    </row>
    <row r="159" spans="1:8" ht="15.75" x14ac:dyDescent="0.25">
      <c r="A159" s="29" t="s">
        <v>270</v>
      </c>
      <c r="B159" s="40" t="s">
        <v>1247</v>
      </c>
      <c r="C159" s="40" t="s">
        <v>271</v>
      </c>
      <c r="D159" s="40"/>
      <c r="E159" s="40"/>
      <c r="F159" s="40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411</v>
      </c>
      <c r="B160" s="40" t="s">
        <v>1247</v>
      </c>
      <c r="C160" s="40" t="s">
        <v>271</v>
      </c>
      <c r="D160" s="40" t="s">
        <v>125</v>
      </c>
      <c r="E160" s="40"/>
      <c r="F160" s="40"/>
      <c r="G160" s="10">
        <f>G165+G169+G173+G161</f>
        <v>75561.5</v>
      </c>
      <c r="H160" s="10">
        <f>H165+H169+H173+H161</f>
        <v>79924.100000000006</v>
      </c>
    </row>
    <row r="161" spans="1:8" s="202" customFormat="1" ht="110.25" x14ac:dyDescent="0.25">
      <c r="A161" s="31" t="s">
        <v>300</v>
      </c>
      <c r="B161" s="20" t="s">
        <v>1407</v>
      </c>
      <c r="C161" s="40" t="s">
        <v>271</v>
      </c>
      <c r="D161" s="40" t="s">
        <v>125</v>
      </c>
      <c r="E161" s="40"/>
      <c r="F161" s="40"/>
      <c r="G161" s="6">
        <f>G162</f>
        <v>3230</v>
      </c>
      <c r="H161" s="6">
        <f>H162</f>
        <v>3230</v>
      </c>
    </row>
    <row r="162" spans="1:8" s="202" customFormat="1" ht="47.25" x14ac:dyDescent="0.25">
      <c r="A162" s="25" t="s">
        <v>279</v>
      </c>
      <c r="B162" s="20" t="s">
        <v>1407</v>
      </c>
      <c r="C162" s="40" t="s">
        <v>271</v>
      </c>
      <c r="D162" s="40" t="s">
        <v>125</v>
      </c>
      <c r="E162" s="40" t="s">
        <v>280</v>
      </c>
      <c r="F162" s="40"/>
      <c r="G162" s="6">
        <f>G163</f>
        <v>3230</v>
      </c>
      <c r="H162" s="6">
        <f>H163</f>
        <v>3230</v>
      </c>
    </row>
    <row r="163" spans="1:8" s="202" customFormat="1" ht="15.75" x14ac:dyDescent="0.25">
      <c r="A163" s="25" t="s">
        <v>281</v>
      </c>
      <c r="B163" s="20" t="s">
        <v>1407</v>
      </c>
      <c r="C163" s="40" t="s">
        <v>271</v>
      </c>
      <c r="D163" s="40" t="s">
        <v>125</v>
      </c>
      <c r="E163" s="40" t="s">
        <v>282</v>
      </c>
      <c r="F163" s="40"/>
      <c r="G163" s="6">
        <f>'пр.6.1.ведом.22-23'!G558</f>
        <v>3230</v>
      </c>
      <c r="H163" s="6">
        <f>'пр.6.1.ведом.22-23'!H558</f>
        <v>3230</v>
      </c>
    </row>
    <row r="164" spans="1:8" s="202" customFormat="1" ht="31.5" x14ac:dyDescent="0.25">
      <c r="A164" s="29" t="s">
        <v>410</v>
      </c>
      <c r="B164" s="20" t="s">
        <v>1407</v>
      </c>
      <c r="C164" s="40" t="s">
        <v>271</v>
      </c>
      <c r="D164" s="40" t="s">
        <v>125</v>
      </c>
      <c r="E164" s="40" t="s">
        <v>282</v>
      </c>
      <c r="F164" s="40" t="s">
        <v>644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296</v>
      </c>
      <c r="B165" s="20" t="s">
        <v>1248</v>
      </c>
      <c r="C165" s="40" t="s">
        <v>271</v>
      </c>
      <c r="D165" s="40" t="s">
        <v>125</v>
      </c>
      <c r="E165" s="40"/>
      <c r="F165" s="40"/>
      <c r="G165" s="6">
        <f>G166</f>
        <v>589</v>
      </c>
      <c r="H165" s="6">
        <f>H166</f>
        <v>589</v>
      </c>
    </row>
    <row r="166" spans="1:8" ht="47.25" x14ac:dyDescent="0.25">
      <c r="A166" s="25" t="s">
        <v>279</v>
      </c>
      <c r="B166" s="20" t="s">
        <v>1248</v>
      </c>
      <c r="C166" s="40" t="s">
        <v>271</v>
      </c>
      <c r="D166" s="40" t="s">
        <v>125</v>
      </c>
      <c r="E166" s="40" t="s">
        <v>280</v>
      </c>
      <c r="F166" s="40"/>
      <c r="G166" s="6">
        <f>G167</f>
        <v>589</v>
      </c>
      <c r="H166" s="6">
        <f>H167</f>
        <v>589</v>
      </c>
    </row>
    <row r="167" spans="1:8" ht="15.75" x14ac:dyDescent="0.25">
      <c r="A167" s="25" t="s">
        <v>281</v>
      </c>
      <c r="B167" s="20" t="s">
        <v>1248</v>
      </c>
      <c r="C167" s="40" t="s">
        <v>271</v>
      </c>
      <c r="D167" s="40" t="s">
        <v>125</v>
      </c>
      <c r="E167" s="40" t="s">
        <v>282</v>
      </c>
      <c r="F167" s="40"/>
      <c r="G167" s="6">
        <f>'пр.6.1.ведом.22-23'!G561</f>
        <v>589</v>
      </c>
      <c r="H167" s="6">
        <f>'пр.6.1.ведом.22-23'!H561</f>
        <v>589</v>
      </c>
    </row>
    <row r="168" spans="1:8" ht="31.5" x14ac:dyDescent="0.25">
      <c r="A168" s="29" t="s">
        <v>410</v>
      </c>
      <c r="B168" s="20" t="s">
        <v>1248</v>
      </c>
      <c r="C168" s="40" t="s">
        <v>271</v>
      </c>
      <c r="D168" s="40" t="s">
        <v>125</v>
      </c>
      <c r="E168" s="40" t="s">
        <v>282</v>
      </c>
      <c r="F168" s="40" t="s">
        <v>644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298</v>
      </c>
      <c r="B169" s="20" t="s">
        <v>1249</v>
      </c>
      <c r="C169" s="40" t="s">
        <v>271</v>
      </c>
      <c r="D169" s="40" t="s">
        <v>125</v>
      </c>
      <c r="E169" s="40"/>
      <c r="F169" s="40"/>
      <c r="G169" s="6">
        <f>G170</f>
        <v>1629.3</v>
      </c>
      <c r="H169" s="6">
        <f>H170</f>
        <v>1629.3</v>
      </c>
    </row>
    <row r="170" spans="1:8" ht="47.25" x14ac:dyDescent="0.25">
      <c r="A170" s="25" t="s">
        <v>279</v>
      </c>
      <c r="B170" s="20" t="s">
        <v>1249</v>
      </c>
      <c r="C170" s="40" t="s">
        <v>271</v>
      </c>
      <c r="D170" s="40" t="s">
        <v>125</v>
      </c>
      <c r="E170" s="40" t="s">
        <v>280</v>
      </c>
      <c r="F170" s="40"/>
      <c r="G170" s="6">
        <f>G171</f>
        <v>1629.3</v>
      </c>
      <c r="H170" s="6">
        <f>H171</f>
        <v>1629.3</v>
      </c>
    </row>
    <row r="171" spans="1:8" ht="15.75" x14ac:dyDescent="0.25">
      <c r="A171" s="25" t="s">
        <v>281</v>
      </c>
      <c r="B171" s="20" t="s">
        <v>1249</v>
      </c>
      <c r="C171" s="40" t="s">
        <v>271</v>
      </c>
      <c r="D171" s="40" t="s">
        <v>125</v>
      </c>
      <c r="E171" s="40" t="s">
        <v>282</v>
      </c>
      <c r="F171" s="40"/>
      <c r="G171" s="6">
        <f>'пр.6.1.ведом.22-23'!G564</f>
        <v>1629.3</v>
      </c>
      <c r="H171" s="6">
        <f>'пр.6.1.ведом.22-23'!H564</f>
        <v>1629.3</v>
      </c>
    </row>
    <row r="172" spans="1:8" ht="31.5" x14ac:dyDescent="0.25">
      <c r="A172" s="29" t="s">
        <v>410</v>
      </c>
      <c r="B172" s="20" t="s">
        <v>1249</v>
      </c>
      <c r="C172" s="40" t="s">
        <v>271</v>
      </c>
      <c r="D172" s="40" t="s">
        <v>125</v>
      </c>
      <c r="E172" s="40" t="s">
        <v>282</v>
      </c>
      <c r="F172" s="40" t="s">
        <v>644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1197</v>
      </c>
      <c r="B173" s="20" t="s">
        <v>1250</v>
      </c>
      <c r="C173" s="40" t="s">
        <v>271</v>
      </c>
      <c r="D173" s="40" t="s">
        <v>125</v>
      </c>
      <c r="E173" s="40"/>
      <c r="F173" s="40"/>
      <c r="G173" s="6">
        <f>G174</f>
        <v>70113.2</v>
      </c>
      <c r="H173" s="6">
        <f>H174</f>
        <v>74475.8</v>
      </c>
    </row>
    <row r="174" spans="1:8" ht="47.25" x14ac:dyDescent="0.25">
      <c r="A174" s="25" t="s">
        <v>279</v>
      </c>
      <c r="B174" s="20" t="s">
        <v>1250</v>
      </c>
      <c r="C174" s="40" t="s">
        <v>271</v>
      </c>
      <c r="D174" s="40" t="s">
        <v>125</v>
      </c>
      <c r="E174" s="40" t="s">
        <v>280</v>
      </c>
      <c r="F174" s="40"/>
      <c r="G174" s="6">
        <f>G175</f>
        <v>70113.2</v>
      </c>
      <c r="H174" s="6">
        <f>H175</f>
        <v>74475.8</v>
      </c>
    </row>
    <row r="175" spans="1:8" ht="15.75" x14ac:dyDescent="0.25">
      <c r="A175" s="25" t="s">
        <v>281</v>
      </c>
      <c r="B175" s="20" t="s">
        <v>1250</v>
      </c>
      <c r="C175" s="40" t="s">
        <v>271</v>
      </c>
      <c r="D175" s="40" t="s">
        <v>125</v>
      </c>
      <c r="E175" s="40" t="s">
        <v>282</v>
      </c>
      <c r="F175" s="40"/>
      <c r="G175" s="6">
        <f>'пр.6.1.ведом.22-23'!G567</f>
        <v>70113.2</v>
      </c>
      <c r="H175" s="6">
        <f>'пр.6.1.ведом.22-23'!H567</f>
        <v>74475.8</v>
      </c>
    </row>
    <row r="176" spans="1:8" ht="31.5" x14ac:dyDescent="0.25">
      <c r="A176" s="29" t="s">
        <v>410</v>
      </c>
      <c r="B176" s="20" t="s">
        <v>1250</v>
      </c>
      <c r="C176" s="40" t="s">
        <v>271</v>
      </c>
      <c r="D176" s="40" t="s">
        <v>125</v>
      </c>
      <c r="E176" s="40" t="s">
        <v>282</v>
      </c>
      <c r="F176" s="40" t="s">
        <v>644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432</v>
      </c>
      <c r="B177" s="40" t="s">
        <v>1247</v>
      </c>
      <c r="C177" s="40" t="s">
        <v>271</v>
      </c>
      <c r="D177" s="40" t="s">
        <v>220</v>
      </c>
      <c r="E177" s="40"/>
      <c r="F177" s="40"/>
      <c r="G177" s="10">
        <f>G186+G190+G194+G198+G182+G178</f>
        <v>131370.9</v>
      </c>
      <c r="H177" s="10">
        <f>H186+H190+H194+H198+H182+H178</f>
        <v>150534.80000000002</v>
      </c>
    </row>
    <row r="178" spans="1:8" s="202" customFormat="1" ht="78.75" x14ac:dyDescent="0.25">
      <c r="A178" s="25" t="s">
        <v>1409</v>
      </c>
      <c r="B178" s="20" t="s">
        <v>1410</v>
      </c>
      <c r="C178" s="40" t="s">
        <v>271</v>
      </c>
      <c r="D178" s="40" t="s">
        <v>220</v>
      </c>
      <c r="E178" s="40"/>
      <c r="F178" s="40"/>
      <c r="G178" s="10">
        <f>G179</f>
        <v>7226.1</v>
      </c>
      <c r="H178" s="10">
        <f>H179</f>
        <v>7226.1</v>
      </c>
    </row>
    <row r="179" spans="1:8" s="202" customFormat="1" ht="47.25" x14ac:dyDescent="0.25">
      <c r="A179" s="25" t="s">
        <v>279</v>
      </c>
      <c r="B179" s="20" t="s">
        <v>1410</v>
      </c>
      <c r="C179" s="40" t="s">
        <v>271</v>
      </c>
      <c r="D179" s="40" t="s">
        <v>220</v>
      </c>
      <c r="E179" s="40" t="s">
        <v>280</v>
      </c>
      <c r="F179" s="40"/>
      <c r="G179" s="10">
        <f>G180</f>
        <v>7226.1</v>
      </c>
      <c r="H179" s="10">
        <f>H180</f>
        <v>7226.1</v>
      </c>
    </row>
    <row r="180" spans="1:8" s="202" customFormat="1" ht="15.75" x14ac:dyDescent="0.25">
      <c r="A180" s="25" t="s">
        <v>281</v>
      </c>
      <c r="B180" s="20" t="s">
        <v>1410</v>
      </c>
      <c r="C180" s="40" t="s">
        <v>271</v>
      </c>
      <c r="D180" s="40" t="s">
        <v>220</v>
      </c>
      <c r="E180" s="40" t="s">
        <v>282</v>
      </c>
      <c r="F180" s="40"/>
      <c r="G180" s="10">
        <f>'пр.6.1.ведом.22-23'!G618</f>
        <v>7226.1</v>
      </c>
      <c r="H180" s="10">
        <f>'пр.6.1.ведом.22-23'!H618</f>
        <v>7226.1</v>
      </c>
    </row>
    <row r="181" spans="1:8" s="202" customFormat="1" ht="31.5" x14ac:dyDescent="0.25">
      <c r="A181" s="45" t="s">
        <v>410</v>
      </c>
      <c r="B181" s="20" t="s">
        <v>1410</v>
      </c>
      <c r="C181" s="40" t="s">
        <v>271</v>
      </c>
      <c r="D181" s="40" t="s">
        <v>220</v>
      </c>
      <c r="E181" s="40" t="s">
        <v>282</v>
      </c>
      <c r="F181" s="40" t="s">
        <v>644</v>
      </c>
      <c r="G181" s="10">
        <f>G178</f>
        <v>7226.1</v>
      </c>
      <c r="H181" s="10">
        <f>H178</f>
        <v>7226.1</v>
      </c>
    </row>
    <row r="182" spans="1:8" s="202" customFormat="1" ht="110.25" x14ac:dyDescent="0.25">
      <c r="A182" s="31" t="s">
        <v>471</v>
      </c>
      <c r="B182" s="20" t="s">
        <v>1407</v>
      </c>
      <c r="C182" s="40" t="s">
        <v>271</v>
      </c>
      <c r="D182" s="40" t="s">
        <v>220</v>
      </c>
      <c r="E182" s="40"/>
      <c r="F182" s="40"/>
      <c r="G182" s="6">
        <f>G183</f>
        <v>4610</v>
      </c>
      <c r="H182" s="6">
        <f>H183</f>
        <v>4610</v>
      </c>
    </row>
    <row r="183" spans="1:8" s="202" customFormat="1" ht="47.25" x14ac:dyDescent="0.25">
      <c r="A183" s="25" t="s">
        <v>279</v>
      </c>
      <c r="B183" s="20" t="s">
        <v>1407</v>
      </c>
      <c r="C183" s="40" t="s">
        <v>271</v>
      </c>
      <c r="D183" s="40" t="s">
        <v>220</v>
      </c>
      <c r="E183" s="40" t="s">
        <v>280</v>
      </c>
      <c r="F183" s="40"/>
      <c r="G183" s="6">
        <f>G184</f>
        <v>4610</v>
      </c>
      <c r="H183" s="6">
        <f>H184</f>
        <v>4610</v>
      </c>
    </row>
    <row r="184" spans="1:8" s="202" customFormat="1" ht="15.75" x14ac:dyDescent="0.25">
      <c r="A184" s="25" t="s">
        <v>281</v>
      </c>
      <c r="B184" s="20" t="s">
        <v>1407</v>
      </c>
      <c r="C184" s="40" t="s">
        <v>271</v>
      </c>
      <c r="D184" s="40" t="s">
        <v>220</v>
      </c>
      <c r="E184" s="40" t="s">
        <v>282</v>
      </c>
      <c r="F184" s="40"/>
      <c r="G184" s="6">
        <f>'пр.6.1.ведом.22-23'!G621</f>
        <v>4610</v>
      </c>
      <c r="H184" s="6">
        <f>'пр.6.1.ведом.22-23'!H621</f>
        <v>4610</v>
      </c>
    </row>
    <row r="185" spans="1:8" s="202" customFormat="1" ht="31.5" x14ac:dyDescent="0.25">
      <c r="A185" s="29" t="s">
        <v>410</v>
      </c>
      <c r="B185" s="20" t="s">
        <v>1407</v>
      </c>
      <c r="C185" s="40" t="s">
        <v>271</v>
      </c>
      <c r="D185" s="40" t="s">
        <v>220</v>
      </c>
      <c r="E185" s="40" t="s">
        <v>282</v>
      </c>
      <c r="F185" s="40" t="s">
        <v>644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1198</v>
      </c>
      <c r="B186" s="20" t="s">
        <v>1265</v>
      </c>
      <c r="C186" s="40" t="s">
        <v>271</v>
      </c>
      <c r="D186" s="40" t="s">
        <v>220</v>
      </c>
      <c r="E186" s="40"/>
      <c r="F186" s="40"/>
      <c r="G186" s="6">
        <f>G187</f>
        <v>115047.8</v>
      </c>
      <c r="H186" s="6">
        <f>H187</f>
        <v>134211.70000000001</v>
      </c>
    </row>
    <row r="187" spans="1:8" ht="47.25" x14ac:dyDescent="0.25">
      <c r="A187" s="25" t="s">
        <v>279</v>
      </c>
      <c r="B187" s="20" t="s">
        <v>1265</v>
      </c>
      <c r="C187" s="40" t="s">
        <v>271</v>
      </c>
      <c r="D187" s="40" t="s">
        <v>220</v>
      </c>
      <c r="E187" s="40" t="s">
        <v>280</v>
      </c>
      <c r="F187" s="40"/>
      <c r="G187" s="6">
        <f>G188</f>
        <v>115047.8</v>
      </c>
      <c r="H187" s="6">
        <f>H188</f>
        <v>134211.70000000001</v>
      </c>
    </row>
    <row r="188" spans="1:8" ht="15.75" x14ac:dyDescent="0.25">
      <c r="A188" s="25" t="s">
        <v>281</v>
      </c>
      <c r="B188" s="20" t="s">
        <v>1265</v>
      </c>
      <c r="C188" s="40" t="s">
        <v>271</v>
      </c>
      <c r="D188" s="40" t="s">
        <v>220</v>
      </c>
      <c r="E188" s="40" t="s">
        <v>282</v>
      </c>
      <c r="F188" s="40"/>
      <c r="G188" s="6">
        <f>'пр.6.1.ведом.22-23'!G624</f>
        <v>115047.8</v>
      </c>
      <c r="H188" s="6">
        <f>'пр.6.1.ведом.22-23'!H624</f>
        <v>134211.70000000001</v>
      </c>
    </row>
    <row r="189" spans="1:8" ht="31.5" x14ac:dyDescent="0.25">
      <c r="A189" s="29" t="s">
        <v>410</v>
      </c>
      <c r="B189" s="20" t="s">
        <v>1265</v>
      </c>
      <c r="C189" s="40" t="s">
        <v>271</v>
      </c>
      <c r="D189" s="40" t="s">
        <v>220</v>
      </c>
      <c r="E189" s="40" t="s">
        <v>282</v>
      </c>
      <c r="F189" s="40" t="s">
        <v>644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296</v>
      </c>
      <c r="B190" s="20" t="s">
        <v>1248</v>
      </c>
      <c r="C190" s="40" t="s">
        <v>271</v>
      </c>
      <c r="D190" s="40" t="s">
        <v>220</v>
      </c>
      <c r="E190" s="40"/>
      <c r="F190" s="40"/>
      <c r="G190" s="6">
        <f>G191</f>
        <v>1311</v>
      </c>
      <c r="H190" s="6">
        <f>H191</f>
        <v>1311</v>
      </c>
    </row>
    <row r="191" spans="1:8" ht="47.25" x14ac:dyDescent="0.25">
      <c r="A191" s="25" t="s">
        <v>279</v>
      </c>
      <c r="B191" s="20" t="s">
        <v>1248</v>
      </c>
      <c r="C191" s="40" t="s">
        <v>271</v>
      </c>
      <c r="D191" s="40" t="s">
        <v>220</v>
      </c>
      <c r="E191" s="40" t="s">
        <v>280</v>
      </c>
      <c r="F191" s="40"/>
      <c r="G191" s="6">
        <f>G192</f>
        <v>1311</v>
      </c>
      <c r="H191" s="6">
        <f>H192</f>
        <v>1311</v>
      </c>
    </row>
    <row r="192" spans="1:8" ht="15.75" x14ac:dyDescent="0.25">
      <c r="A192" s="25" t="s">
        <v>281</v>
      </c>
      <c r="B192" s="20" t="s">
        <v>1248</v>
      </c>
      <c r="C192" s="40" t="s">
        <v>271</v>
      </c>
      <c r="D192" s="40" t="s">
        <v>220</v>
      </c>
      <c r="E192" s="40" t="s">
        <v>282</v>
      </c>
      <c r="F192" s="40"/>
      <c r="G192" s="6">
        <f>'пр.6.1.ведом.22-23'!G627</f>
        <v>1311</v>
      </c>
      <c r="H192" s="6">
        <f>'пр.6.1.ведом.22-23'!H627</f>
        <v>1311</v>
      </c>
    </row>
    <row r="193" spans="1:8" ht="31.5" x14ac:dyDescent="0.25">
      <c r="A193" s="29" t="s">
        <v>410</v>
      </c>
      <c r="B193" s="20" t="s">
        <v>1248</v>
      </c>
      <c r="C193" s="40" t="s">
        <v>271</v>
      </c>
      <c r="D193" s="40" t="s">
        <v>220</v>
      </c>
      <c r="E193" s="40" t="s">
        <v>282</v>
      </c>
      <c r="F193" s="40" t="s">
        <v>644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298</v>
      </c>
      <c r="B194" s="20" t="s">
        <v>1249</v>
      </c>
      <c r="C194" s="40" t="s">
        <v>271</v>
      </c>
      <c r="D194" s="40" t="s">
        <v>220</v>
      </c>
      <c r="E194" s="40"/>
      <c r="F194" s="40"/>
      <c r="G194" s="6">
        <f>G195</f>
        <v>2266.6999999999998</v>
      </c>
      <c r="H194" s="6">
        <f>H195</f>
        <v>2266.6999999999998</v>
      </c>
    </row>
    <row r="195" spans="1:8" ht="47.25" x14ac:dyDescent="0.25">
      <c r="A195" s="25" t="s">
        <v>279</v>
      </c>
      <c r="B195" s="20" t="s">
        <v>1249</v>
      </c>
      <c r="C195" s="40" t="s">
        <v>271</v>
      </c>
      <c r="D195" s="40" t="s">
        <v>220</v>
      </c>
      <c r="E195" s="40" t="s">
        <v>280</v>
      </c>
      <c r="F195" s="40"/>
      <c r="G195" s="6">
        <f>G196</f>
        <v>2266.6999999999998</v>
      </c>
      <c r="H195" s="6">
        <f>H196</f>
        <v>2266.6999999999998</v>
      </c>
    </row>
    <row r="196" spans="1:8" ht="15.75" x14ac:dyDescent="0.25">
      <c r="A196" s="25" t="s">
        <v>281</v>
      </c>
      <c r="B196" s="20" t="s">
        <v>1249</v>
      </c>
      <c r="C196" s="40" t="s">
        <v>271</v>
      </c>
      <c r="D196" s="40" t="s">
        <v>220</v>
      </c>
      <c r="E196" s="40" t="s">
        <v>282</v>
      </c>
      <c r="F196" s="40"/>
      <c r="G196" s="6">
        <f>'пр.6.1.ведом.22-23'!G630</f>
        <v>2266.6999999999998</v>
      </c>
      <c r="H196" s="6">
        <f>'пр.6.1.ведом.22-23'!H630</f>
        <v>2266.6999999999998</v>
      </c>
    </row>
    <row r="197" spans="1:8" ht="31.5" x14ac:dyDescent="0.25">
      <c r="A197" s="29" t="s">
        <v>410</v>
      </c>
      <c r="B197" s="20" t="s">
        <v>1249</v>
      </c>
      <c r="C197" s="40" t="s">
        <v>271</v>
      </c>
      <c r="D197" s="40" t="s">
        <v>220</v>
      </c>
      <c r="E197" s="40" t="s">
        <v>282</v>
      </c>
      <c r="F197" s="40" t="s">
        <v>644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469</v>
      </c>
      <c r="B198" s="20" t="s">
        <v>1266</v>
      </c>
      <c r="C198" s="40" t="s">
        <v>271</v>
      </c>
      <c r="D198" s="40" t="s">
        <v>220</v>
      </c>
      <c r="E198" s="40"/>
      <c r="F198" s="40"/>
      <c r="G198" s="6">
        <f>G199</f>
        <v>909.3</v>
      </c>
      <c r="H198" s="6">
        <f>H199</f>
        <v>909.3</v>
      </c>
    </row>
    <row r="199" spans="1:8" ht="47.25" x14ac:dyDescent="0.25">
      <c r="A199" s="25" t="s">
        <v>279</v>
      </c>
      <c r="B199" s="20" t="s">
        <v>1266</v>
      </c>
      <c r="C199" s="40" t="s">
        <v>271</v>
      </c>
      <c r="D199" s="40" t="s">
        <v>220</v>
      </c>
      <c r="E199" s="40" t="s">
        <v>280</v>
      </c>
      <c r="F199" s="40"/>
      <c r="G199" s="6">
        <f>G200</f>
        <v>909.3</v>
      </c>
      <c r="H199" s="6">
        <f>H200</f>
        <v>909.3</v>
      </c>
    </row>
    <row r="200" spans="1:8" ht="15.75" x14ac:dyDescent="0.25">
      <c r="A200" s="25" t="s">
        <v>281</v>
      </c>
      <c r="B200" s="20" t="s">
        <v>1266</v>
      </c>
      <c r="C200" s="40" t="s">
        <v>271</v>
      </c>
      <c r="D200" s="40" t="s">
        <v>220</v>
      </c>
      <c r="E200" s="40" t="s">
        <v>282</v>
      </c>
      <c r="F200" s="40"/>
      <c r="G200" s="6">
        <f>'пр.6.1.ведом.22-23'!G633</f>
        <v>909.3</v>
      </c>
      <c r="H200" s="6">
        <f>'пр.6.1.ведом.22-23'!H633</f>
        <v>909.3</v>
      </c>
    </row>
    <row r="201" spans="1:8" ht="31.5" x14ac:dyDescent="0.25">
      <c r="A201" s="29" t="s">
        <v>410</v>
      </c>
      <c r="B201" s="20" t="s">
        <v>1266</v>
      </c>
      <c r="C201" s="40" t="s">
        <v>271</v>
      </c>
      <c r="D201" s="40" t="s">
        <v>220</v>
      </c>
      <c r="E201" s="40" t="s">
        <v>282</v>
      </c>
      <c r="F201" s="40" t="s">
        <v>644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272</v>
      </c>
      <c r="B202" s="40" t="s">
        <v>1247</v>
      </c>
      <c r="C202" s="40" t="s">
        <v>271</v>
      </c>
      <c r="D202" s="40" t="s">
        <v>222</v>
      </c>
      <c r="E202" s="40"/>
      <c r="F202" s="40"/>
      <c r="G202" s="6">
        <f>G207+G211+G203</f>
        <v>2128.5</v>
      </c>
      <c r="H202" s="6">
        <f>H207+H211+H203</f>
        <v>2128.5</v>
      </c>
    </row>
    <row r="203" spans="1:8" s="202" customFormat="1" ht="110.25" x14ac:dyDescent="0.25">
      <c r="A203" s="31" t="s">
        <v>300</v>
      </c>
      <c r="B203" s="20" t="s">
        <v>1407</v>
      </c>
      <c r="C203" s="40" t="s">
        <v>271</v>
      </c>
      <c r="D203" s="40" t="s">
        <v>222</v>
      </c>
      <c r="E203" s="40"/>
      <c r="F203" s="40"/>
      <c r="G203" s="6">
        <f>G204</f>
        <v>1400</v>
      </c>
      <c r="H203" s="6">
        <f>H204</f>
        <v>1400</v>
      </c>
    </row>
    <row r="204" spans="1:8" s="202" customFormat="1" ht="47.25" x14ac:dyDescent="0.25">
      <c r="A204" s="25" t="s">
        <v>279</v>
      </c>
      <c r="B204" s="20" t="s">
        <v>1407</v>
      </c>
      <c r="C204" s="40" t="s">
        <v>271</v>
      </c>
      <c r="D204" s="40" t="s">
        <v>222</v>
      </c>
      <c r="E204" s="40" t="s">
        <v>280</v>
      </c>
      <c r="F204" s="40"/>
      <c r="G204" s="6">
        <f>G205</f>
        <v>1400</v>
      </c>
      <c r="H204" s="6">
        <f>H205</f>
        <v>1400</v>
      </c>
    </row>
    <row r="205" spans="1:8" s="202" customFormat="1" ht="15.75" x14ac:dyDescent="0.25">
      <c r="A205" s="25" t="s">
        <v>281</v>
      </c>
      <c r="B205" s="20" t="s">
        <v>1407</v>
      </c>
      <c r="C205" s="40" t="s">
        <v>271</v>
      </c>
      <c r="D205" s="40" t="s">
        <v>222</v>
      </c>
      <c r="E205" s="40" t="s">
        <v>282</v>
      </c>
      <c r="F205" s="40"/>
      <c r="G205" s="6">
        <f>'пр.6.1.ведом.22-23'!G700</f>
        <v>1400</v>
      </c>
      <c r="H205" s="6">
        <f>'пр.6.1.ведом.22-23'!H700</f>
        <v>1400</v>
      </c>
    </row>
    <row r="206" spans="1:8" s="202" customFormat="1" ht="31.5" x14ac:dyDescent="0.25">
      <c r="A206" s="29" t="s">
        <v>410</v>
      </c>
      <c r="B206" s="20" t="s">
        <v>1407</v>
      </c>
      <c r="C206" s="40" t="s">
        <v>271</v>
      </c>
      <c r="D206" s="40" t="s">
        <v>222</v>
      </c>
      <c r="E206" s="40" t="s">
        <v>282</v>
      </c>
      <c r="F206" s="40" t="s">
        <v>644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296</v>
      </c>
      <c r="B207" s="20" t="s">
        <v>1248</v>
      </c>
      <c r="C207" s="40" t="s">
        <v>271</v>
      </c>
      <c r="D207" s="40" t="s">
        <v>222</v>
      </c>
      <c r="E207" s="40"/>
      <c r="F207" s="40"/>
      <c r="G207" s="6">
        <f>G208</f>
        <v>179</v>
      </c>
      <c r="H207" s="6">
        <f>H208</f>
        <v>179</v>
      </c>
    </row>
    <row r="208" spans="1:8" ht="47.25" x14ac:dyDescent="0.25">
      <c r="A208" s="25" t="s">
        <v>279</v>
      </c>
      <c r="B208" s="20" t="s">
        <v>1248</v>
      </c>
      <c r="C208" s="40" t="s">
        <v>271</v>
      </c>
      <c r="D208" s="40" t="s">
        <v>222</v>
      </c>
      <c r="E208" s="40" t="s">
        <v>280</v>
      </c>
      <c r="F208" s="40"/>
      <c r="G208" s="6">
        <f>G209</f>
        <v>179</v>
      </c>
      <c r="H208" s="6">
        <f>H209</f>
        <v>179</v>
      </c>
    </row>
    <row r="209" spans="1:8" ht="15.75" x14ac:dyDescent="0.25">
      <c r="A209" s="25" t="s">
        <v>281</v>
      </c>
      <c r="B209" s="20" t="s">
        <v>1248</v>
      </c>
      <c r="C209" s="40" t="s">
        <v>271</v>
      </c>
      <c r="D209" s="40" t="s">
        <v>222</v>
      </c>
      <c r="E209" s="40" t="s">
        <v>282</v>
      </c>
      <c r="F209" s="40"/>
      <c r="G209" s="6">
        <f>'пр.6.1.ведом.22-23'!G703</f>
        <v>179</v>
      </c>
      <c r="H209" s="6">
        <f>'пр.6.1.ведом.22-23'!H703</f>
        <v>179</v>
      </c>
    </row>
    <row r="210" spans="1:8" ht="31.5" x14ac:dyDescent="0.25">
      <c r="A210" s="29" t="s">
        <v>410</v>
      </c>
      <c r="B210" s="20" t="s">
        <v>1248</v>
      </c>
      <c r="C210" s="40" t="s">
        <v>271</v>
      </c>
      <c r="D210" s="40" t="s">
        <v>222</v>
      </c>
      <c r="E210" s="40" t="s">
        <v>282</v>
      </c>
      <c r="F210" s="40" t="s">
        <v>644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298</v>
      </c>
      <c r="B211" s="20" t="s">
        <v>1249</v>
      </c>
      <c r="C211" s="40" t="s">
        <v>271</v>
      </c>
      <c r="D211" s="40" t="s">
        <v>222</v>
      </c>
      <c r="E211" s="40"/>
      <c r="F211" s="40"/>
      <c r="G211" s="6">
        <f>G212</f>
        <v>549.5</v>
      </c>
      <c r="H211" s="6">
        <f>H212</f>
        <v>549.5</v>
      </c>
    </row>
    <row r="212" spans="1:8" ht="47.25" x14ac:dyDescent="0.25">
      <c r="A212" s="25" t="s">
        <v>279</v>
      </c>
      <c r="B212" s="20" t="s">
        <v>1249</v>
      </c>
      <c r="C212" s="40" t="s">
        <v>271</v>
      </c>
      <c r="D212" s="40" t="s">
        <v>222</v>
      </c>
      <c r="E212" s="40" t="s">
        <v>280</v>
      </c>
      <c r="F212" s="40"/>
      <c r="G212" s="6">
        <f>G213</f>
        <v>549.5</v>
      </c>
      <c r="H212" s="6">
        <f>H213</f>
        <v>549.5</v>
      </c>
    </row>
    <row r="213" spans="1:8" ht="15.75" x14ac:dyDescent="0.25">
      <c r="A213" s="25" t="s">
        <v>281</v>
      </c>
      <c r="B213" s="20" t="s">
        <v>1249</v>
      </c>
      <c r="C213" s="40" t="s">
        <v>271</v>
      </c>
      <c r="D213" s="40" t="s">
        <v>222</v>
      </c>
      <c r="E213" s="40" t="s">
        <v>282</v>
      </c>
      <c r="F213" s="40"/>
      <c r="G213" s="6">
        <f>'пр.6.1.ведом.22-23'!G706</f>
        <v>549.5</v>
      </c>
      <c r="H213" s="6">
        <f>'пр.6.1.ведом.22-23'!H706</f>
        <v>549.5</v>
      </c>
    </row>
    <row r="214" spans="1:8" ht="31.5" x14ac:dyDescent="0.25">
      <c r="A214" s="29" t="s">
        <v>410</v>
      </c>
      <c r="B214" s="20" t="s">
        <v>1249</v>
      </c>
      <c r="C214" s="40" t="s">
        <v>271</v>
      </c>
      <c r="D214" s="40" t="s">
        <v>222</v>
      </c>
      <c r="E214" s="40" t="s">
        <v>282</v>
      </c>
      <c r="F214" s="40" t="s">
        <v>644</v>
      </c>
      <c r="G214" s="10">
        <f>G213</f>
        <v>549.5</v>
      </c>
      <c r="H214" s="10">
        <f>H213</f>
        <v>549.5</v>
      </c>
    </row>
    <row r="215" spans="1:8" ht="31.5" x14ac:dyDescent="0.25">
      <c r="A215" s="23" t="s">
        <v>1307</v>
      </c>
      <c r="B215" s="24" t="s">
        <v>1252</v>
      </c>
      <c r="C215" s="7"/>
      <c r="D215" s="7"/>
      <c r="E215" s="7"/>
      <c r="F215" s="7"/>
      <c r="G215" s="59">
        <f>G216+G230</f>
        <v>4654</v>
      </c>
      <c r="H215" s="59">
        <f>H216+H230</f>
        <v>4654</v>
      </c>
    </row>
    <row r="216" spans="1:8" ht="15.75" x14ac:dyDescent="0.25">
      <c r="A216" s="29" t="s">
        <v>270</v>
      </c>
      <c r="B216" s="20" t="s">
        <v>1252</v>
      </c>
      <c r="C216" s="40" t="s">
        <v>271</v>
      </c>
      <c r="D216" s="40"/>
      <c r="E216" s="40"/>
      <c r="F216" s="40"/>
      <c r="G216" s="10">
        <f t="shared" ref="G216:H216" si="22">G217</f>
        <v>4430</v>
      </c>
      <c r="H216" s="10">
        <f t="shared" si="22"/>
        <v>4430</v>
      </c>
    </row>
    <row r="217" spans="1:8" ht="15.75" x14ac:dyDescent="0.25">
      <c r="A217" s="45" t="s">
        <v>411</v>
      </c>
      <c r="B217" s="20" t="s">
        <v>1252</v>
      </c>
      <c r="C217" s="40" t="s">
        <v>271</v>
      </c>
      <c r="D217" s="40" t="s">
        <v>125</v>
      </c>
      <c r="E217" s="40"/>
      <c r="F217" s="40"/>
      <c r="G217" s="10">
        <f>G218+G222+G226</f>
        <v>4430</v>
      </c>
      <c r="H217" s="10">
        <f>H218+H222+H226</f>
        <v>4430</v>
      </c>
    </row>
    <row r="218" spans="1:8" ht="47.25" hidden="1" x14ac:dyDescent="0.25">
      <c r="A218" s="29" t="s">
        <v>285</v>
      </c>
      <c r="B218" s="20" t="s">
        <v>1333</v>
      </c>
      <c r="C218" s="40" t="s">
        <v>271</v>
      </c>
      <c r="D218" s="40" t="s">
        <v>125</v>
      </c>
      <c r="E218" s="40"/>
      <c r="F218" s="40"/>
      <c r="G218" s="10">
        <f t="shared" ref="G218:H219" si="23">G219</f>
        <v>0</v>
      </c>
      <c r="H218" s="10">
        <f t="shared" si="23"/>
        <v>0</v>
      </c>
    </row>
    <row r="219" spans="1:8" ht="47.25" hidden="1" x14ac:dyDescent="0.25">
      <c r="A219" s="29" t="s">
        <v>279</v>
      </c>
      <c r="B219" s="20" t="s">
        <v>1333</v>
      </c>
      <c r="C219" s="40" t="s">
        <v>271</v>
      </c>
      <c r="D219" s="40" t="s">
        <v>125</v>
      </c>
      <c r="E219" s="40" t="s">
        <v>280</v>
      </c>
      <c r="F219" s="40"/>
      <c r="G219" s="10">
        <f t="shared" si="23"/>
        <v>0</v>
      </c>
      <c r="H219" s="10">
        <f t="shared" si="23"/>
        <v>0</v>
      </c>
    </row>
    <row r="220" spans="1:8" ht="15.75" hidden="1" x14ac:dyDescent="0.25">
      <c r="A220" s="29" t="s">
        <v>281</v>
      </c>
      <c r="B220" s="20" t="s">
        <v>1333</v>
      </c>
      <c r="C220" s="40" t="s">
        <v>271</v>
      </c>
      <c r="D220" s="40" t="s">
        <v>125</v>
      </c>
      <c r="E220" s="40" t="s">
        <v>282</v>
      </c>
      <c r="F220" s="40"/>
      <c r="G220" s="10">
        <f>'пр.6.1.ведом.22-23'!G571</f>
        <v>0</v>
      </c>
      <c r="H220" s="10">
        <f>'пр.6.1.ведом.22-23'!H571</f>
        <v>0</v>
      </c>
    </row>
    <row r="221" spans="1:8" ht="31.5" hidden="1" x14ac:dyDescent="0.25">
      <c r="A221" s="29" t="s">
        <v>410</v>
      </c>
      <c r="B221" s="20" t="s">
        <v>1333</v>
      </c>
      <c r="C221" s="40" t="s">
        <v>271</v>
      </c>
      <c r="D221" s="40" t="s">
        <v>125</v>
      </c>
      <c r="E221" s="40" t="s">
        <v>282</v>
      </c>
      <c r="F221" s="40" t="s">
        <v>644</v>
      </c>
      <c r="G221" s="10">
        <f>G220</f>
        <v>0</v>
      </c>
      <c r="H221" s="10">
        <f>H220</f>
        <v>0</v>
      </c>
    </row>
    <row r="222" spans="1:8" ht="31.5" hidden="1" x14ac:dyDescent="0.25">
      <c r="A222" s="29" t="s">
        <v>287</v>
      </c>
      <c r="B222" s="20" t="s">
        <v>1334</v>
      </c>
      <c r="C222" s="40" t="s">
        <v>271</v>
      </c>
      <c r="D222" s="40" t="s">
        <v>125</v>
      </c>
      <c r="E222" s="40"/>
      <c r="F222" s="40"/>
      <c r="G222" s="10">
        <f t="shared" ref="G222:H223" si="24">G223</f>
        <v>0</v>
      </c>
      <c r="H222" s="10">
        <f t="shared" si="24"/>
        <v>0</v>
      </c>
    </row>
    <row r="223" spans="1:8" ht="47.25" hidden="1" x14ac:dyDescent="0.25">
      <c r="A223" s="29" t="s">
        <v>279</v>
      </c>
      <c r="B223" s="20" t="s">
        <v>1334</v>
      </c>
      <c r="C223" s="40" t="s">
        <v>271</v>
      </c>
      <c r="D223" s="40" t="s">
        <v>125</v>
      </c>
      <c r="E223" s="40" t="s">
        <v>280</v>
      </c>
      <c r="F223" s="40"/>
      <c r="G223" s="10">
        <f t="shared" si="24"/>
        <v>0</v>
      </c>
      <c r="H223" s="10">
        <f t="shared" si="24"/>
        <v>0</v>
      </c>
    </row>
    <row r="224" spans="1:8" ht="15.75" hidden="1" x14ac:dyDescent="0.25">
      <c r="A224" s="29" t="s">
        <v>281</v>
      </c>
      <c r="B224" s="20" t="s">
        <v>1334</v>
      </c>
      <c r="C224" s="40" t="s">
        <v>271</v>
      </c>
      <c r="D224" s="40" t="s">
        <v>125</v>
      </c>
      <c r="E224" s="40" t="s">
        <v>282</v>
      </c>
      <c r="F224" s="40"/>
      <c r="G224" s="10">
        <f>'пр.6.1.ведом.22-23'!G574</f>
        <v>0</v>
      </c>
      <c r="H224" s="10">
        <f>'пр.6.1.ведом.22-23'!H574</f>
        <v>0</v>
      </c>
    </row>
    <row r="225" spans="1:8" ht="31.5" hidden="1" x14ac:dyDescent="0.25">
      <c r="A225" s="29" t="s">
        <v>410</v>
      </c>
      <c r="B225" s="20" t="s">
        <v>1334</v>
      </c>
      <c r="C225" s="40" t="s">
        <v>271</v>
      </c>
      <c r="D225" s="40" t="s">
        <v>125</v>
      </c>
      <c r="E225" s="40" t="s">
        <v>282</v>
      </c>
      <c r="F225" s="40" t="s">
        <v>644</v>
      </c>
      <c r="G225" s="10">
        <f>G224</f>
        <v>0</v>
      </c>
      <c r="H225" s="10">
        <f>H224</f>
        <v>0</v>
      </c>
    </row>
    <row r="226" spans="1:8" ht="47.25" x14ac:dyDescent="0.25">
      <c r="A226" s="29" t="s">
        <v>422</v>
      </c>
      <c r="B226" s="20" t="s">
        <v>1253</v>
      </c>
      <c r="C226" s="40" t="s">
        <v>271</v>
      </c>
      <c r="D226" s="40" t="s">
        <v>125</v>
      </c>
      <c r="E226" s="40"/>
      <c r="F226" s="40"/>
      <c r="G226" s="10">
        <f t="shared" ref="G226:H227" si="25">G227</f>
        <v>4430</v>
      </c>
      <c r="H226" s="10">
        <f t="shared" si="25"/>
        <v>4430</v>
      </c>
    </row>
    <row r="227" spans="1:8" ht="47.25" x14ac:dyDescent="0.25">
      <c r="A227" s="29" t="s">
        <v>279</v>
      </c>
      <c r="B227" s="20" t="s">
        <v>1253</v>
      </c>
      <c r="C227" s="40" t="s">
        <v>271</v>
      </c>
      <c r="D227" s="40" t="s">
        <v>125</v>
      </c>
      <c r="E227" s="40" t="s">
        <v>280</v>
      </c>
      <c r="F227" s="40"/>
      <c r="G227" s="10">
        <f t="shared" si="25"/>
        <v>4430</v>
      </c>
      <c r="H227" s="10">
        <f t="shared" si="25"/>
        <v>4430</v>
      </c>
    </row>
    <row r="228" spans="1:8" ht="15.75" x14ac:dyDescent="0.25">
      <c r="A228" s="29" t="s">
        <v>281</v>
      </c>
      <c r="B228" s="20" t="s">
        <v>1253</v>
      </c>
      <c r="C228" s="40" t="s">
        <v>271</v>
      </c>
      <c r="D228" s="40" t="s">
        <v>125</v>
      </c>
      <c r="E228" s="40" t="s">
        <v>282</v>
      </c>
      <c r="F228" s="40"/>
      <c r="G228" s="6">
        <f>'пр.6.1.ведом.22-23'!G577</f>
        <v>4430</v>
      </c>
      <c r="H228" s="6">
        <f>'пр.6.1.ведом.22-23'!H577</f>
        <v>4430</v>
      </c>
    </row>
    <row r="229" spans="1:8" ht="31.5" x14ac:dyDescent="0.25">
      <c r="A229" s="29" t="s">
        <v>410</v>
      </c>
      <c r="B229" s="20" t="s">
        <v>1253</v>
      </c>
      <c r="C229" s="40" t="s">
        <v>271</v>
      </c>
      <c r="D229" s="40" t="s">
        <v>125</v>
      </c>
      <c r="E229" s="40" t="s">
        <v>282</v>
      </c>
      <c r="F229" s="40" t="s">
        <v>644</v>
      </c>
      <c r="G229" s="10">
        <f>G228</f>
        <v>4430</v>
      </c>
      <c r="H229" s="10">
        <f>H228</f>
        <v>4430</v>
      </c>
    </row>
    <row r="230" spans="1:8" s="202" customFormat="1" ht="15.75" x14ac:dyDescent="0.25">
      <c r="A230" s="29" t="s">
        <v>270</v>
      </c>
      <c r="B230" s="40" t="s">
        <v>1252</v>
      </c>
      <c r="C230" s="40" t="s">
        <v>271</v>
      </c>
      <c r="D230" s="40"/>
      <c r="E230" s="40"/>
      <c r="F230" s="40"/>
      <c r="G230" s="10">
        <f t="shared" ref="G230:H230" si="26">G231</f>
        <v>224</v>
      </c>
      <c r="H230" s="10">
        <f t="shared" si="26"/>
        <v>224</v>
      </c>
    </row>
    <row r="231" spans="1:8" s="202" customFormat="1" ht="15.75" x14ac:dyDescent="0.25">
      <c r="A231" s="29" t="s">
        <v>432</v>
      </c>
      <c r="B231" s="40" t="s">
        <v>1252</v>
      </c>
      <c r="C231" s="40" t="s">
        <v>271</v>
      </c>
      <c r="D231" s="40" t="s">
        <v>220</v>
      </c>
      <c r="E231" s="40"/>
      <c r="F231" s="40"/>
      <c r="G231" s="10">
        <f>G232+G236+G240+G244</f>
        <v>224</v>
      </c>
      <c r="H231" s="10">
        <f>H232+H236+H240+H244</f>
        <v>224</v>
      </c>
    </row>
    <row r="232" spans="1:8" s="202" customFormat="1" ht="47.25" hidden="1" x14ac:dyDescent="0.25">
      <c r="A232" s="25" t="s">
        <v>799</v>
      </c>
      <c r="B232" s="20" t="s">
        <v>1332</v>
      </c>
      <c r="C232" s="40" t="s">
        <v>271</v>
      </c>
      <c r="D232" s="40" t="s">
        <v>220</v>
      </c>
      <c r="E232" s="40"/>
      <c r="F232" s="40"/>
      <c r="G232" s="6">
        <f>G233</f>
        <v>0</v>
      </c>
      <c r="H232" s="6">
        <f>H233</f>
        <v>0</v>
      </c>
    </row>
    <row r="233" spans="1:8" s="202" customFormat="1" ht="47.25" hidden="1" x14ac:dyDescent="0.25">
      <c r="A233" s="25" t="s">
        <v>279</v>
      </c>
      <c r="B233" s="20" t="s">
        <v>1332</v>
      </c>
      <c r="C233" s="40" t="s">
        <v>271</v>
      </c>
      <c r="D233" s="40" t="s">
        <v>220</v>
      </c>
      <c r="E233" s="40" t="s">
        <v>280</v>
      </c>
      <c r="F233" s="40"/>
      <c r="G233" s="6">
        <f>G234</f>
        <v>0</v>
      </c>
      <c r="H233" s="6">
        <f>H234</f>
        <v>0</v>
      </c>
    </row>
    <row r="234" spans="1:8" s="202" customFormat="1" ht="15.75" hidden="1" x14ac:dyDescent="0.25">
      <c r="A234" s="25" t="s">
        <v>281</v>
      </c>
      <c r="B234" s="20" t="s">
        <v>1332</v>
      </c>
      <c r="C234" s="40" t="s">
        <v>271</v>
      </c>
      <c r="D234" s="40" t="s">
        <v>220</v>
      </c>
      <c r="E234" s="40" t="s">
        <v>282</v>
      </c>
      <c r="F234" s="40"/>
      <c r="G234" s="6">
        <f>'пр.6.1.ведом.22-23'!G637</f>
        <v>0</v>
      </c>
      <c r="H234" s="6">
        <f>'пр.6.1.ведом.22-23'!H637</f>
        <v>0</v>
      </c>
    </row>
    <row r="235" spans="1:8" s="202" customFormat="1" ht="31.5" hidden="1" x14ac:dyDescent="0.25">
      <c r="A235" s="29" t="s">
        <v>410</v>
      </c>
      <c r="B235" s="20" t="s">
        <v>1332</v>
      </c>
      <c r="C235" s="40" t="s">
        <v>271</v>
      </c>
      <c r="D235" s="40" t="s">
        <v>220</v>
      </c>
      <c r="E235" s="40" t="s">
        <v>282</v>
      </c>
      <c r="F235" s="40" t="s">
        <v>644</v>
      </c>
      <c r="G235" s="10">
        <f>G234</f>
        <v>0</v>
      </c>
      <c r="H235" s="10">
        <f>H234</f>
        <v>0</v>
      </c>
    </row>
    <row r="236" spans="1:8" s="202" customFormat="1" ht="47.25" hidden="1" x14ac:dyDescent="0.25">
      <c r="A236" s="25" t="s">
        <v>285</v>
      </c>
      <c r="B236" s="20" t="s">
        <v>1333</v>
      </c>
      <c r="C236" s="40" t="s">
        <v>271</v>
      </c>
      <c r="D236" s="40" t="s">
        <v>220</v>
      </c>
      <c r="E236" s="40"/>
      <c r="F236" s="40"/>
      <c r="G236" s="6">
        <f t="shared" ref="G236:H237" si="27">G237</f>
        <v>0</v>
      </c>
      <c r="H236" s="6">
        <f t="shared" si="27"/>
        <v>0</v>
      </c>
    </row>
    <row r="237" spans="1:8" s="202" customFormat="1" ht="47.25" hidden="1" x14ac:dyDescent="0.25">
      <c r="A237" s="25" t="s">
        <v>279</v>
      </c>
      <c r="B237" s="20" t="s">
        <v>1333</v>
      </c>
      <c r="C237" s="40" t="s">
        <v>271</v>
      </c>
      <c r="D237" s="40" t="s">
        <v>220</v>
      </c>
      <c r="E237" s="40" t="s">
        <v>280</v>
      </c>
      <c r="F237" s="40"/>
      <c r="G237" s="6">
        <f t="shared" si="27"/>
        <v>0</v>
      </c>
      <c r="H237" s="6">
        <f t="shared" si="27"/>
        <v>0</v>
      </c>
    </row>
    <row r="238" spans="1:8" s="202" customFormat="1" ht="15.75" hidden="1" x14ac:dyDescent="0.25">
      <c r="A238" s="25" t="s">
        <v>281</v>
      </c>
      <c r="B238" s="20" t="s">
        <v>1333</v>
      </c>
      <c r="C238" s="40" t="s">
        <v>271</v>
      </c>
      <c r="D238" s="40" t="s">
        <v>220</v>
      </c>
      <c r="E238" s="40" t="s">
        <v>282</v>
      </c>
      <c r="F238" s="40"/>
      <c r="G238" s="6">
        <f>'пр.6.1.ведом.22-23'!G640</f>
        <v>0</v>
      </c>
      <c r="H238" s="6">
        <f>'пр.6.1.ведом.22-23'!H640</f>
        <v>0</v>
      </c>
    </row>
    <row r="239" spans="1:8" s="202" customFormat="1" ht="31.5" hidden="1" x14ac:dyDescent="0.25">
      <c r="A239" s="29" t="s">
        <v>410</v>
      </c>
      <c r="B239" s="20" t="s">
        <v>1333</v>
      </c>
      <c r="C239" s="40" t="s">
        <v>271</v>
      </c>
      <c r="D239" s="40" t="s">
        <v>220</v>
      </c>
      <c r="E239" s="40" t="s">
        <v>282</v>
      </c>
      <c r="F239" s="40" t="s">
        <v>644</v>
      </c>
      <c r="G239" s="10">
        <f>G238</f>
        <v>0</v>
      </c>
      <c r="H239" s="10">
        <f>H238</f>
        <v>0</v>
      </c>
    </row>
    <row r="240" spans="1:8" s="202" customFormat="1" ht="31.5" hidden="1" x14ac:dyDescent="0.25">
      <c r="A240" s="25" t="s">
        <v>287</v>
      </c>
      <c r="B240" s="20" t="s">
        <v>1334</v>
      </c>
      <c r="C240" s="40" t="s">
        <v>271</v>
      </c>
      <c r="D240" s="40" t="s">
        <v>220</v>
      </c>
      <c r="E240" s="40"/>
      <c r="F240" s="40"/>
      <c r="G240" s="6">
        <f t="shared" ref="G240:H241" si="28">G241</f>
        <v>0</v>
      </c>
      <c r="H240" s="6">
        <f t="shared" si="28"/>
        <v>0</v>
      </c>
    </row>
    <row r="241" spans="1:8" s="202" customFormat="1" ht="47.25" hidden="1" x14ac:dyDescent="0.25">
      <c r="A241" s="25" t="s">
        <v>279</v>
      </c>
      <c r="B241" s="20" t="s">
        <v>1334</v>
      </c>
      <c r="C241" s="40" t="s">
        <v>271</v>
      </c>
      <c r="D241" s="40" t="s">
        <v>220</v>
      </c>
      <c r="E241" s="40" t="s">
        <v>280</v>
      </c>
      <c r="F241" s="40"/>
      <c r="G241" s="6">
        <f t="shared" si="28"/>
        <v>0</v>
      </c>
      <c r="H241" s="6">
        <f t="shared" si="28"/>
        <v>0</v>
      </c>
    </row>
    <row r="242" spans="1:8" s="202" customFormat="1" ht="15.75" hidden="1" x14ac:dyDescent="0.25">
      <c r="A242" s="25" t="s">
        <v>281</v>
      </c>
      <c r="B242" s="20" t="s">
        <v>1334</v>
      </c>
      <c r="C242" s="40" t="s">
        <v>271</v>
      </c>
      <c r="D242" s="40" t="s">
        <v>220</v>
      </c>
      <c r="E242" s="40" t="s">
        <v>282</v>
      </c>
      <c r="F242" s="40"/>
      <c r="G242" s="6">
        <f>'пр.6.1.ведом.22-23'!G643</f>
        <v>0</v>
      </c>
      <c r="H242" s="6">
        <f>'пр.6.1.ведом.22-23'!H643</f>
        <v>0</v>
      </c>
    </row>
    <row r="243" spans="1:8" s="202" customFormat="1" ht="31.5" hidden="1" x14ac:dyDescent="0.25">
      <c r="A243" s="29" t="s">
        <v>410</v>
      </c>
      <c r="B243" s="20" t="s">
        <v>1334</v>
      </c>
      <c r="C243" s="40" t="s">
        <v>271</v>
      </c>
      <c r="D243" s="40" t="s">
        <v>220</v>
      </c>
      <c r="E243" s="40" t="s">
        <v>282</v>
      </c>
      <c r="F243" s="40" t="s">
        <v>644</v>
      </c>
      <c r="G243" s="10">
        <f>G242</f>
        <v>0</v>
      </c>
      <c r="H243" s="10">
        <f>H242</f>
        <v>0</v>
      </c>
    </row>
    <row r="244" spans="1:8" s="202" customFormat="1" ht="47.25" x14ac:dyDescent="0.25">
      <c r="A244" s="29" t="s">
        <v>289</v>
      </c>
      <c r="B244" s="20" t="s">
        <v>1268</v>
      </c>
      <c r="C244" s="40" t="s">
        <v>271</v>
      </c>
      <c r="D244" s="40" t="s">
        <v>220</v>
      </c>
      <c r="E244" s="40"/>
      <c r="F244" s="40"/>
      <c r="G244" s="10">
        <f t="shared" ref="G244:H245" si="29">G245</f>
        <v>224</v>
      </c>
      <c r="H244" s="10">
        <f t="shared" si="29"/>
        <v>224</v>
      </c>
    </row>
    <row r="245" spans="1:8" s="202" customFormat="1" ht="47.25" x14ac:dyDescent="0.25">
      <c r="A245" s="29" t="s">
        <v>279</v>
      </c>
      <c r="B245" s="20" t="s">
        <v>1268</v>
      </c>
      <c r="C245" s="40" t="s">
        <v>271</v>
      </c>
      <c r="D245" s="40" t="s">
        <v>220</v>
      </c>
      <c r="E245" s="40" t="s">
        <v>280</v>
      </c>
      <c r="F245" s="40"/>
      <c r="G245" s="10">
        <f t="shared" si="29"/>
        <v>224</v>
      </c>
      <c r="H245" s="10">
        <f t="shared" si="29"/>
        <v>224</v>
      </c>
    </row>
    <row r="246" spans="1:8" s="202" customFormat="1" ht="15.75" x14ac:dyDescent="0.25">
      <c r="A246" s="29" t="s">
        <v>281</v>
      </c>
      <c r="B246" s="20" t="s">
        <v>1268</v>
      </c>
      <c r="C246" s="40" t="s">
        <v>271</v>
      </c>
      <c r="D246" s="40" t="s">
        <v>220</v>
      </c>
      <c r="E246" s="40" t="s">
        <v>282</v>
      </c>
      <c r="F246" s="40"/>
      <c r="G246" s="10">
        <f>'пр.6.1.ведом.22-23'!G646</f>
        <v>224</v>
      </c>
      <c r="H246" s="10">
        <f>'пр.6.1.ведом.22-23'!H646</f>
        <v>224</v>
      </c>
    </row>
    <row r="247" spans="1:8" s="202" customFormat="1" ht="31.5" x14ac:dyDescent="0.25">
      <c r="A247" s="29" t="s">
        <v>410</v>
      </c>
      <c r="B247" s="20" t="s">
        <v>1268</v>
      </c>
      <c r="C247" s="40" t="s">
        <v>271</v>
      </c>
      <c r="D247" s="40" t="s">
        <v>220</v>
      </c>
      <c r="E247" s="40" t="s">
        <v>282</v>
      </c>
      <c r="F247" s="40" t="s">
        <v>644</v>
      </c>
      <c r="G247" s="10">
        <f>G246</f>
        <v>224</v>
      </c>
      <c r="H247" s="10">
        <f>H246</f>
        <v>224</v>
      </c>
    </row>
    <row r="248" spans="1:8" s="202" customFormat="1" ht="31.5" x14ac:dyDescent="0.25">
      <c r="A248" s="23" t="s">
        <v>953</v>
      </c>
      <c r="B248" s="24" t="s">
        <v>1254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s="202" customFormat="1" ht="15.75" x14ac:dyDescent="0.25">
      <c r="A249" s="29" t="s">
        <v>270</v>
      </c>
      <c r="B249" s="20" t="s">
        <v>1254</v>
      </c>
      <c r="C249" s="40" t="s">
        <v>271</v>
      </c>
      <c r="D249" s="40"/>
      <c r="E249" s="40"/>
      <c r="F249" s="40"/>
      <c r="G249" s="10">
        <f t="shared" ref="G249:H252" si="30">G250</f>
        <v>5745.1</v>
      </c>
      <c r="H249" s="10">
        <f t="shared" si="30"/>
        <v>5745.1</v>
      </c>
    </row>
    <row r="250" spans="1:8" s="202" customFormat="1" ht="22.7" customHeight="1" x14ac:dyDescent="0.25">
      <c r="A250" s="29" t="s">
        <v>473</v>
      </c>
      <c r="B250" s="20" t="s">
        <v>1254</v>
      </c>
      <c r="C250" s="40" t="s">
        <v>271</v>
      </c>
      <c r="D250" s="40" t="s">
        <v>271</v>
      </c>
      <c r="E250" s="40"/>
      <c r="F250" s="40"/>
      <c r="G250" s="10">
        <f>G251</f>
        <v>5745.1</v>
      </c>
      <c r="H250" s="10">
        <f>H251</f>
        <v>5745.1</v>
      </c>
    </row>
    <row r="251" spans="1:8" s="202" customFormat="1" ht="47.25" x14ac:dyDescent="0.25">
      <c r="A251" s="31" t="s">
        <v>1070</v>
      </c>
      <c r="B251" s="20" t="s">
        <v>1276</v>
      </c>
      <c r="C251" s="40" t="s">
        <v>271</v>
      </c>
      <c r="D251" s="40" t="s">
        <v>271</v>
      </c>
      <c r="E251" s="40"/>
      <c r="F251" s="40"/>
      <c r="G251" s="10">
        <f t="shared" si="30"/>
        <v>5745.1</v>
      </c>
      <c r="H251" s="10">
        <f t="shared" si="30"/>
        <v>5745.1</v>
      </c>
    </row>
    <row r="252" spans="1:8" s="202" customFormat="1" ht="47.25" x14ac:dyDescent="0.25">
      <c r="A252" s="25" t="s">
        <v>279</v>
      </c>
      <c r="B252" s="20" t="s">
        <v>1276</v>
      </c>
      <c r="C252" s="40" t="s">
        <v>271</v>
      </c>
      <c r="D252" s="40" t="s">
        <v>271</v>
      </c>
      <c r="E252" s="40" t="s">
        <v>280</v>
      </c>
      <c r="F252" s="40"/>
      <c r="G252" s="10">
        <f t="shared" si="30"/>
        <v>5745.1</v>
      </c>
      <c r="H252" s="10">
        <f t="shared" si="30"/>
        <v>5745.1</v>
      </c>
    </row>
    <row r="253" spans="1:8" s="202" customFormat="1" ht="15.75" x14ac:dyDescent="0.25">
      <c r="A253" s="25" t="s">
        <v>281</v>
      </c>
      <c r="B253" s="20" t="s">
        <v>1276</v>
      </c>
      <c r="C253" s="40" t="s">
        <v>271</v>
      </c>
      <c r="D253" s="40" t="s">
        <v>271</v>
      </c>
      <c r="E253" s="40" t="s">
        <v>282</v>
      </c>
      <c r="F253" s="40"/>
      <c r="G253" s="10">
        <f>'пр.6.1.ведом.22-23'!G725</f>
        <v>5745.1</v>
      </c>
      <c r="H253" s="10">
        <f>'пр.6.1.ведом.22-23'!H725</f>
        <v>5745.1</v>
      </c>
    </row>
    <row r="254" spans="1:8" s="202" customFormat="1" ht="31.5" x14ac:dyDescent="0.25">
      <c r="A254" s="29" t="s">
        <v>410</v>
      </c>
      <c r="B254" s="20" t="s">
        <v>1276</v>
      </c>
      <c r="C254" s="40" t="s">
        <v>271</v>
      </c>
      <c r="D254" s="40" t="s">
        <v>271</v>
      </c>
      <c r="E254" s="40" t="s">
        <v>282</v>
      </c>
      <c r="F254" s="40" t="s">
        <v>644</v>
      </c>
      <c r="G254" s="10">
        <f>G253</f>
        <v>5745.1</v>
      </c>
      <c r="H254" s="10">
        <f>H253</f>
        <v>5745.1</v>
      </c>
    </row>
    <row r="255" spans="1:8" ht="47.25" x14ac:dyDescent="0.25">
      <c r="A255" s="214" t="s">
        <v>958</v>
      </c>
      <c r="B255" s="24" t="s">
        <v>1255</v>
      </c>
      <c r="C255" s="7"/>
      <c r="D255" s="7"/>
      <c r="E255" s="7"/>
      <c r="F255" s="7"/>
      <c r="G255" s="4">
        <f>G256</f>
        <v>9300</v>
      </c>
      <c r="H255" s="4">
        <f>H256</f>
        <v>9300</v>
      </c>
    </row>
    <row r="256" spans="1:8" ht="15.75" x14ac:dyDescent="0.25">
      <c r="A256" s="29" t="s">
        <v>270</v>
      </c>
      <c r="B256" s="20" t="s">
        <v>1255</v>
      </c>
      <c r="C256" s="40" t="s">
        <v>271</v>
      </c>
      <c r="D256" s="40"/>
      <c r="E256" s="40"/>
      <c r="F256" s="40"/>
      <c r="G256" s="10">
        <f>G257+G270+G279</f>
        <v>9300</v>
      </c>
      <c r="H256" s="10">
        <f>H257+H270+H279</f>
        <v>9300</v>
      </c>
    </row>
    <row r="257" spans="1:8" ht="15.75" x14ac:dyDescent="0.25">
      <c r="A257" s="45" t="s">
        <v>411</v>
      </c>
      <c r="B257" s="20" t="s">
        <v>1255</v>
      </c>
      <c r="C257" s="40" t="s">
        <v>271</v>
      </c>
      <c r="D257" s="40" t="s">
        <v>125</v>
      </c>
      <c r="E257" s="40"/>
      <c r="F257" s="40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291</v>
      </c>
      <c r="B258" s="20" t="s">
        <v>1273</v>
      </c>
      <c r="C258" s="40" t="s">
        <v>271</v>
      </c>
      <c r="D258" s="40" t="s">
        <v>125</v>
      </c>
      <c r="E258" s="40"/>
      <c r="F258" s="40"/>
      <c r="G258" s="10">
        <f t="shared" ref="G258:H259" si="31">G259</f>
        <v>0</v>
      </c>
      <c r="H258" s="10">
        <f t="shared" si="31"/>
        <v>0</v>
      </c>
    </row>
    <row r="259" spans="1:8" ht="47.25" hidden="1" x14ac:dyDescent="0.25">
      <c r="A259" s="29" t="s">
        <v>279</v>
      </c>
      <c r="B259" s="20" t="s">
        <v>1273</v>
      </c>
      <c r="C259" s="40" t="s">
        <v>271</v>
      </c>
      <c r="D259" s="40" t="s">
        <v>125</v>
      </c>
      <c r="E259" s="40" t="s">
        <v>280</v>
      </c>
      <c r="F259" s="40"/>
      <c r="G259" s="10">
        <f t="shared" si="31"/>
        <v>0</v>
      </c>
      <c r="H259" s="10">
        <f t="shared" si="31"/>
        <v>0</v>
      </c>
    </row>
    <row r="260" spans="1:8" ht="15.75" hidden="1" x14ac:dyDescent="0.25">
      <c r="A260" s="29" t="s">
        <v>281</v>
      </c>
      <c r="B260" s="20" t="s">
        <v>1273</v>
      </c>
      <c r="C260" s="40" t="s">
        <v>271</v>
      </c>
      <c r="D260" s="40" t="s">
        <v>125</v>
      </c>
      <c r="E260" s="40" t="s">
        <v>282</v>
      </c>
      <c r="F260" s="40"/>
      <c r="G260" s="10">
        <f>'пр.6.1.ведом.22-23'!G581</f>
        <v>0</v>
      </c>
      <c r="H260" s="10">
        <f>'пр.6.1.ведом.22-23'!H581</f>
        <v>0</v>
      </c>
    </row>
    <row r="261" spans="1:8" ht="31.5" hidden="1" x14ac:dyDescent="0.25">
      <c r="A261" s="29" t="s">
        <v>410</v>
      </c>
      <c r="B261" s="20" t="s">
        <v>1273</v>
      </c>
      <c r="C261" s="40" t="s">
        <v>271</v>
      </c>
      <c r="D261" s="40" t="s">
        <v>125</v>
      </c>
      <c r="E261" s="40" t="s">
        <v>282</v>
      </c>
      <c r="F261" s="40" t="s">
        <v>644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774</v>
      </c>
      <c r="B262" s="20" t="s">
        <v>1256</v>
      </c>
      <c r="C262" s="20" t="s">
        <v>271</v>
      </c>
      <c r="D262" s="20" t="s">
        <v>125</v>
      </c>
      <c r="E262" s="20"/>
      <c r="F262" s="20"/>
      <c r="G262" s="10">
        <f t="shared" ref="G262:H263" si="32">G263</f>
        <v>3088</v>
      </c>
      <c r="H262" s="10">
        <f t="shared" si="32"/>
        <v>3088</v>
      </c>
    </row>
    <row r="263" spans="1:8" ht="47.25" x14ac:dyDescent="0.25">
      <c r="A263" s="29" t="s">
        <v>279</v>
      </c>
      <c r="B263" s="20" t="s">
        <v>1256</v>
      </c>
      <c r="C263" s="20" t="s">
        <v>271</v>
      </c>
      <c r="D263" s="20" t="s">
        <v>125</v>
      </c>
      <c r="E263" s="20" t="s">
        <v>280</v>
      </c>
      <c r="F263" s="20"/>
      <c r="G263" s="10">
        <f t="shared" si="32"/>
        <v>3088</v>
      </c>
      <c r="H263" s="10">
        <f t="shared" si="32"/>
        <v>3088</v>
      </c>
    </row>
    <row r="264" spans="1:8" ht="15.75" x14ac:dyDescent="0.25">
      <c r="A264" s="184" t="s">
        <v>281</v>
      </c>
      <c r="B264" s="20" t="s">
        <v>1256</v>
      </c>
      <c r="C264" s="20" t="s">
        <v>271</v>
      </c>
      <c r="D264" s="20" t="s">
        <v>125</v>
      </c>
      <c r="E264" s="20" t="s">
        <v>282</v>
      </c>
      <c r="F264" s="20"/>
      <c r="G264" s="10">
        <f>'пр.6.1.ведом.22-23'!G584</f>
        <v>3088</v>
      </c>
      <c r="H264" s="10">
        <f>'пр.6.1.ведом.22-23'!H584</f>
        <v>3088</v>
      </c>
    </row>
    <row r="265" spans="1:8" ht="31.5" x14ac:dyDescent="0.25">
      <c r="A265" s="29" t="s">
        <v>410</v>
      </c>
      <c r="B265" s="20" t="s">
        <v>1256</v>
      </c>
      <c r="C265" s="40" t="s">
        <v>271</v>
      </c>
      <c r="D265" s="40" t="s">
        <v>125</v>
      </c>
      <c r="E265" s="40" t="s">
        <v>282</v>
      </c>
      <c r="F265" s="40" t="s">
        <v>644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775</v>
      </c>
      <c r="B266" s="20" t="s">
        <v>1257</v>
      </c>
      <c r="C266" s="20" t="s">
        <v>271</v>
      </c>
      <c r="D266" s="20" t="s">
        <v>125</v>
      </c>
      <c r="E266" s="20"/>
      <c r="F266" s="20"/>
      <c r="G266" s="10">
        <f t="shared" ref="G266:H267" si="33">G267</f>
        <v>1760</v>
      </c>
      <c r="H266" s="10">
        <f t="shared" si="33"/>
        <v>1760</v>
      </c>
    </row>
    <row r="267" spans="1:8" ht="47.25" x14ac:dyDescent="0.25">
      <c r="A267" s="29" t="s">
        <v>279</v>
      </c>
      <c r="B267" s="20" t="s">
        <v>1257</v>
      </c>
      <c r="C267" s="20" t="s">
        <v>271</v>
      </c>
      <c r="D267" s="20" t="s">
        <v>125</v>
      </c>
      <c r="E267" s="20" t="s">
        <v>280</v>
      </c>
      <c r="F267" s="20"/>
      <c r="G267" s="10">
        <f t="shared" si="33"/>
        <v>1760</v>
      </c>
      <c r="H267" s="10">
        <f t="shared" si="33"/>
        <v>1760</v>
      </c>
    </row>
    <row r="268" spans="1:8" ht="15.75" x14ac:dyDescent="0.25">
      <c r="A268" s="184" t="s">
        <v>281</v>
      </c>
      <c r="B268" s="20" t="s">
        <v>1257</v>
      </c>
      <c r="C268" s="20" t="s">
        <v>271</v>
      </c>
      <c r="D268" s="20" t="s">
        <v>125</v>
      </c>
      <c r="E268" s="20" t="s">
        <v>282</v>
      </c>
      <c r="F268" s="20"/>
      <c r="G268" s="10">
        <f>'пр.6.1.ведом.22-23'!G587</f>
        <v>1760</v>
      </c>
      <c r="H268" s="10">
        <f>'пр.6.1.ведом.22-23'!H587</f>
        <v>1760</v>
      </c>
    </row>
    <row r="269" spans="1:8" ht="31.5" x14ac:dyDescent="0.25">
      <c r="A269" s="29" t="s">
        <v>410</v>
      </c>
      <c r="B269" s="20" t="s">
        <v>1257</v>
      </c>
      <c r="C269" s="40" t="s">
        <v>271</v>
      </c>
      <c r="D269" s="40" t="s">
        <v>125</v>
      </c>
      <c r="E269" s="40" t="s">
        <v>282</v>
      </c>
      <c r="F269" s="40" t="s">
        <v>644</v>
      </c>
      <c r="G269" s="10">
        <f>G268</f>
        <v>1760</v>
      </c>
      <c r="H269" s="10">
        <f>'пр.6.1.ведом.22-23'!H587</f>
        <v>1760</v>
      </c>
    </row>
    <row r="270" spans="1:8" s="202" customFormat="1" ht="15.75" x14ac:dyDescent="0.25">
      <c r="A270" s="29" t="s">
        <v>432</v>
      </c>
      <c r="B270" s="40" t="s">
        <v>1255</v>
      </c>
      <c r="C270" s="40" t="s">
        <v>271</v>
      </c>
      <c r="D270" s="40" t="s">
        <v>220</v>
      </c>
      <c r="E270" s="40"/>
      <c r="F270" s="40"/>
      <c r="G270" s="10">
        <f>G271+G275</f>
        <v>2888</v>
      </c>
      <c r="H270" s="10">
        <f>H271+H275</f>
        <v>2888</v>
      </c>
    </row>
    <row r="271" spans="1:8" s="202" customFormat="1" ht="31.5" hidden="1" x14ac:dyDescent="0.25">
      <c r="A271" s="29" t="s">
        <v>291</v>
      </c>
      <c r="B271" s="20" t="s">
        <v>1273</v>
      </c>
      <c r="C271" s="40" t="s">
        <v>271</v>
      </c>
      <c r="D271" s="40" t="s">
        <v>220</v>
      </c>
      <c r="E271" s="40"/>
      <c r="F271" s="40"/>
      <c r="G271" s="10">
        <f t="shared" ref="G271:H272" si="34">G272</f>
        <v>0</v>
      </c>
      <c r="H271" s="10">
        <f t="shared" si="34"/>
        <v>0</v>
      </c>
    </row>
    <row r="272" spans="1:8" s="202" customFormat="1" ht="47.25" hidden="1" x14ac:dyDescent="0.25">
      <c r="A272" s="29" t="s">
        <v>279</v>
      </c>
      <c r="B272" s="20" t="s">
        <v>1273</v>
      </c>
      <c r="C272" s="40" t="s">
        <v>271</v>
      </c>
      <c r="D272" s="40" t="s">
        <v>220</v>
      </c>
      <c r="E272" s="40" t="s">
        <v>280</v>
      </c>
      <c r="F272" s="40"/>
      <c r="G272" s="10">
        <f t="shared" si="34"/>
        <v>0</v>
      </c>
      <c r="H272" s="10">
        <f t="shared" si="34"/>
        <v>0</v>
      </c>
    </row>
    <row r="273" spans="1:8" s="202" customFormat="1" ht="15.75" hidden="1" x14ac:dyDescent="0.25">
      <c r="A273" s="29" t="s">
        <v>281</v>
      </c>
      <c r="B273" s="20" t="s">
        <v>1273</v>
      </c>
      <c r="C273" s="40" t="s">
        <v>271</v>
      </c>
      <c r="D273" s="40" t="s">
        <v>220</v>
      </c>
      <c r="E273" s="40" t="s">
        <v>282</v>
      </c>
      <c r="F273" s="40"/>
      <c r="G273" s="10">
        <f>'пр.6.1.ведом.22-23'!G650</f>
        <v>0</v>
      </c>
      <c r="H273" s="10">
        <f>'пр.6.1.ведом.22-23'!H650</f>
        <v>0</v>
      </c>
    </row>
    <row r="274" spans="1:8" s="202" customFormat="1" ht="31.5" hidden="1" x14ac:dyDescent="0.25">
      <c r="A274" s="29" t="s">
        <v>410</v>
      </c>
      <c r="B274" s="20" t="s">
        <v>1273</v>
      </c>
      <c r="C274" s="40" t="s">
        <v>271</v>
      </c>
      <c r="D274" s="40" t="s">
        <v>220</v>
      </c>
      <c r="E274" s="40" t="s">
        <v>282</v>
      </c>
      <c r="F274" s="40" t="s">
        <v>644</v>
      </c>
      <c r="G274" s="10">
        <f>G273</f>
        <v>0</v>
      </c>
      <c r="H274" s="10">
        <f>H273</f>
        <v>0</v>
      </c>
    </row>
    <row r="275" spans="1:8" s="202" customFormat="1" ht="47.25" x14ac:dyDescent="0.25">
      <c r="A275" s="60" t="s">
        <v>774</v>
      </c>
      <c r="B275" s="20" t="s">
        <v>1256</v>
      </c>
      <c r="C275" s="40" t="s">
        <v>271</v>
      </c>
      <c r="D275" s="40" t="s">
        <v>220</v>
      </c>
      <c r="E275" s="40"/>
      <c r="F275" s="40"/>
      <c r="G275" s="10">
        <f t="shared" ref="G275:H276" si="35">G276</f>
        <v>2888</v>
      </c>
      <c r="H275" s="10">
        <f t="shared" si="35"/>
        <v>2888</v>
      </c>
    </row>
    <row r="276" spans="1:8" s="202" customFormat="1" ht="47.25" x14ac:dyDescent="0.25">
      <c r="A276" s="29" t="s">
        <v>279</v>
      </c>
      <c r="B276" s="20" t="s">
        <v>1256</v>
      </c>
      <c r="C276" s="40" t="s">
        <v>271</v>
      </c>
      <c r="D276" s="40" t="s">
        <v>220</v>
      </c>
      <c r="E276" s="40" t="s">
        <v>280</v>
      </c>
      <c r="F276" s="40"/>
      <c r="G276" s="10">
        <f t="shared" si="35"/>
        <v>2888</v>
      </c>
      <c r="H276" s="10">
        <f t="shared" si="35"/>
        <v>2888</v>
      </c>
    </row>
    <row r="277" spans="1:8" s="202" customFormat="1" ht="15.75" x14ac:dyDescent="0.25">
      <c r="A277" s="184" t="s">
        <v>281</v>
      </c>
      <c r="B277" s="20" t="s">
        <v>1256</v>
      </c>
      <c r="C277" s="40" t="s">
        <v>271</v>
      </c>
      <c r="D277" s="40" t="s">
        <v>220</v>
      </c>
      <c r="E277" s="40" t="s">
        <v>282</v>
      </c>
      <c r="F277" s="40"/>
      <c r="G277" s="10">
        <f>'пр.6.1.ведом.22-23'!G653</f>
        <v>2888</v>
      </c>
      <c r="H277" s="10">
        <f>'пр.6.1.ведом.22-23'!H653</f>
        <v>2888</v>
      </c>
    </row>
    <row r="278" spans="1:8" s="202" customFormat="1" ht="31.5" x14ac:dyDescent="0.25">
      <c r="A278" s="29" t="s">
        <v>410</v>
      </c>
      <c r="B278" s="20" t="s">
        <v>1256</v>
      </c>
      <c r="C278" s="40" t="s">
        <v>271</v>
      </c>
      <c r="D278" s="40" t="s">
        <v>220</v>
      </c>
      <c r="E278" s="40" t="s">
        <v>282</v>
      </c>
      <c r="F278" s="40" t="s">
        <v>644</v>
      </c>
      <c r="G278" s="10">
        <f>G277</f>
        <v>2888</v>
      </c>
      <c r="H278" s="10">
        <f>H277</f>
        <v>2888</v>
      </c>
    </row>
    <row r="279" spans="1:8" s="202" customFormat="1" ht="15.75" x14ac:dyDescent="0.25">
      <c r="A279" s="29" t="s">
        <v>272</v>
      </c>
      <c r="B279" s="40" t="s">
        <v>1255</v>
      </c>
      <c r="C279" s="40" t="s">
        <v>271</v>
      </c>
      <c r="D279" s="40" t="s">
        <v>222</v>
      </c>
      <c r="E279" s="40"/>
      <c r="F279" s="40"/>
      <c r="G279" s="10">
        <f>G280</f>
        <v>1564</v>
      </c>
      <c r="H279" s="10">
        <f>H280</f>
        <v>1564</v>
      </c>
    </row>
    <row r="280" spans="1:8" s="202" customFormat="1" ht="47.25" x14ac:dyDescent="0.25">
      <c r="A280" s="45" t="s">
        <v>774</v>
      </c>
      <c r="B280" s="20" t="s">
        <v>1256</v>
      </c>
      <c r="C280" s="20" t="s">
        <v>271</v>
      </c>
      <c r="D280" s="20" t="s">
        <v>222</v>
      </c>
      <c r="E280" s="20"/>
      <c r="F280" s="20"/>
      <c r="G280" s="10">
        <f t="shared" ref="G280:H281" si="36">G281</f>
        <v>1564</v>
      </c>
      <c r="H280" s="10">
        <f t="shared" si="36"/>
        <v>1564</v>
      </c>
    </row>
    <row r="281" spans="1:8" s="202" customFormat="1" ht="47.25" x14ac:dyDescent="0.25">
      <c r="A281" s="29" t="s">
        <v>279</v>
      </c>
      <c r="B281" s="20" t="s">
        <v>1256</v>
      </c>
      <c r="C281" s="20" t="s">
        <v>271</v>
      </c>
      <c r="D281" s="20" t="s">
        <v>222</v>
      </c>
      <c r="E281" s="20" t="s">
        <v>280</v>
      </c>
      <c r="F281" s="20"/>
      <c r="G281" s="10">
        <f t="shared" si="36"/>
        <v>1564</v>
      </c>
      <c r="H281" s="10">
        <f t="shared" si="36"/>
        <v>1564</v>
      </c>
    </row>
    <row r="282" spans="1:8" s="202" customFormat="1" ht="15.75" x14ac:dyDescent="0.25">
      <c r="A282" s="31" t="s">
        <v>281</v>
      </c>
      <c r="B282" s="20" t="s">
        <v>1256</v>
      </c>
      <c r="C282" s="20" t="s">
        <v>271</v>
      </c>
      <c r="D282" s="20" t="s">
        <v>222</v>
      </c>
      <c r="E282" s="20" t="s">
        <v>282</v>
      </c>
      <c r="F282" s="20"/>
      <c r="G282" s="10">
        <f>'пр.6.1.ведом.22-23'!G714</f>
        <v>1564</v>
      </c>
      <c r="H282" s="10">
        <f>'пр.6.1.ведом.22-23'!H714</f>
        <v>1564</v>
      </c>
    </row>
    <row r="283" spans="1:8" s="202" customFormat="1" ht="31.5" x14ac:dyDescent="0.25">
      <c r="A283" s="29" t="s">
        <v>410</v>
      </c>
      <c r="B283" s="20" t="s">
        <v>1256</v>
      </c>
      <c r="C283" s="40" t="s">
        <v>271</v>
      </c>
      <c r="D283" s="40" t="s">
        <v>222</v>
      </c>
      <c r="E283" s="40" t="s">
        <v>282</v>
      </c>
      <c r="F283" s="40" t="s">
        <v>644</v>
      </c>
      <c r="G283" s="10">
        <f>G282</f>
        <v>1564</v>
      </c>
      <c r="H283" s="10">
        <f>H282</f>
        <v>1564</v>
      </c>
    </row>
    <row r="284" spans="1:8" ht="78.75" x14ac:dyDescent="0.25">
      <c r="A284" s="23" t="s">
        <v>943</v>
      </c>
      <c r="B284" s="24" t="s">
        <v>1258</v>
      </c>
      <c r="C284" s="24"/>
      <c r="D284" s="24"/>
      <c r="E284" s="24"/>
      <c r="F284" s="24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270</v>
      </c>
      <c r="B285" s="20" t="s">
        <v>1258</v>
      </c>
      <c r="C285" s="40" t="s">
        <v>271</v>
      </c>
      <c r="D285" s="40"/>
      <c r="E285" s="40"/>
      <c r="F285" s="40"/>
      <c r="G285" s="10">
        <f t="shared" ref="G285:H285" si="37">G286</f>
        <v>297.70000000000005</v>
      </c>
      <c r="H285" s="10">
        <f t="shared" si="37"/>
        <v>297.70000000000005</v>
      </c>
    </row>
    <row r="286" spans="1:8" ht="15.75" x14ac:dyDescent="0.25">
      <c r="A286" s="45" t="s">
        <v>411</v>
      </c>
      <c r="B286" s="20" t="s">
        <v>1258</v>
      </c>
      <c r="C286" s="40" t="s">
        <v>271</v>
      </c>
      <c r="D286" s="40" t="s">
        <v>125</v>
      </c>
      <c r="E286" s="40"/>
      <c r="F286" s="40"/>
      <c r="G286" s="10">
        <f t="shared" ref="G286:H288" si="38">G287</f>
        <v>297.70000000000005</v>
      </c>
      <c r="H286" s="10">
        <f t="shared" si="38"/>
        <v>297.70000000000005</v>
      </c>
    </row>
    <row r="287" spans="1:8" ht="126" x14ac:dyDescent="0.25">
      <c r="A287" s="25" t="s">
        <v>1555</v>
      </c>
      <c r="B287" s="20" t="s">
        <v>1259</v>
      </c>
      <c r="C287" s="20" t="s">
        <v>271</v>
      </c>
      <c r="D287" s="20" t="s">
        <v>125</v>
      </c>
      <c r="E287" s="20"/>
      <c r="F287" s="20"/>
      <c r="G287" s="10">
        <f t="shared" si="38"/>
        <v>297.70000000000005</v>
      </c>
      <c r="H287" s="10">
        <f t="shared" si="38"/>
        <v>297.70000000000005</v>
      </c>
    </row>
    <row r="288" spans="1:8" ht="47.25" x14ac:dyDescent="0.25">
      <c r="A288" s="25" t="s">
        <v>279</v>
      </c>
      <c r="B288" s="20" t="s">
        <v>1259</v>
      </c>
      <c r="C288" s="20" t="s">
        <v>271</v>
      </c>
      <c r="D288" s="20" t="s">
        <v>125</v>
      </c>
      <c r="E288" s="20" t="s">
        <v>280</v>
      </c>
      <c r="F288" s="20"/>
      <c r="G288" s="10">
        <f t="shared" si="38"/>
        <v>297.70000000000005</v>
      </c>
      <c r="H288" s="10">
        <f t="shared" si="38"/>
        <v>297.70000000000005</v>
      </c>
    </row>
    <row r="289" spans="1:8" ht="15.75" x14ac:dyDescent="0.25">
      <c r="A289" s="25" t="s">
        <v>281</v>
      </c>
      <c r="B289" s="20" t="s">
        <v>1259</v>
      </c>
      <c r="C289" s="20" t="s">
        <v>271</v>
      </c>
      <c r="D289" s="20" t="s">
        <v>125</v>
      </c>
      <c r="E289" s="20" t="s">
        <v>282</v>
      </c>
      <c r="F289" s="20"/>
      <c r="G289" s="10">
        <f>'пр.6.1.ведом.22-23'!G591</f>
        <v>297.70000000000005</v>
      </c>
      <c r="H289" s="10">
        <f>'пр.6.1.ведом.22-23'!H591</f>
        <v>297.70000000000005</v>
      </c>
    </row>
    <row r="290" spans="1:8" ht="31.5" x14ac:dyDescent="0.25">
      <c r="A290" s="29" t="s">
        <v>410</v>
      </c>
      <c r="B290" s="20" t="s">
        <v>1259</v>
      </c>
      <c r="C290" s="40" t="s">
        <v>271</v>
      </c>
      <c r="D290" s="40" t="s">
        <v>125</v>
      </c>
      <c r="E290" s="40" t="s">
        <v>282</v>
      </c>
      <c r="F290" s="40" t="s">
        <v>644</v>
      </c>
      <c r="G290" s="10">
        <f>G289</f>
        <v>297.70000000000005</v>
      </c>
      <c r="H290" s="10">
        <f>H289</f>
        <v>297.70000000000005</v>
      </c>
    </row>
    <row r="291" spans="1:8" s="202" customFormat="1" ht="47.25" x14ac:dyDescent="0.25">
      <c r="A291" s="23" t="s">
        <v>948</v>
      </c>
      <c r="B291" s="24" t="s">
        <v>1269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s="202" customFormat="1" ht="15.75" x14ac:dyDescent="0.25">
      <c r="A292" s="29" t="s">
        <v>270</v>
      </c>
      <c r="B292" s="20" t="s">
        <v>1269</v>
      </c>
      <c r="C292" s="40" t="s">
        <v>271</v>
      </c>
      <c r="D292" s="40"/>
      <c r="E292" s="40"/>
      <c r="F292" s="40"/>
      <c r="G292" s="10">
        <f t="shared" ref="G292:H292" si="39">G293</f>
        <v>3931.8</v>
      </c>
      <c r="H292" s="10">
        <f t="shared" si="39"/>
        <v>3865.2</v>
      </c>
    </row>
    <row r="293" spans="1:8" s="202" customFormat="1" ht="15.75" x14ac:dyDescent="0.25">
      <c r="A293" s="29" t="s">
        <v>432</v>
      </c>
      <c r="B293" s="20" t="s">
        <v>1269</v>
      </c>
      <c r="C293" s="40" t="s">
        <v>271</v>
      </c>
      <c r="D293" s="40" t="s">
        <v>220</v>
      </c>
      <c r="E293" s="40"/>
      <c r="F293" s="40"/>
      <c r="G293" s="10">
        <f>G294</f>
        <v>3931.8</v>
      </c>
      <c r="H293" s="10">
        <f>H294</f>
        <v>3865.2</v>
      </c>
    </row>
    <row r="294" spans="1:8" s="202" customFormat="1" ht="47.25" x14ac:dyDescent="0.25">
      <c r="A294" s="29" t="s">
        <v>610</v>
      </c>
      <c r="B294" s="20" t="s">
        <v>1270</v>
      </c>
      <c r="C294" s="40" t="s">
        <v>271</v>
      </c>
      <c r="D294" s="40" t="s">
        <v>220</v>
      </c>
      <c r="E294" s="40"/>
      <c r="F294" s="40"/>
      <c r="G294" s="10">
        <f t="shared" ref="G294:H295" si="40">G295</f>
        <v>3931.8</v>
      </c>
      <c r="H294" s="10">
        <f t="shared" si="40"/>
        <v>3865.2</v>
      </c>
    </row>
    <row r="295" spans="1:8" s="202" customFormat="1" ht="47.25" x14ac:dyDescent="0.25">
      <c r="A295" s="29" t="s">
        <v>279</v>
      </c>
      <c r="B295" s="20" t="s">
        <v>1270</v>
      </c>
      <c r="C295" s="40" t="s">
        <v>271</v>
      </c>
      <c r="D295" s="40" t="s">
        <v>220</v>
      </c>
      <c r="E295" s="40" t="s">
        <v>280</v>
      </c>
      <c r="F295" s="40"/>
      <c r="G295" s="10">
        <f t="shared" si="40"/>
        <v>3931.8</v>
      </c>
      <c r="H295" s="10">
        <f t="shared" si="40"/>
        <v>3865.2</v>
      </c>
    </row>
    <row r="296" spans="1:8" s="202" customFormat="1" ht="15.75" x14ac:dyDescent="0.25">
      <c r="A296" s="29" t="s">
        <v>281</v>
      </c>
      <c r="B296" s="20" t="s">
        <v>1270</v>
      </c>
      <c r="C296" s="40" t="s">
        <v>271</v>
      </c>
      <c r="D296" s="40" t="s">
        <v>220</v>
      </c>
      <c r="E296" s="40" t="s">
        <v>282</v>
      </c>
      <c r="F296" s="40"/>
      <c r="G296" s="6">
        <f>'пр.6.1.ведом.22-23'!G657</f>
        <v>3931.8</v>
      </c>
      <c r="H296" s="6">
        <f>'пр.6.1.ведом.22-23'!H657</f>
        <v>3865.2</v>
      </c>
    </row>
    <row r="297" spans="1:8" s="202" customFormat="1" ht="31.5" x14ac:dyDescent="0.25">
      <c r="A297" s="29" t="s">
        <v>410</v>
      </c>
      <c r="B297" s="20" t="s">
        <v>1270</v>
      </c>
      <c r="C297" s="40" t="s">
        <v>271</v>
      </c>
      <c r="D297" s="40" t="s">
        <v>220</v>
      </c>
      <c r="E297" s="40" t="s">
        <v>282</v>
      </c>
      <c r="F297" s="40" t="s">
        <v>644</v>
      </c>
      <c r="G297" s="10">
        <f>G296</f>
        <v>3931.8</v>
      </c>
      <c r="H297" s="10">
        <f>H296</f>
        <v>3865.2</v>
      </c>
    </row>
    <row r="298" spans="1:8" s="202" customFormat="1" ht="31.5" x14ac:dyDescent="0.25">
      <c r="A298" s="23" t="s">
        <v>949</v>
      </c>
      <c r="B298" s="24" t="s">
        <v>1271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s="202" customFormat="1" ht="15.75" x14ac:dyDescent="0.25">
      <c r="A299" s="29" t="s">
        <v>270</v>
      </c>
      <c r="B299" s="20" t="s">
        <v>1271</v>
      </c>
      <c r="C299" s="40" t="s">
        <v>271</v>
      </c>
      <c r="D299" s="40"/>
      <c r="E299" s="40"/>
      <c r="F299" s="40"/>
      <c r="G299" s="10">
        <f t="shared" ref="G299:H299" si="41">G300</f>
        <v>1384.6</v>
      </c>
      <c r="H299" s="10">
        <f t="shared" si="41"/>
        <v>1384.6</v>
      </c>
    </row>
    <row r="300" spans="1:8" s="202" customFormat="1" ht="15.75" x14ac:dyDescent="0.25">
      <c r="A300" s="29" t="s">
        <v>432</v>
      </c>
      <c r="B300" s="20" t="s">
        <v>1271</v>
      </c>
      <c r="C300" s="40" t="s">
        <v>271</v>
      </c>
      <c r="D300" s="40" t="s">
        <v>220</v>
      </c>
      <c r="E300" s="40"/>
      <c r="F300" s="40"/>
      <c r="G300" s="10">
        <f t="shared" ref="G300:H302" si="42">G301</f>
        <v>1384.6</v>
      </c>
      <c r="H300" s="10">
        <f t="shared" si="42"/>
        <v>1384.6</v>
      </c>
    </row>
    <row r="301" spans="1:8" s="202" customFormat="1" ht="63" x14ac:dyDescent="0.25">
      <c r="A301" s="25" t="s">
        <v>445</v>
      </c>
      <c r="B301" s="20" t="s">
        <v>1272</v>
      </c>
      <c r="C301" s="40" t="s">
        <v>271</v>
      </c>
      <c r="D301" s="40" t="s">
        <v>220</v>
      </c>
      <c r="E301" s="40"/>
      <c r="F301" s="40"/>
      <c r="G301" s="10">
        <f t="shared" si="42"/>
        <v>1384.6</v>
      </c>
      <c r="H301" s="10">
        <f t="shared" si="42"/>
        <v>1384.6</v>
      </c>
    </row>
    <row r="302" spans="1:8" s="202" customFormat="1" ht="47.25" x14ac:dyDescent="0.25">
      <c r="A302" s="25" t="s">
        <v>279</v>
      </c>
      <c r="B302" s="20" t="s">
        <v>1272</v>
      </c>
      <c r="C302" s="40" t="s">
        <v>271</v>
      </c>
      <c r="D302" s="40" t="s">
        <v>220</v>
      </c>
      <c r="E302" s="40" t="s">
        <v>280</v>
      </c>
      <c r="F302" s="40"/>
      <c r="G302" s="10">
        <f t="shared" si="42"/>
        <v>1384.6</v>
      </c>
      <c r="H302" s="10">
        <f t="shared" si="42"/>
        <v>1384.6</v>
      </c>
    </row>
    <row r="303" spans="1:8" s="202" customFormat="1" ht="15.75" x14ac:dyDescent="0.25">
      <c r="A303" s="25" t="s">
        <v>281</v>
      </c>
      <c r="B303" s="20" t="s">
        <v>1272</v>
      </c>
      <c r="C303" s="40" t="s">
        <v>271</v>
      </c>
      <c r="D303" s="40" t="s">
        <v>220</v>
      </c>
      <c r="E303" s="40" t="s">
        <v>282</v>
      </c>
      <c r="F303" s="40"/>
      <c r="G303" s="10">
        <f>'пр.6.1.ведом.22-23'!G661</f>
        <v>1384.6</v>
      </c>
      <c r="H303" s="10">
        <f>'пр.6.1.ведом.22-23'!H661</f>
        <v>1384.6</v>
      </c>
    </row>
    <row r="304" spans="1:8" s="202" customFormat="1" ht="31.5" x14ac:dyDescent="0.25">
      <c r="A304" s="29" t="s">
        <v>410</v>
      </c>
      <c r="B304" s="20" t="s">
        <v>1272</v>
      </c>
      <c r="C304" s="40" t="s">
        <v>271</v>
      </c>
      <c r="D304" s="40" t="s">
        <v>220</v>
      </c>
      <c r="E304" s="40" t="s">
        <v>282</v>
      </c>
      <c r="F304" s="40" t="s">
        <v>644</v>
      </c>
      <c r="G304" s="10">
        <f>G303</f>
        <v>1384.6</v>
      </c>
      <c r="H304" s="10">
        <f>H303</f>
        <v>1384.6</v>
      </c>
    </row>
    <row r="305" spans="1:8" s="202" customFormat="1" ht="47.25" x14ac:dyDescent="0.25">
      <c r="A305" s="212" t="s">
        <v>950</v>
      </c>
      <c r="B305" s="24" t="s">
        <v>1274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s="202" customFormat="1" ht="15.75" x14ac:dyDescent="0.25">
      <c r="A306" s="29" t="s">
        <v>270</v>
      </c>
      <c r="B306" s="20" t="s">
        <v>1274</v>
      </c>
      <c r="C306" s="40" t="s">
        <v>271</v>
      </c>
      <c r="D306" s="40"/>
      <c r="E306" s="40"/>
      <c r="F306" s="40"/>
      <c r="G306" s="10">
        <f t="shared" ref="G306:H306" si="43">G307</f>
        <v>755.8</v>
      </c>
      <c r="H306" s="10">
        <f t="shared" si="43"/>
        <v>759</v>
      </c>
    </row>
    <row r="307" spans="1:8" s="202" customFormat="1" ht="15.75" x14ac:dyDescent="0.25">
      <c r="A307" s="29" t="s">
        <v>432</v>
      </c>
      <c r="B307" s="20" t="s">
        <v>1274</v>
      </c>
      <c r="C307" s="40" t="s">
        <v>271</v>
      </c>
      <c r="D307" s="40" t="s">
        <v>220</v>
      </c>
      <c r="E307" s="40"/>
      <c r="F307" s="40"/>
      <c r="G307" s="10">
        <f t="shared" ref="G307:H309" si="44">G308</f>
        <v>755.8</v>
      </c>
      <c r="H307" s="10">
        <f t="shared" si="44"/>
        <v>759</v>
      </c>
    </row>
    <row r="308" spans="1:8" s="202" customFormat="1" ht="63" x14ac:dyDescent="0.25">
      <c r="A308" s="184" t="s">
        <v>838</v>
      </c>
      <c r="B308" s="20" t="s">
        <v>1444</v>
      </c>
      <c r="C308" s="40" t="s">
        <v>271</v>
      </c>
      <c r="D308" s="40" t="s">
        <v>220</v>
      </c>
      <c r="E308" s="40"/>
      <c r="F308" s="40"/>
      <c r="G308" s="10">
        <f t="shared" si="44"/>
        <v>755.8</v>
      </c>
      <c r="H308" s="10">
        <f t="shared" si="44"/>
        <v>759</v>
      </c>
    </row>
    <row r="309" spans="1:8" s="202" customFormat="1" ht="47.25" x14ac:dyDescent="0.25">
      <c r="A309" s="29" t="s">
        <v>279</v>
      </c>
      <c r="B309" s="20" t="s">
        <v>1444</v>
      </c>
      <c r="C309" s="40" t="s">
        <v>271</v>
      </c>
      <c r="D309" s="40" t="s">
        <v>220</v>
      </c>
      <c r="E309" s="40" t="s">
        <v>280</v>
      </c>
      <c r="F309" s="40"/>
      <c r="G309" s="10">
        <f t="shared" si="44"/>
        <v>755.8</v>
      </c>
      <c r="H309" s="10">
        <f t="shared" si="44"/>
        <v>759</v>
      </c>
    </row>
    <row r="310" spans="1:8" s="202" customFormat="1" ht="15.75" x14ac:dyDescent="0.25">
      <c r="A310" s="184" t="s">
        <v>281</v>
      </c>
      <c r="B310" s="20" t="s">
        <v>1444</v>
      </c>
      <c r="C310" s="40" t="s">
        <v>271</v>
      </c>
      <c r="D310" s="40" t="s">
        <v>220</v>
      </c>
      <c r="E310" s="40" t="s">
        <v>282</v>
      </c>
      <c r="F310" s="40"/>
      <c r="G310" s="10">
        <f>'пр.6.1.ведом.22-23'!G665</f>
        <v>755.8</v>
      </c>
      <c r="H310" s="10">
        <f>'пр.6.1.ведом.22-23'!H665</f>
        <v>759</v>
      </c>
    </row>
    <row r="311" spans="1:8" s="202" customFormat="1" ht="31.5" x14ac:dyDescent="0.25">
      <c r="A311" s="29" t="s">
        <v>410</v>
      </c>
      <c r="B311" s="20" t="s">
        <v>1444</v>
      </c>
      <c r="C311" s="40" t="s">
        <v>271</v>
      </c>
      <c r="D311" s="40" t="s">
        <v>220</v>
      </c>
      <c r="E311" s="40" t="s">
        <v>282</v>
      </c>
      <c r="F311" s="40" t="s">
        <v>644</v>
      </c>
      <c r="G311" s="10">
        <f>G310</f>
        <v>755.8</v>
      </c>
      <c r="H311" s="10">
        <f>H310</f>
        <v>759</v>
      </c>
    </row>
    <row r="312" spans="1:8" s="202" customFormat="1" ht="126" x14ac:dyDescent="0.25">
      <c r="A312" s="23" t="s">
        <v>1180</v>
      </c>
      <c r="B312" s="24" t="s">
        <v>1261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s="202" customFormat="1" ht="15.75" x14ac:dyDescent="0.25">
      <c r="A313" s="29" t="s">
        <v>270</v>
      </c>
      <c r="B313" s="20" t="s">
        <v>1261</v>
      </c>
      <c r="C313" s="40" t="s">
        <v>271</v>
      </c>
      <c r="D313" s="40"/>
      <c r="E313" s="40"/>
      <c r="F313" s="40"/>
      <c r="G313" s="10">
        <f>G314</f>
        <v>1666.6</v>
      </c>
      <c r="H313" s="10">
        <f>H314</f>
        <v>915</v>
      </c>
    </row>
    <row r="314" spans="1:8" s="202" customFormat="1" ht="15.75" x14ac:dyDescent="0.25">
      <c r="A314" s="45" t="s">
        <v>411</v>
      </c>
      <c r="B314" s="20" t="s">
        <v>1261</v>
      </c>
      <c r="C314" s="40" t="s">
        <v>271</v>
      </c>
      <c r="D314" s="40" t="s">
        <v>125</v>
      </c>
      <c r="E314" s="40"/>
      <c r="F314" s="40"/>
      <c r="G314" s="10">
        <f>G315+G319</f>
        <v>1666.6</v>
      </c>
      <c r="H314" s="10">
        <f>H315+H319</f>
        <v>915</v>
      </c>
    </row>
    <row r="315" spans="1:8" s="202" customFormat="1" ht="94.5" hidden="1" x14ac:dyDescent="0.25">
      <c r="A315" s="150" t="s">
        <v>1199</v>
      </c>
      <c r="B315" s="20" t="s">
        <v>1262</v>
      </c>
      <c r="C315" s="40" t="s">
        <v>271</v>
      </c>
      <c r="D315" s="40" t="s">
        <v>125</v>
      </c>
      <c r="E315" s="40"/>
      <c r="F315" s="40"/>
      <c r="G315" s="10">
        <f>G316</f>
        <v>0</v>
      </c>
      <c r="H315" s="10">
        <f>H316</f>
        <v>0</v>
      </c>
    </row>
    <row r="316" spans="1:8" s="202" customFormat="1" ht="47.25" hidden="1" x14ac:dyDescent="0.25">
      <c r="A316" s="25" t="s">
        <v>279</v>
      </c>
      <c r="B316" s="20" t="s">
        <v>1262</v>
      </c>
      <c r="C316" s="40" t="s">
        <v>271</v>
      </c>
      <c r="D316" s="40" t="s">
        <v>125</v>
      </c>
      <c r="E316" s="40" t="s">
        <v>280</v>
      </c>
      <c r="F316" s="40"/>
      <c r="G316" s="10">
        <f>G317</f>
        <v>0</v>
      </c>
      <c r="H316" s="10">
        <f>H317</f>
        <v>0</v>
      </c>
    </row>
    <row r="317" spans="1:8" s="202" customFormat="1" ht="15.75" hidden="1" x14ac:dyDescent="0.25">
      <c r="A317" s="25" t="s">
        <v>281</v>
      </c>
      <c r="B317" s="20" t="s">
        <v>1262</v>
      </c>
      <c r="C317" s="40" t="s">
        <v>271</v>
      </c>
      <c r="D317" s="40" t="s">
        <v>125</v>
      </c>
      <c r="E317" s="40" t="s">
        <v>282</v>
      </c>
      <c r="F317" s="40"/>
      <c r="G317" s="10">
        <f>'пр.6.1.ведом.22-23'!G595</f>
        <v>0</v>
      </c>
      <c r="H317" s="10">
        <f>'пр.6.1.ведом.22-23'!H595</f>
        <v>0</v>
      </c>
    </row>
    <row r="318" spans="1:8" s="202" customFormat="1" ht="31.5" hidden="1" x14ac:dyDescent="0.25">
      <c r="A318" s="29" t="s">
        <v>410</v>
      </c>
      <c r="B318" s="20" t="s">
        <v>1262</v>
      </c>
      <c r="C318" s="40" t="s">
        <v>271</v>
      </c>
      <c r="D318" s="40" t="s">
        <v>125</v>
      </c>
      <c r="E318" s="40" t="s">
        <v>282</v>
      </c>
      <c r="F318" s="40" t="s">
        <v>644</v>
      </c>
      <c r="G318" s="10">
        <f>G315</f>
        <v>0</v>
      </c>
      <c r="H318" s="10">
        <f>H315</f>
        <v>0</v>
      </c>
    </row>
    <row r="319" spans="1:8" s="202" customFormat="1" ht="110.25" x14ac:dyDescent="0.25">
      <c r="A319" s="150" t="s">
        <v>1538</v>
      </c>
      <c r="B319" s="20" t="s">
        <v>1262</v>
      </c>
      <c r="C319" s="40" t="s">
        <v>271</v>
      </c>
      <c r="D319" s="40" t="s">
        <v>125</v>
      </c>
      <c r="E319" s="40"/>
      <c r="F319" s="40"/>
      <c r="G319" s="10">
        <f>G320</f>
        <v>1666.6</v>
      </c>
      <c r="H319" s="10">
        <f>H320</f>
        <v>915</v>
      </c>
    </row>
    <row r="320" spans="1:8" s="202" customFormat="1" ht="47.25" x14ac:dyDescent="0.25">
      <c r="A320" s="25" t="s">
        <v>279</v>
      </c>
      <c r="B320" s="20" t="s">
        <v>1262</v>
      </c>
      <c r="C320" s="40" t="s">
        <v>271</v>
      </c>
      <c r="D320" s="40" t="s">
        <v>125</v>
      </c>
      <c r="E320" s="40" t="s">
        <v>280</v>
      </c>
      <c r="F320" s="40"/>
      <c r="G320" s="10">
        <f>G321</f>
        <v>1666.6</v>
      </c>
      <c r="H320" s="10">
        <f>H321</f>
        <v>915</v>
      </c>
    </row>
    <row r="321" spans="1:8" s="202" customFormat="1" ht="15.75" x14ac:dyDescent="0.25">
      <c r="A321" s="25" t="s">
        <v>281</v>
      </c>
      <c r="B321" s="20" t="s">
        <v>1262</v>
      </c>
      <c r="C321" s="40" t="s">
        <v>271</v>
      </c>
      <c r="D321" s="40" t="s">
        <v>125</v>
      </c>
      <c r="E321" s="40" t="s">
        <v>282</v>
      </c>
      <c r="F321" s="40"/>
      <c r="G321" s="10">
        <f>'пр.6.1.ведом.22-23'!G598</f>
        <v>1666.6</v>
      </c>
      <c r="H321" s="10">
        <f>'пр.6.1.ведом.22-23'!H598</f>
        <v>915</v>
      </c>
    </row>
    <row r="322" spans="1:8" s="202" customFormat="1" ht="31.5" x14ac:dyDescent="0.25">
      <c r="A322" s="29" t="s">
        <v>410</v>
      </c>
      <c r="B322" s="20" t="s">
        <v>1262</v>
      </c>
      <c r="C322" s="40" t="s">
        <v>271</v>
      </c>
      <c r="D322" s="40" t="s">
        <v>125</v>
      </c>
      <c r="E322" s="40" t="s">
        <v>282</v>
      </c>
      <c r="F322" s="40" t="s">
        <v>644</v>
      </c>
      <c r="G322" s="10">
        <f>G319</f>
        <v>1666.6</v>
      </c>
      <c r="H322" s="10">
        <f>H319</f>
        <v>915</v>
      </c>
    </row>
    <row r="323" spans="1:8" s="202" customFormat="1" ht="47.25" x14ac:dyDescent="0.25">
      <c r="A323" s="289" t="s">
        <v>1422</v>
      </c>
      <c r="B323" s="24" t="s">
        <v>1421</v>
      </c>
      <c r="C323" s="24"/>
      <c r="D323" s="24"/>
      <c r="E323" s="24"/>
      <c r="F323" s="7"/>
      <c r="G323" s="59">
        <f t="shared" ref="G323:H327" si="45">G324</f>
        <v>5415.6500000000005</v>
      </c>
      <c r="H323" s="59">
        <f t="shared" si="45"/>
        <v>5142.4500000000007</v>
      </c>
    </row>
    <row r="324" spans="1:8" s="202" customFormat="1" ht="15.75" x14ac:dyDescent="0.25">
      <c r="A324" s="184" t="s">
        <v>270</v>
      </c>
      <c r="B324" s="20" t="s">
        <v>1421</v>
      </c>
      <c r="C324" s="20" t="s">
        <v>271</v>
      </c>
      <c r="D324" s="20"/>
      <c r="E324" s="20"/>
      <c r="F324" s="40"/>
      <c r="G324" s="10">
        <f t="shared" si="45"/>
        <v>5415.6500000000005</v>
      </c>
      <c r="H324" s="10">
        <f t="shared" si="45"/>
        <v>5142.4500000000007</v>
      </c>
    </row>
    <row r="325" spans="1:8" s="202" customFormat="1" ht="15.75" x14ac:dyDescent="0.25">
      <c r="A325" s="184" t="s">
        <v>432</v>
      </c>
      <c r="B325" s="20" t="s">
        <v>1421</v>
      </c>
      <c r="C325" s="20" t="s">
        <v>271</v>
      </c>
      <c r="D325" s="20" t="s">
        <v>220</v>
      </c>
      <c r="E325" s="20"/>
      <c r="F325" s="40"/>
      <c r="G325" s="10">
        <f t="shared" si="45"/>
        <v>5415.6500000000005</v>
      </c>
      <c r="H325" s="10">
        <f t="shared" si="45"/>
        <v>5142.4500000000007</v>
      </c>
    </row>
    <row r="326" spans="1:8" s="202" customFormat="1" ht="78.75" x14ac:dyDescent="0.25">
      <c r="A326" s="288" t="s">
        <v>1408</v>
      </c>
      <c r="B326" s="20" t="s">
        <v>1475</v>
      </c>
      <c r="C326" s="20" t="s">
        <v>271</v>
      </c>
      <c r="D326" s="20" t="s">
        <v>220</v>
      </c>
      <c r="E326" s="20"/>
      <c r="F326" s="40"/>
      <c r="G326" s="10">
        <f t="shared" si="45"/>
        <v>5415.6500000000005</v>
      </c>
      <c r="H326" s="10">
        <f t="shared" si="45"/>
        <v>5142.4500000000007</v>
      </c>
    </row>
    <row r="327" spans="1:8" s="202" customFormat="1" ht="47.25" x14ac:dyDescent="0.25">
      <c r="A327" s="31" t="s">
        <v>279</v>
      </c>
      <c r="B327" s="20" t="s">
        <v>1475</v>
      </c>
      <c r="C327" s="20" t="s">
        <v>271</v>
      </c>
      <c r="D327" s="20" t="s">
        <v>220</v>
      </c>
      <c r="E327" s="20" t="s">
        <v>280</v>
      </c>
      <c r="F327" s="40"/>
      <c r="G327" s="10">
        <f t="shared" si="45"/>
        <v>5415.6500000000005</v>
      </c>
      <c r="H327" s="10">
        <f t="shared" si="45"/>
        <v>5142.4500000000007</v>
      </c>
    </row>
    <row r="328" spans="1:8" s="202" customFormat="1" ht="15.75" x14ac:dyDescent="0.25">
      <c r="A328" s="31" t="s">
        <v>281</v>
      </c>
      <c r="B328" s="20" t="s">
        <v>1475</v>
      </c>
      <c r="C328" s="20" t="s">
        <v>271</v>
      </c>
      <c r="D328" s="20" t="s">
        <v>220</v>
      </c>
      <c r="E328" s="20" t="s">
        <v>282</v>
      </c>
      <c r="F328" s="40"/>
      <c r="G328" s="10">
        <f>'пр.6.1.ведом.22-23'!G672</f>
        <v>5415.6500000000005</v>
      </c>
      <c r="H328" s="10">
        <f>'пр.6.1.ведом.22-23'!H672</f>
        <v>5142.4500000000007</v>
      </c>
    </row>
    <row r="329" spans="1:8" s="202" customFormat="1" ht="31.5" x14ac:dyDescent="0.25">
      <c r="A329" s="184" t="s">
        <v>410</v>
      </c>
      <c r="B329" s="20" t="s">
        <v>1475</v>
      </c>
      <c r="C329" s="20" t="s">
        <v>271</v>
      </c>
      <c r="D329" s="20" t="s">
        <v>220</v>
      </c>
      <c r="E329" s="20" t="s">
        <v>282</v>
      </c>
      <c r="F329" s="40" t="s">
        <v>644</v>
      </c>
      <c r="G329" s="10">
        <f>G323</f>
        <v>5415.6500000000005</v>
      </c>
      <c r="H329" s="10">
        <f>H323</f>
        <v>5142.4500000000007</v>
      </c>
    </row>
    <row r="330" spans="1:8" s="202" customFormat="1" ht="63" hidden="1" x14ac:dyDescent="0.25">
      <c r="A330" s="212" t="s">
        <v>1186</v>
      </c>
      <c r="B330" s="24" t="s">
        <v>1335</v>
      </c>
      <c r="C330" s="40"/>
      <c r="D330" s="40"/>
      <c r="E330" s="40"/>
      <c r="F330" s="40"/>
      <c r="G330" s="59">
        <f t="shared" ref="G330:H334" si="46">G331</f>
        <v>0</v>
      </c>
      <c r="H330" s="59">
        <f t="shared" si="46"/>
        <v>0</v>
      </c>
    </row>
    <row r="331" spans="1:8" s="202" customFormat="1" ht="15.75" hidden="1" x14ac:dyDescent="0.25">
      <c r="A331" s="29" t="s">
        <v>270</v>
      </c>
      <c r="B331" s="20" t="s">
        <v>1335</v>
      </c>
      <c r="C331" s="40" t="s">
        <v>271</v>
      </c>
      <c r="D331" s="40"/>
      <c r="E331" s="40"/>
      <c r="F331" s="40"/>
      <c r="G331" s="10">
        <f t="shared" si="46"/>
        <v>0</v>
      </c>
      <c r="H331" s="10">
        <f t="shared" si="46"/>
        <v>0</v>
      </c>
    </row>
    <row r="332" spans="1:8" s="202" customFormat="1" ht="15.75" hidden="1" x14ac:dyDescent="0.25">
      <c r="A332" s="29" t="s">
        <v>432</v>
      </c>
      <c r="B332" s="20" t="s">
        <v>1335</v>
      </c>
      <c r="C332" s="40" t="s">
        <v>271</v>
      </c>
      <c r="D332" s="40" t="s">
        <v>220</v>
      </c>
      <c r="E332" s="40"/>
      <c r="F332" s="40"/>
      <c r="G332" s="10">
        <f t="shared" si="46"/>
        <v>0</v>
      </c>
      <c r="H332" s="10">
        <f t="shared" si="46"/>
        <v>0</v>
      </c>
    </row>
    <row r="333" spans="1:8" s="202" customFormat="1" ht="63" hidden="1" x14ac:dyDescent="0.25">
      <c r="A333" s="184" t="s">
        <v>1194</v>
      </c>
      <c r="B333" s="20" t="s">
        <v>1336</v>
      </c>
      <c r="C333" s="40" t="s">
        <v>271</v>
      </c>
      <c r="D333" s="40" t="s">
        <v>220</v>
      </c>
      <c r="E333" s="40"/>
      <c r="F333" s="40"/>
      <c r="G333" s="10">
        <f t="shared" si="46"/>
        <v>0</v>
      </c>
      <c r="H333" s="10">
        <f t="shared" si="46"/>
        <v>0</v>
      </c>
    </row>
    <row r="334" spans="1:8" s="202" customFormat="1" ht="47.25" hidden="1" x14ac:dyDescent="0.25">
      <c r="A334" s="31" t="s">
        <v>279</v>
      </c>
      <c r="B334" s="20" t="s">
        <v>1336</v>
      </c>
      <c r="C334" s="40" t="s">
        <v>271</v>
      </c>
      <c r="D334" s="40" t="s">
        <v>220</v>
      </c>
      <c r="E334" s="40" t="s">
        <v>280</v>
      </c>
      <c r="F334" s="40"/>
      <c r="G334" s="10">
        <f t="shared" si="46"/>
        <v>0</v>
      </c>
      <c r="H334" s="10">
        <f t="shared" si="46"/>
        <v>0</v>
      </c>
    </row>
    <row r="335" spans="1:8" s="202" customFormat="1" ht="15.75" hidden="1" x14ac:dyDescent="0.25">
      <c r="A335" s="31" t="s">
        <v>281</v>
      </c>
      <c r="B335" s="20" t="s">
        <v>1336</v>
      </c>
      <c r="C335" s="40" t="s">
        <v>271</v>
      </c>
      <c r="D335" s="40" t="s">
        <v>220</v>
      </c>
      <c r="E335" s="40" t="s">
        <v>282</v>
      </c>
      <c r="F335" s="40"/>
      <c r="G335" s="10">
        <f>'пр.6.1.ведом.22-23'!G676</f>
        <v>0</v>
      </c>
      <c r="H335" s="10">
        <f>'пр.6.1.ведом.22-23'!H675</f>
        <v>0</v>
      </c>
    </row>
    <row r="336" spans="1:8" s="202" customFormat="1" ht="31.5" hidden="1" x14ac:dyDescent="0.25">
      <c r="A336" s="29" t="s">
        <v>410</v>
      </c>
      <c r="B336" s="20" t="s">
        <v>1336</v>
      </c>
      <c r="C336" s="40" t="s">
        <v>271</v>
      </c>
      <c r="D336" s="40" t="s">
        <v>220</v>
      </c>
      <c r="E336" s="40" t="s">
        <v>282</v>
      </c>
      <c r="F336" s="40" t="s">
        <v>644</v>
      </c>
      <c r="G336" s="10">
        <f>G330</f>
        <v>0</v>
      </c>
      <c r="H336" s="10">
        <f>H335</f>
        <v>0</v>
      </c>
    </row>
    <row r="337" spans="1:8" s="202" customFormat="1" ht="31.5" x14ac:dyDescent="0.25">
      <c r="A337" s="34" t="s">
        <v>1516</v>
      </c>
      <c r="B337" s="24" t="s">
        <v>1514</v>
      </c>
      <c r="C337" s="40"/>
      <c r="D337" s="40"/>
      <c r="E337" s="40"/>
      <c r="F337" s="40"/>
      <c r="G337" s="59">
        <f t="shared" ref="G337:H341" si="47">G338</f>
        <v>1749.4499999999998</v>
      </c>
      <c r="H337" s="59">
        <f t="shared" si="47"/>
        <v>2341</v>
      </c>
    </row>
    <row r="338" spans="1:8" s="202" customFormat="1" ht="15.75" x14ac:dyDescent="0.25">
      <c r="A338" s="29" t="s">
        <v>270</v>
      </c>
      <c r="B338" s="20" t="s">
        <v>1514</v>
      </c>
      <c r="C338" s="40" t="s">
        <v>271</v>
      </c>
      <c r="D338" s="40"/>
      <c r="E338" s="40"/>
      <c r="F338" s="40"/>
      <c r="G338" s="10">
        <f t="shared" si="47"/>
        <v>1749.4499999999998</v>
      </c>
      <c r="H338" s="10">
        <f t="shared" si="47"/>
        <v>2341</v>
      </c>
    </row>
    <row r="339" spans="1:8" s="202" customFormat="1" ht="15.75" x14ac:dyDescent="0.25">
      <c r="A339" s="29" t="s">
        <v>432</v>
      </c>
      <c r="B339" s="20" t="s">
        <v>1514</v>
      </c>
      <c r="C339" s="40" t="s">
        <v>271</v>
      </c>
      <c r="D339" s="40" t="s">
        <v>220</v>
      </c>
      <c r="E339" s="40"/>
      <c r="F339" s="40"/>
      <c r="G339" s="10">
        <f t="shared" si="47"/>
        <v>1749.4499999999998</v>
      </c>
      <c r="H339" s="10">
        <f t="shared" si="47"/>
        <v>2341</v>
      </c>
    </row>
    <row r="340" spans="1:8" s="202" customFormat="1" ht="63" x14ac:dyDescent="0.25">
      <c r="A340" s="31" t="s">
        <v>1569</v>
      </c>
      <c r="B340" s="20" t="s">
        <v>1515</v>
      </c>
      <c r="C340" s="40" t="s">
        <v>271</v>
      </c>
      <c r="D340" s="40" t="s">
        <v>220</v>
      </c>
      <c r="E340" s="40"/>
      <c r="F340" s="40"/>
      <c r="G340" s="10">
        <f t="shared" si="47"/>
        <v>1749.4499999999998</v>
      </c>
      <c r="H340" s="10">
        <f t="shared" si="47"/>
        <v>2341</v>
      </c>
    </row>
    <row r="341" spans="1:8" s="202" customFormat="1" ht="47.25" x14ac:dyDescent="0.25">
      <c r="A341" s="31" t="s">
        <v>279</v>
      </c>
      <c r="B341" s="20" t="s">
        <v>1515</v>
      </c>
      <c r="C341" s="40" t="s">
        <v>271</v>
      </c>
      <c r="D341" s="40" t="s">
        <v>220</v>
      </c>
      <c r="E341" s="40" t="s">
        <v>280</v>
      </c>
      <c r="F341" s="40"/>
      <c r="G341" s="10">
        <f t="shared" si="47"/>
        <v>1749.4499999999998</v>
      </c>
      <c r="H341" s="10">
        <f t="shared" si="47"/>
        <v>2341</v>
      </c>
    </row>
    <row r="342" spans="1:8" s="202" customFormat="1" ht="15.75" x14ac:dyDescent="0.25">
      <c r="A342" s="31" t="s">
        <v>281</v>
      </c>
      <c r="B342" s="20" t="s">
        <v>1515</v>
      </c>
      <c r="C342" s="40" t="s">
        <v>271</v>
      </c>
      <c r="D342" s="40" t="s">
        <v>220</v>
      </c>
      <c r="E342" s="40" t="s">
        <v>282</v>
      </c>
      <c r="F342" s="40"/>
      <c r="G342" s="10">
        <f>'пр.6.1.ведом.22-23'!G680</f>
        <v>1749.4499999999998</v>
      </c>
      <c r="H342" s="10">
        <f>'пр.6.1.ведом.22-23'!H680</f>
        <v>2341</v>
      </c>
    </row>
    <row r="343" spans="1:8" s="202" customFormat="1" ht="31.5" x14ac:dyDescent="0.25">
      <c r="A343" s="29" t="s">
        <v>410</v>
      </c>
      <c r="B343" s="20" t="s">
        <v>1515</v>
      </c>
      <c r="C343" s="40" t="s">
        <v>271</v>
      </c>
      <c r="D343" s="40" t="s">
        <v>220</v>
      </c>
      <c r="E343" s="40" t="s">
        <v>282</v>
      </c>
      <c r="F343" s="40" t="s">
        <v>644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1401</v>
      </c>
      <c r="B344" s="196" t="s">
        <v>163</v>
      </c>
      <c r="C344" s="7"/>
      <c r="D344" s="196"/>
      <c r="E344" s="196"/>
      <c r="F344" s="196"/>
      <c r="G344" s="59">
        <f>G346</f>
        <v>150</v>
      </c>
      <c r="H344" s="59">
        <f>H346</f>
        <v>150</v>
      </c>
    </row>
    <row r="345" spans="1:8" ht="47.25" x14ac:dyDescent="0.25">
      <c r="A345" s="23" t="s">
        <v>1075</v>
      </c>
      <c r="B345" s="24" t="s">
        <v>1072</v>
      </c>
      <c r="C345" s="7"/>
      <c r="D345" s="7"/>
      <c r="E345" s="7"/>
      <c r="F345" s="7"/>
      <c r="G345" s="59">
        <f t="shared" ref="G345:H349" si="48">G346</f>
        <v>150</v>
      </c>
      <c r="H345" s="59">
        <f t="shared" si="48"/>
        <v>150</v>
      </c>
    </row>
    <row r="346" spans="1:8" ht="15.75" x14ac:dyDescent="0.25">
      <c r="A346" s="45" t="s">
        <v>239</v>
      </c>
      <c r="B346" s="5" t="s">
        <v>1072</v>
      </c>
      <c r="C346" s="40" t="s">
        <v>157</v>
      </c>
      <c r="D346" s="40"/>
      <c r="E346" s="40"/>
      <c r="F346" s="40"/>
      <c r="G346" s="10">
        <f t="shared" si="48"/>
        <v>150</v>
      </c>
      <c r="H346" s="10">
        <f t="shared" si="48"/>
        <v>150</v>
      </c>
    </row>
    <row r="347" spans="1:8" ht="15.75" x14ac:dyDescent="0.25">
      <c r="A347" s="45" t="s">
        <v>785</v>
      </c>
      <c r="B347" s="5" t="s">
        <v>1072</v>
      </c>
      <c r="C347" s="40" t="s">
        <v>157</v>
      </c>
      <c r="D347" s="40" t="s">
        <v>245</v>
      </c>
      <c r="E347" s="40"/>
      <c r="F347" s="40"/>
      <c r="G347" s="10">
        <f t="shared" si="48"/>
        <v>150</v>
      </c>
      <c r="H347" s="10">
        <f t="shared" si="48"/>
        <v>150</v>
      </c>
    </row>
    <row r="348" spans="1:8" ht="31.5" x14ac:dyDescent="0.25">
      <c r="A348" s="25" t="s">
        <v>1076</v>
      </c>
      <c r="B348" s="20" t="s">
        <v>1073</v>
      </c>
      <c r="C348" s="40" t="s">
        <v>157</v>
      </c>
      <c r="D348" s="40" t="s">
        <v>245</v>
      </c>
      <c r="E348" s="40"/>
      <c r="F348" s="40"/>
      <c r="G348" s="10">
        <f t="shared" si="48"/>
        <v>150</v>
      </c>
      <c r="H348" s="10">
        <f t="shared" si="48"/>
        <v>150</v>
      </c>
    </row>
    <row r="349" spans="1:8" ht="15.75" x14ac:dyDescent="0.25">
      <c r="A349" s="25" t="s">
        <v>142</v>
      </c>
      <c r="B349" s="20" t="s">
        <v>1073</v>
      </c>
      <c r="C349" s="40" t="s">
        <v>157</v>
      </c>
      <c r="D349" s="40" t="s">
        <v>245</v>
      </c>
      <c r="E349" s="40" t="s">
        <v>139</v>
      </c>
      <c r="F349" s="40"/>
      <c r="G349" s="10">
        <f t="shared" si="48"/>
        <v>150</v>
      </c>
      <c r="H349" s="10">
        <f t="shared" si="48"/>
        <v>150</v>
      </c>
    </row>
    <row r="350" spans="1:8" ht="63" x14ac:dyDescent="0.25">
      <c r="A350" s="25" t="s">
        <v>191</v>
      </c>
      <c r="B350" s="20" t="s">
        <v>1073</v>
      </c>
      <c r="C350" s="40" t="s">
        <v>157</v>
      </c>
      <c r="D350" s="40" t="s">
        <v>245</v>
      </c>
      <c r="E350" s="40" t="s">
        <v>141</v>
      </c>
      <c r="F350" s="40"/>
      <c r="G350" s="10">
        <f>'пр.6.1.ведом.22-23'!G217</f>
        <v>150</v>
      </c>
      <c r="H350" s="10">
        <f>'пр.6.1.ведом.22-23'!H217</f>
        <v>150</v>
      </c>
    </row>
    <row r="351" spans="1:8" ht="31.5" x14ac:dyDescent="0.25">
      <c r="A351" s="29" t="s">
        <v>155</v>
      </c>
      <c r="B351" s="20" t="s">
        <v>1073</v>
      </c>
      <c r="C351" s="40" t="s">
        <v>157</v>
      </c>
      <c r="D351" s="40" t="s">
        <v>245</v>
      </c>
      <c r="E351" s="40" t="s">
        <v>141</v>
      </c>
      <c r="F351" s="40" t="s">
        <v>649</v>
      </c>
      <c r="G351" s="10">
        <f>G350</f>
        <v>150</v>
      </c>
      <c r="H351" s="10">
        <f>H350</f>
        <v>150</v>
      </c>
    </row>
    <row r="352" spans="1:8" ht="47.25" hidden="1" x14ac:dyDescent="0.25">
      <c r="A352" s="25" t="s">
        <v>246</v>
      </c>
      <c r="B352" s="20" t="s">
        <v>1074</v>
      </c>
      <c r="C352" s="40" t="s">
        <v>157</v>
      </c>
      <c r="D352" s="40" t="s">
        <v>245</v>
      </c>
      <c r="E352" s="40"/>
      <c r="F352" s="40"/>
      <c r="G352" s="10" t="e">
        <f>G353</f>
        <v>#REF!</v>
      </c>
      <c r="H352" s="10" t="e">
        <f>H353</f>
        <v>#REF!</v>
      </c>
    </row>
    <row r="353" spans="1:8" ht="15.75" hidden="1" x14ac:dyDescent="0.25">
      <c r="A353" s="25" t="s">
        <v>142</v>
      </c>
      <c r="B353" s="20" t="s">
        <v>1074</v>
      </c>
      <c r="C353" s="40" t="s">
        <v>157</v>
      </c>
      <c r="D353" s="40" t="s">
        <v>245</v>
      </c>
      <c r="E353" s="40" t="s">
        <v>152</v>
      </c>
      <c r="F353" s="40"/>
      <c r="G353" s="10" t="e">
        <f>G354</f>
        <v>#REF!</v>
      </c>
      <c r="H353" s="10" t="e">
        <f>H354</f>
        <v>#REF!</v>
      </c>
    </row>
    <row r="354" spans="1:8" ht="63" hidden="1" x14ac:dyDescent="0.25">
      <c r="A354" s="25" t="s">
        <v>191</v>
      </c>
      <c r="B354" s="20" t="s">
        <v>1074</v>
      </c>
      <c r="C354" s="40" t="s">
        <v>157</v>
      </c>
      <c r="D354" s="40" t="s">
        <v>245</v>
      </c>
      <c r="E354" s="40" t="s">
        <v>167</v>
      </c>
      <c r="F354" s="40"/>
      <c r="G354" s="10" t="e">
        <f>'пр.6.1.ведом.22-23'!#REF!</f>
        <v>#REF!</v>
      </c>
      <c r="H354" s="10" t="e">
        <f>'пр.6.1.ведом.22-23'!#REF!</f>
        <v>#REF!</v>
      </c>
    </row>
    <row r="355" spans="1:8" ht="31.5" hidden="1" x14ac:dyDescent="0.25">
      <c r="A355" s="29" t="s">
        <v>155</v>
      </c>
      <c r="B355" s="20" t="s">
        <v>1074</v>
      </c>
      <c r="C355" s="40" t="s">
        <v>157</v>
      </c>
      <c r="D355" s="40" t="s">
        <v>245</v>
      </c>
      <c r="E355" s="40" t="s">
        <v>167</v>
      </c>
      <c r="F355" s="40" t="s">
        <v>649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1" t="s">
        <v>1381</v>
      </c>
      <c r="B356" s="196" t="s">
        <v>169</v>
      </c>
      <c r="C356" s="7"/>
      <c r="D356" s="7"/>
      <c r="E356" s="7"/>
      <c r="F356" s="7"/>
      <c r="G356" s="59">
        <f>G357+G364+G387</f>
        <v>724</v>
      </c>
      <c r="H356" s="59">
        <f>H357+H364+H387</f>
        <v>724</v>
      </c>
    </row>
    <row r="357" spans="1:8" ht="78.75" x14ac:dyDescent="0.25">
      <c r="A357" s="290" t="s">
        <v>1356</v>
      </c>
      <c r="B357" s="7" t="s">
        <v>859</v>
      </c>
      <c r="C357" s="7"/>
      <c r="D357" s="8"/>
      <c r="E357" s="196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124</v>
      </c>
      <c r="B358" s="5" t="s">
        <v>859</v>
      </c>
      <c r="C358" s="40" t="s">
        <v>125</v>
      </c>
      <c r="D358" s="5"/>
      <c r="E358" s="5"/>
      <c r="F358" s="40"/>
      <c r="G358" s="10">
        <f t="shared" ref="G358:H358" si="49">G359</f>
        <v>606</v>
      </c>
      <c r="H358" s="10">
        <f t="shared" si="49"/>
        <v>606</v>
      </c>
    </row>
    <row r="359" spans="1:8" ht="78.75" x14ac:dyDescent="0.25">
      <c r="A359" s="29" t="s">
        <v>156</v>
      </c>
      <c r="B359" s="5" t="s">
        <v>859</v>
      </c>
      <c r="C359" s="40" t="s">
        <v>125</v>
      </c>
      <c r="D359" s="9" t="s">
        <v>157</v>
      </c>
      <c r="E359" s="5"/>
      <c r="F359" s="40"/>
      <c r="G359" s="10">
        <f>G360</f>
        <v>606</v>
      </c>
      <c r="H359" s="10">
        <f>H360</f>
        <v>606</v>
      </c>
    </row>
    <row r="360" spans="1:8" ht="63" x14ac:dyDescent="0.25">
      <c r="A360" s="29" t="s">
        <v>1323</v>
      </c>
      <c r="B360" s="40" t="s">
        <v>851</v>
      </c>
      <c r="C360" s="40" t="s">
        <v>125</v>
      </c>
      <c r="D360" s="9" t="s">
        <v>157</v>
      </c>
      <c r="E360" s="40"/>
      <c r="F360" s="40"/>
      <c r="G360" s="10">
        <f t="shared" ref="G360:H361" si="50">G361</f>
        <v>606</v>
      </c>
      <c r="H360" s="10">
        <f t="shared" si="50"/>
        <v>606</v>
      </c>
    </row>
    <row r="361" spans="1:8" ht="31.5" x14ac:dyDescent="0.25">
      <c r="A361" s="29" t="s">
        <v>138</v>
      </c>
      <c r="B361" s="40" t="s">
        <v>851</v>
      </c>
      <c r="C361" s="40" t="s">
        <v>125</v>
      </c>
      <c r="D361" s="9" t="s">
        <v>157</v>
      </c>
      <c r="E361" s="40" t="s">
        <v>139</v>
      </c>
      <c r="F361" s="40"/>
      <c r="G361" s="10">
        <f t="shared" si="50"/>
        <v>606</v>
      </c>
      <c r="H361" s="10">
        <f t="shared" si="50"/>
        <v>606</v>
      </c>
    </row>
    <row r="362" spans="1:8" ht="47.25" x14ac:dyDescent="0.25">
      <c r="A362" s="29" t="s">
        <v>140</v>
      </c>
      <c r="B362" s="40" t="s">
        <v>851</v>
      </c>
      <c r="C362" s="40" t="s">
        <v>125</v>
      </c>
      <c r="D362" s="9" t="s">
        <v>157</v>
      </c>
      <c r="E362" s="40" t="s">
        <v>141</v>
      </c>
      <c r="F362" s="40"/>
      <c r="G362" s="10">
        <f>'пр.6.1.ведом.22-23'!G93</f>
        <v>606</v>
      </c>
      <c r="H362" s="10">
        <f>'пр.6.1.ведом.22-23'!H93</f>
        <v>606</v>
      </c>
    </row>
    <row r="363" spans="1:8" ht="31.5" x14ac:dyDescent="0.25">
      <c r="A363" s="29" t="s">
        <v>155</v>
      </c>
      <c r="B363" s="40" t="s">
        <v>851</v>
      </c>
      <c r="C363" s="40" t="s">
        <v>125</v>
      </c>
      <c r="D363" s="9" t="s">
        <v>157</v>
      </c>
      <c r="E363" s="40" t="s">
        <v>141</v>
      </c>
      <c r="F363" s="40" t="s">
        <v>649</v>
      </c>
      <c r="G363" s="10">
        <f>G362</f>
        <v>606</v>
      </c>
      <c r="H363" s="10">
        <f>H362</f>
        <v>606</v>
      </c>
    </row>
    <row r="364" spans="1:8" ht="78.75" x14ac:dyDescent="0.25">
      <c r="A364" s="215" t="s">
        <v>853</v>
      </c>
      <c r="B364" s="7" t="s">
        <v>860</v>
      </c>
      <c r="C364" s="7"/>
      <c r="D364" s="8"/>
      <c r="E364" s="196"/>
      <c r="F364" s="7"/>
      <c r="G364" s="59">
        <f>G365</f>
        <v>117.5</v>
      </c>
      <c r="H364" s="59">
        <f>H365</f>
        <v>117.5</v>
      </c>
    </row>
    <row r="365" spans="1:8" ht="15.75" x14ac:dyDescent="0.25">
      <c r="A365" s="45" t="s">
        <v>124</v>
      </c>
      <c r="B365" s="5" t="s">
        <v>860</v>
      </c>
      <c r="C365" s="40" t="s">
        <v>125</v>
      </c>
      <c r="D365" s="5"/>
      <c r="E365" s="5"/>
      <c r="F365" s="40"/>
      <c r="G365" s="10">
        <f>G371+G366</f>
        <v>117.5</v>
      </c>
      <c r="H365" s="10">
        <f>H371+H366</f>
        <v>117.5</v>
      </c>
    </row>
    <row r="366" spans="1:8" s="202" customFormat="1" ht="47.25" x14ac:dyDescent="0.25">
      <c r="A366" s="25" t="s">
        <v>582</v>
      </c>
      <c r="B366" s="5" t="s">
        <v>860</v>
      </c>
      <c r="C366" s="40" t="s">
        <v>125</v>
      </c>
      <c r="D366" s="9" t="s">
        <v>220</v>
      </c>
      <c r="E366" s="5"/>
      <c r="F366" s="40"/>
      <c r="G366" s="10">
        <f t="shared" ref="G366:H368" si="51">G367</f>
        <v>40.5</v>
      </c>
      <c r="H366" s="10">
        <f t="shared" si="51"/>
        <v>40.5</v>
      </c>
    </row>
    <row r="367" spans="1:8" s="202" customFormat="1" ht="63" x14ac:dyDescent="0.25">
      <c r="A367" s="31" t="s">
        <v>703</v>
      </c>
      <c r="B367" s="40" t="s">
        <v>1003</v>
      </c>
      <c r="C367" s="20" t="s">
        <v>125</v>
      </c>
      <c r="D367" s="9" t="s">
        <v>220</v>
      </c>
      <c r="E367" s="5"/>
      <c r="F367" s="40"/>
      <c r="G367" s="10">
        <f t="shared" si="51"/>
        <v>40.5</v>
      </c>
      <c r="H367" s="10">
        <f t="shared" si="51"/>
        <v>40.5</v>
      </c>
    </row>
    <row r="368" spans="1:8" s="202" customFormat="1" ht="31.5" x14ac:dyDescent="0.25">
      <c r="A368" s="25" t="s">
        <v>138</v>
      </c>
      <c r="B368" s="40" t="s">
        <v>704</v>
      </c>
      <c r="C368" s="20" t="s">
        <v>125</v>
      </c>
      <c r="D368" s="9" t="s">
        <v>220</v>
      </c>
      <c r="E368" s="5">
        <v>200</v>
      </c>
      <c r="F368" s="40"/>
      <c r="G368" s="10">
        <f t="shared" si="51"/>
        <v>40.5</v>
      </c>
      <c r="H368" s="10">
        <f t="shared" si="51"/>
        <v>40.5</v>
      </c>
    </row>
    <row r="369" spans="1:8" s="202" customFormat="1" ht="47.25" x14ac:dyDescent="0.25">
      <c r="A369" s="25" t="s">
        <v>140</v>
      </c>
      <c r="B369" s="40" t="s">
        <v>704</v>
      </c>
      <c r="C369" s="20" t="s">
        <v>125</v>
      </c>
      <c r="D369" s="9" t="s">
        <v>220</v>
      </c>
      <c r="E369" s="5">
        <v>240</v>
      </c>
      <c r="F369" s="40"/>
      <c r="G369" s="10">
        <f>'Пр.4 ведом.21'!G48</f>
        <v>40.5</v>
      </c>
      <c r="H369" s="10">
        <f>H370</f>
        <v>40.5</v>
      </c>
    </row>
    <row r="370" spans="1:8" s="202" customFormat="1" ht="31.5" x14ac:dyDescent="0.25">
      <c r="A370" s="25" t="s">
        <v>155</v>
      </c>
      <c r="B370" s="40" t="s">
        <v>704</v>
      </c>
      <c r="C370" s="20" t="s">
        <v>125</v>
      </c>
      <c r="D370" s="9" t="s">
        <v>220</v>
      </c>
      <c r="E370" s="5">
        <v>240</v>
      </c>
      <c r="F370" s="40" t="s">
        <v>649</v>
      </c>
      <c r="G370" s="10">
        <f>G367</f>
        <v>40.5</v>
      </c>
      <c r="H370" s="10">
        <f>'пр.6.1.ведом.22-23'!H48</f>
        <v>40.5</v>
      </c>
    </row>
    <row r="371" spans="1:8" ht="78.75" x14ac:dyDescent="0.25">
      <c r="A371" s="29" t="s">
        <v>156</v>
      </c>
      <c r="B371" s="5" t="s">
        <v>860</v>
      </c>
      <c r="C371" s="40" t="s">
        <v>125</v>
      </c>
      <c r="D371" s="9" t="s">
        <v>157</v>
      </c>
      <c r="E371" s="5"/>
      <c r="F371" s="40"/>
      <c r="G371" s="10">
        <f>G372+G379+G383</f>
        <v>77</v>
      </c>
      <c r="H371" s="10">
        <f>H372+H379+H383</f>
        <v>77</v>
      </c>
    </row>
    <row r="372" spans="1:8" ht="63" x14ac:dyDescent="0.25">
      <c r="A372" s="176" t="s">
        <v>172</v>
      </c>
      <c r="B372" s="40" t="s">
        <v>852</v>
      </c>
      <c r="C372" s="40" t="s">
        <v>125</v>
      </c>
      <c r="D372" s="9" t="s">
        <v>157</v>
      </c>
      <c r="E372" s="40"/>
      <c r="F372" s="40"/>
      <c r="G372" s="10">
        <f>G373+G376</f>
        <v>77</v>
      </c>
      <c r="H372" s="10">
        <f>H373+H376</f>
        <v>77</v>
      </c>
    </row>
    <row r="373" spans="1:8" ht="94.5" x14ac:dyDescent="0.25">
      <c r="A373" s="25" t="s">
        <v>134</v>
      </c>
      <c r="B373" s="40" t="s">
        <v>852</v>
      </c>
      <c r="C373" s="40" t="s">
        <v>125</v>
      </c>
      <c r="D373" s="9" t="s">
        <v>157</v>
      </c>
      <c r="E373" s="40" t="s">
        <v>135</v>
      </c>
      <c r="F373" s="40"/>
      <c r="G373" s="10">
        <f>G374</f>
        <v>37</v>
      </c>
      <c r="H373" s="10">
        <f>H374</f>
        <v>37</v>
      </c>
    </row>
    <row r="374" spans="1:8" ht="31.5" x14ac:dyDescent="0.25">
      <c r="A374" s="25" t="s">
        <v>136</v>
      </c>
      <c r="B374" s="40" t="s">
        <v>852</v>
      </c>
      <c r="C374" s="40" t="s">
        <v>125</v>
      </c>
      <c r="D374" s="9" t="s">
        <v>157</v>
      </c>
      <c r="E374" s="40" t="s">
        <v>137</v>
      </c>
      <c r="F374" s="40"/>
      <c r="G374" s="10">
        <f>'пр.6.1.ведом.22-23'!G97</f>
        <v>37</v>
      </c>
      <c r="H374" s="10">
        <f>'пр.6.1.ведом.22-23'!H97</f>
        <v>37</v>
      </c>
    </row>
    <row r="375" spans="1:8" ht="31.5" x14ac:dyDescent="0.25">
      <c r="A375" s="29" t="s">
        <v>1337</v>
      </c>
      <c r="B375" s="40" t="s">
        <v>852</v>
      </c>
      <c r="C375" s="40" t="s">
        <v>125</v>
      </c>
      <c r="D375" s="9" t="s">
        <v>157</v>
      </c>
      <c r="E375" s="40" t="s">
        <v>137</v>
      </c>
      <c r="F375" s="40" t="s">
        <v>649</v>
      </c>
      <c r="G375" s="10">
        <f>G374</f>
        <v>37</v>
      </c>
      <c r="H375" s="10">
        <f>H374</f>
        <v>37</v>
      </c>
    </row>
    <row r="376" spans="1:8" ht="31.5" x14ac:dyDescent="0.25">
      <c r="A376" s="25" t="s">
        <v>138</v>
      </c>
      <c r="B376" s="40" t="s">
        <v>852</v>
      </c>
      <c r="C376" s="40" t="s">
        <v>125</v>
      </c>
      <c r="D376" s="9" t="s">
        <v>157</v>
      </c>
      <c r="E376" s="40" t="s">
        <v>139</v>
      </c>
      <c r="F376" s="40"/>
      <c r="G376" s="10">
        <f>G377</f>
        <v>40</v>
      </c>
      <c r="H376" s="10">
        <f>H377</f>
        <v>40</v>
      </c>
    </row>
    <row r="377" spans="1:8" ht="47.25" x14ac:dyDescent="0.25">
      <c r="A377" s="25" t="s">
        <v>140</v>
      </c>
      <c r="B377" s="40" t="s">
        <v>852</v>
      </c>
      <c r="C377" s="40" t="s">
        <v>125</v>
      </c>
      <c r="D377" s="9" t="s">
        <v>157</v>
      </c>
      <c r="E377" s="40" t="s">
        <v>141</v>
      </c>
      <c r="F377" s="40"/>
      <c r="G377" s="10">
        <f>'пр.6.1.ведом.22-23'!G99</f>
        <v>40</v>
      </c>
      <c r="H377" s="10">
        <f>'пр.6.1.ведом.22-23'!H99</f>
        <v>40</v>
      </c>
    </row>
    <row r="378" spans="1:8" ht="31.5" x14ac:dyDescent="0.25">
      <c r="A378" s="29" t="s">
        <v>155</v>
      </c>
      <c r="B378" s="40" t="s">
        <v>852</v>
      </c>
      <c r="C378" s="40" t="s">
        <v>125</v>
      </c>
      <c r="D378" s="9" t="s">
        <v>157</v>
      </c>
      <c r="E378" s="40" t="s">
        <v>141</v>
      </c>
      <c r="F378" s="40" t="s">
        <v>649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703</v>
      </c>
      <c r="B379" s="40" t="s">
        <v>1003</v>
      </c>
      <c r="C379" s="40" t="s">
        <v>125</v>
      </c>
      <c r="D379" s="9" t="s">
        <v>157</v>
      </c>
      <c r="E379" s="5"/>
      <c r="F379" s="40"/>
      <c r="G379" s="10">
        <f>G380</f>
        <v>0</v>
      </c>
      <c r="H379" s="10">
        <f>H380</f>
        <v>0</v>
      </c>
    </row>
    <row r="380" spans="1:8" ht="31.5" hidden="1" x14ac:dyDescent="0.25">
      <c r="A380" s="25" t="s">
        <v>138</v>
      </c>
      <c r="B380" s="40" t="s">
        <v>1003</v>
      </c>
      <c r="C380" s="40" t="s">
        <v>125</v>
      </c>
      <c r="D380" s="9" t="s">
        <v>157</v>
      </c>
      <c r="E380" s="5">
        <v>200</v>
      </c>
      <c r="F380" s="40"/>
      <c r="G380" s="10">
        <f>G381</f>
        <v>0</v>
      </c>
      <c r="H380" s="10">
        <f>H381</f>
        <v>0</v>
      </c>
    </row>
    <row r="381" spans="1:8" ht="47.25" hidden="1" x14ac:dyDescent="0.25">
      <c r="A381" s="25" t="s">
        <v>140</v>
      </c>
      <c r="B381" s="40" t="s">
        <v>1003</v>
      </c>
      <c r="C381" s="40" t="s">
        <v>125</v>
      </c>
      <c r="D381" s="9" t="s">
        <v>157</v>
      </c>
      <c r="E381" s="5">
        <v>240</v>
      </c>
      <c r="F381" s="40"/>
      <c r="G381" s="10">
        <f>'Пр.4 ведом.21'!G100</f>
        <v>0</v>
      </c>
      <c r="H381" s="10">
        <f>'пр.6.1.ведом.22-23'!H102</f>
        <v>0</v>
      </c>
    </row>
    <row r="382" spans="1:8" ht="31.5" hidden="1" x14ac:dyDescent="0.25">
      <c r="A382" s="29" t="s">
        <v>155</v>
      </c>
      <c r="B382" s="40" t="s">
        <v>1003</v>
      </c>
      <c r="C382" s="40" t="s">
        <v>125</v>
      </c>
      <c r="D382" s="9" t="s">
        <v>157</v>
      </c>
      <c r="E382" s="5">
        <v>240</v>
      </c>
      <c r="F382" s="40" t="s">
        <v>649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703</v>
      </c>
      <c r="B383" s="20" t="s">
        <v>1002</v>
      </c>
      <c r="C383" s="40" t="s">
        <v>125</v>
      </c>
      <c r="D383" s="9" t="s">
        <v>157</v>
      </c>
      <c r="E383" s="5"/>
      <c r="F383" s="40"/>
      <c r="G383" s="10">
        <f>G384</f>
        <v>0</v>
      </c>
      <c r="H383" s="10">
        <f>H384</f>
        <v>0</v>
      </c>
    </row>
    <row r="384" spans="1:8" ht="31.5" hidden="1" x14ac:dyDescent="0.25">
      <c r="A384" s="25" t="s">
        <v>138</v>
      </c>
      <c r="B384" s="20" t="s">
        <v>1002</v>
      </c>
      <c r="C384" s="40" t="s">
        <v>125</v>
      </c>
      <c r="D384" s="9" t="s">
        <v>157</v>
      </c>
      <c r="E384" s="5">
        <v>200</v>
      </c>
      <c r="F384" s="40"/>
      <c r="G384" s="10">
        <f>G385</f>
        <v>0</v>
      </c>
      <c r="H384" s="10">
        <f>H385</f>
        <v>0</v>
      </c>
    </row>
    <row r="385" spans="1:8" ht="47.25" hidden="1" x14ac:dyDescent="0.25">
      <c r="A385" s="25" t="s">
        <v>140</v>
      </c>
      <c r="B385" s="20" t="s">
        <v>1002</v>
      </c>
      <c r="C385" s="40" t="s">
        <v>125</v>
      </c>
      <c r="D385" s="9" t="s">
        <v>157</v>
      </c>
      <c r="E385" s="5">
        <v>240</v>
      </c>
      <c r="F385" s="40"/>
      <c r="G385" s="10">
        <f>'пр.6.1.ведом.22-23'!G105</f>
        <v>0</v>
      </c>
      <c r="H385" s="10">
        <f>'пр.6.1.ведом.22-23'!H105</f>
        <v>0</v>
      </c>
    </row>
    <row r="386" spans="1:8" ht="31.5" hidden="1" x14ac:dyDescent="0.25">
      <c r="A386" s="29" t="s">
        <v>155</v>
      </c>
      <c r="B386" s="20" t="s">
        <v>1002</v>
      </c>
      <c r="C386" s="40" t="s">
        <v>125</v>
      </c>
      <c r="D386" s="9" t="s">
        <v>157</v>
      </c>
      <c r="E386" s="5">
        <v>240</v>
      </c>
      <c r="F386" s="40" t="s">
        <v>649</v>
      </c>
      <c r="G386" s="10">
        <f>G385</f>
        <v>0</v>
      </c>
      <c r="H386" s="10">
        <f>H385</f>
        <v>0</v>
      </c>
    </row>
    <row r="387" spans="1:8" ht="78.75" x14ac:dyDescent="0.25">
      <c r="A387" s="216" t="s">
        <v>1013</v>
      </c>
      <c r="B387" s="7" t="s">
        <v>861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s="202" customFormat="1" ht="15.75" x14ac:dyDescent="0.25">
      <c r="A388" s="45" t="s">
        <v>124</v>
      </c>
      <c r="B388" s="40" t="s">
        <v>861</v>
      </c>
      <c r="C388" s="40" t="s">
        <v>125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s="202" customFormat="1" ht="78.75" x14ac:dyDescent="0.25">
      <c r="A389" s="29" t="s">
        <v>156</v>
      </c>
      <c r="B389" s="40" t="s">
        <v>861</v>
      </c>
      <c r="C389" s="40" t="s">
        <v>125</v>
      </c>
      <c r="D389" s="9" t="s">
        <v>157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198</v>
      </c>
      <c r="B390" s="40" t="s">
        <v>854</v>
      </c>
      <c r="C390" s="40" t="s">
        <v>125</v>
      </c>
      <c r="D390" s="9" t="s">
        <v>157</v>
      </c>
      <c r="E390" s="40"/>
      <c r="F390" s="40"/>
      <c r="G390" s="10">
        <f>G391</f>
        <v>0.5</v>
      </c>
      <c r="H390" s="10">
        <f>H391</f>
        <v>0.5</v>
      </c>
    </row>
    <row r="391" spans="1:8" ht="31.5" x14ac:dyDescent="0.25">
      <c r="A391" s="25" t="s">
        <v>138</v>
      </c>
      <c r="B391" s="40" t="s">
        <v>854</v>
      </c>
      <c r="C391" s="40" t="s">
        <v>125</v>
      </c>
      <c r="D391" s="9" t="s">
        <v>157</v>
      </c>
      <c r="E391" s="40" t="s">
        <v>139</v>
      </c>
      <c r="F391" s="40"/>
      <c r="G391" s="10">
        <f>G392</f>
        <v>0.5</v>
      </c>
      <c r="H391" s="10">
        <f>H392</f>
        <v>0.5</v>
      </c>
    </row>
    <row r="392" spans="1:8" ht="47.25" x14ac:dyDescent="0.25">
      <c r="A392" s="25" t="s">
        <v>140</v>
      </c>
      <c r="B392" s="40" t="s">
        <v>854</v>
      </c>
      <c r="C392" s="40" t="s">
        <v>125</v>
      </c>
      <c r="D392" s="9" t="s">
        <v>157</v>
      </c>
      <c r="E392" s="40" t="s">
        <v>141</v>
      </c>
      <c r="F392" s="40"/>
      <c r="G392" s="10">
        <f>'пр.6.1.ведом.22-23'!G109</f>
        <v>0.5</v>
      </c>
      <c r="H392" s="10">
        <f>'пр.6.1.ведом.22-23'!H109</f>
        <v>0.5</v>
      </c>
    </row>
    <row r="393" spans="1:8" ht="31.5" x14ac:dyDescent="0.25">
      <c r="A393" s="29" t="s">
        <v>155</v>
      </c>
      <c r="B393" s="40" t="s">
        <v>854</v>
      </c>
      <c r="C393" s="40" t="s">
        <v>125</v>
      </c>
      <c r="D393" s="9" t="s">
        <v>157</v>
      </c>
      <c r="E393" s="40" t="s">
        <v>141</v>
      </c>
      <c r="F393" s="40" t="s">
        <v>649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198</v>
      </c>
      <c r="B394" s="20" t="s">
        <v>855</v>
      </c>
      <c r="C394" s="40" t="s">
        <v>125</v>
      </c>
      <c r="D394" s="9" t="s">
        <v>157</v>
      </c>
      <c r="E394" s="40"/>
      <c r="F394" s="40"/>
      <c r="G394" s="10">
        <f>G395</f>
        <v>0</v>
      </c>
      <c r="H394" s="10">
        <f>H395</f>
        <v>0</v>
      </c>
    </row>
    <row r="395" spans="1:8" ht="31.5" hidden="1" x14ac:dyDescent="0.25">
      <c r="A395" s="25" t="s">
        <v>138</v>
      </c>
      <c r="B395" s="20" t="s">
        <v>855</v>
      </c>
      <c r="C395" s="40" t="s">
        <v>125</v>
      </c>
      <c r="D395" s="9" t="s">
        <v>157</v>
      </c>
      <c r="E395" s="40" t="s">
        <v>139</v>
      </c>
      <c r="F395" s="40"/>
      <c r="G395" s="10">
        <f>G396</f>
        <v>0</v>
      </c>
      <c r="H395" s="10">
        <f>H396</f>
        <v>0</v>
      </c>
    </row>
    <row r="396" spans="1:8" ht="47.25" hidden="1" x14ac:dyDescent="0.25">
      <c r="A396" s="25" t="s">
        <v>140</v>
      </c>
      <c r="B396" s="20" t="s">
        <v>855</v>
      </c>
      <c r="C396" s="40" t="s">
        <v>125</v>
      </c>
      <c r="D396" s="9" t="s">
        <v>157</v>
      </c>
      <c r="E396" s="40" t="s">
        <v>141</v>
      </c>
      <c r="F396" s="40"/>
      <c r="G396" s="10">
        <f>'пр.6.1.ведом.22-23'!G112</f>
        <v>0</v>
      </c>
      <c r="H396" s="10">
        <f>'пр.6.1.ведом.22-23'!H112</f>
        <v>0</v>
      </c>
    </row>
    <row r="397" spans="1:8" ht="31.5" hidden="1" x14ac:dyDescent="0.25">
      <c r="A397" s="29" t="s">
        <v>155</v>
      </c>
      <c r="B397" s="20" t="s">
        <v>855</v>
      </c>
      <c r="C397" s="40" t="s">
        <v>125</v>
      </c>
      <c r="D397" s="9" t="s">
        <v>157</v>
      </c>
      <c r="E397" s="40" t="s">
        <v>141</v>
      </c>
      <c r="F397" s="40" t="s">
        <v>649</v>
      </c>
      <c r="G397" s="10">
        <f>G396</f>
        <v>0</v>
      </c>
      <c r="H397" s="10">
        <f>H396</f>
        <v>0</v>
      </c>
    </row>
    <row r="398" spans="1:8" ht="63" x14ac:dyDescent="0.25">
      <c r="A398" s="41" t="s">
        <v>1363</v>
      </c>
      <c r="B398" s="196" t="s">
        <v>261</v>
      </c>
      <c r="C398" s="40"/>
      <c r="D398" s="40"/>
      <c r="E398" s="40"/>
      <c r="F398" s="40"/>
      <c r="G398" s="59">
        <f t="shared" ref="G398:H398" si="52">G400</f>
        <v>10</v>
      </c>
      <c r="H398" s="59">
        <f t="shared" si="52"/>
        <v>10</v>
      </c>
    </row>
    <row r="399" spans="1:8" ht="47.25" x14ac:dyDescent="0.25">
      <c r="A399" s="23" t="s">
        <v>894</v>
      </c>
      <c r="B399" s="24" t="s">
        <v>892</v>
      </c>
      <c r="C399" s="40"/>
      <c r="D399" s="40"/>
      <c r="E399" s="40"/>
      <c r="F399" s="40"/>
      <c r="G399" s="59">
        <f t="shared" ref="G399:H400" si="53">G400</f>
        <v>10</v>
      </c>
      <c r="H399" s="59">
        <f t="shared" si="53"/>
        <v>10</v>
      </c>
    </row>
    <row r="400" spans="1:8" ht="15.75" x14ac:dyDescent="0.25">
      <c r="A400" s="29" t="s">
        <v>250</v>
      </c>
      <c r="B400" s="5" t="s">
        <v>892</v>
      </c>
      <c r="C400" s="40" t="s">
        <v>251</v>
      </c>
      <c r="D400" s="40"/>
      <c r="E400" s="40"/>
      <c r="F400" s="40"/>
      <c r="G400" s="10">
        <f t="shared" si="53"/>
        <v>10</v>
      </c>
      <c r="H400" s="10">
        <f t="shared" si="53"/>
        <v>10</v>
      </c>
    </row>
    <row r="401" spans="1:8" ht="15.75" x14ac:dyDescent="0.25">
      <c r="A401" s="29" t="s">
        <v>259</v>
      </c>
      <c r="B401" s="5" t="s">
        <v>892</v>
      </c>
      <c r="C401" s="40" t="s">
        <v>251</v>
      </c>
      <c r="D401" s="40" t="s">
        <v>222</v>
      </c>
      <c r="E401" s="40"/>
      <c r="F401" s="40"/>
      <c r="G401" s="10">
        <f>G402</f>
        <v>10</v>
      </c>
      <c r="H401" s="10">
        <f>H402</f>
        <v>10</v>
      </c>
    </row>
    <row r="402" spans="1:8" ht="31.5" x14ac:dyDescent="0.25">
      <c r="A402" s="25" t="s">
        <v>893</v>
      </c>
      <c r="B402" s="20" t="s">
        <v>1202</v>
      </c>
      <c r="C402" s="40" t="s">
        <v>251</v>
      </c>
      <c r="D402" s="40" t="s">
        <v>222</v>
      </c>
      <c r="E402" s="40"/>
      <c r="F402" s="40"/>
      <c r="G402" s="10">
        <f t="shared" ref="G402:H403" si="54">G403</f>
        <v>10</v>
      </c>
      <c r="H402" s="10">
        <f t="shared" si="54"/>
        <v>10</v>
      </c>
    </row>
    <row r="403" spans="1:8" ht="31.5" x14ac:dyDescent="0.25">
      <c r="A403" s="25" t="s">
        <v>255</v>
      </c>
      <c r="B403" s="20" t="s">
        <v>1202</v>
      </c>
      <c r="C403" s="40" t="s">
        <v>251</v>
      </c>
      <c r="D403" s="40" t="s">
        <v>222</v>
      </c>
      <c r="E403" s="40" t="s">
        <v>256</v>
      </c>
      <c r="F403" s="40"/>
      <c r="G403" s="10">
        <f t="shared" si="54"/>
        <v>10</v>
      </c>
      <c r="H403" s="10">
        <f t="shared" si="54"/>
        <v>10</v>
      </c>
    </row>
    <row r="404" spans="1:8" ht="47.25" x14ac:dyDescent="0.25">
      <c r="A404" s="25" t="s">
        <v>257</v>
      </c>
      <c r="B404" s="20" t="s">
        <v>1202</v>
      </c>
      <c r="C404" s="40" t="s">
        <v>251</v>
      </c>
      <c r="D404" s="40" t="s">
        <v>222</v>
      </c>
      <c r="E404" s="40" t="s">
        <v>258</v>
      </c>
      <c r="F404" s="40"/>
      <c r="G404" s="10">
        <f>'пр.6.1.ведом.22-23'!G230</f>
        <v>10</v>
      </c>
      <c r="H404" s="10">
        <f>'пр.6.1.ведом.22-23'!H230</f>
        <v>10</v>
      </c>
    </row>
    <row r="405" spans="1:8" ht="31.5" x14ac:dyDescent="0.25">
      <c r="A405" s="29" t="s">
        <v>155</v>
      </c>
      <c r="B405" s="20" t="s">
        <v>1202</v>
      </c>
      <c r="C405" s="40" t="s">
        <v>251</v>
      </c>
      <c r="D405" s="40" t="s">
        <v>222</v>
      </c>
      <c r="E405" s="40" t="s">
        <v>258</v>
      </c>
      <c r="F405" s="40" t="s">
        <v>649</v>
      </c>
      <c r="G405" s="10">
        <f>G404</f>
        <v>10</v>
      </c>
      <c r="H405" s="10">
        <f>H404</f>
        <v>10</v>
      </c>
    </row>
    <row r="406" spans="1:8" ht="47.25" x14ac:dyDescent="0.25">
      <c r="A406" s="41" t="s">
        <v>1386</v>
      </c>
      <c r="B406" s="3" t="s">
        <v>489</v>
      </c>
      <c r="C406" s="68"/>
      <c r="D406" s="68"/>
      <c r="E406" s="68"/>
      <c r="F406" s="68"/>
      <c r="G406" s="4">
        <f>G407+G414+G429+G440+G447</f>
        <v>52873.1</v>
      </c>
      <c r="H406" s="4">
        <f>H407+H414+H429+H440+H447</f>
        <v>52873.1</v>
      </c>
    </row>
    <row r="407" spans="1:8" ht="47.25" x14ac:dyDescent="0.25">
      <c r="A407" s="23" t="s">
        <v>947</v>
      </c>
      <c r="B407" s="24" t="s">
        <v>1278</v>
      </c>
      <c r="C407" s="7"/>
      <c r="D407" s="7"/>
      <c r="E407" s="218"/>
      <c r="F407" s="196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497</v>
      </c>
      <c r="B408" s="40" t="s">
        <v>1278</v>
      </c>
      <c r="C408" s="2">
        <v>11</v>
      </c>
      <c r="D408" s="68"/>
      <c r="E408" s="68"/>
      <c r="F408" s="68"/>
      <c r="G408" s="10">
        <f t="shared" ref="G408:H408" si="55">G409</f>
        <v>47819.6</v>
      </c>
      <c r="H408" s="10">
        <f t="shared" si="55"/>
        <v>47819.6</v>
      </c>
    </row>
    <row r="409" spans="1:8" ht="16.5" x14ac:dyDescent="0.25">
      <c r="A409" s="29" t="s">
        <v>499</v>
      </c>
      <c r="B409" s="40" t="s">
        <v>1278</v>
      </c>
      <c r="C409" s="40" t="s">
        <v>498</v>
      </c>
      <c r="D409" s="40" t="s">
        <v>125</v>
      </c>
      <c r="E409" s="71"/>
      <c r="F409" s="5"/>
      <c r="G409" s="10">
        <f t="shared" ref="G409:H411" si="56">G410</f>
        <v>47819.6</v>
      </c>
      <c r="H409" s="10">
        <f t="shared" si="56"/>
        <v>47819.6</v>
      </c>
    </row>
    <row r="410" spans="1:8" ht="47.25" x14ac:dyDescent="0.25">
      <c r="A410" s="25" t="s">
        <v>1308</v>
      </c>
      <c r="B410" s="20" t="s">
        <v>1279</v>
      </c>
      <c r="C410" s="40" t="s">
        <v>498</v>
      </c>
      <c r="D410" s="40" t="s">
        <v>125</v>
      </c>
      <c r="E410" s="71"/>
      <c r="F410" s="5"/>
      <c r="G410" s="10">
        <f t="shared" si="56"/>
        <v>47819.6</v>
      </c>
      <c r="H410" s="10">
        <f t="shared" si="56"/>
        <v>47819.6</v>
      </c>
    </row>
    <row r="411" spans="1:8" ht="47.25" x14ac:dyDescent="0.25">
      <c r="A411" s="29" t="s">
        <v>279</v>
      </c>
      <c r="B411" s="20" t="s">
        <v>1279</v>
      </c>
      <c r="C411" s="40" t="s">
        <v>498</v>
      </c>
      <c r="D411" s="40" t="s">
        <v>125</v>
      </c>
      <c r="E411" s="40" t="s">
        <v>280</v>
      </c>
      <c r="F411" s="5"/>
      <c r="G411" s="10">
        <f t="shared" si="56"/>
        <v>47819.6</v>
      </c>
      <c r="H411" s="10">
        <f t="shared" si="56"/>
        <v>47819.6</v>
      </c>
    </row>
    <row r="412" spans="1:8" ht="15.75" x14ac:dyDescent="0.25">
      <c r="A412" s="29" t="s">
        <v>281</v>
      </c>
      <c r="B412" s="20" t="s">
        <v>1279</v>
      </c>
      <c r="C412" s="40" t="s">
        <v>498</v>
      </c>
      <c r="D412" s="40" t="s">
        <v>125</v>
      </c>
      <c r="E412" s="40" t="s">
        <v>282</v>
      </c>
      <c r="F412" s="5"/>
      <c r="G412" s="10">
        <f>'пр.6.1.ведом.22-23'!G770</f>
        <v>47819.6</v>
      </c>
      <c r="H412" s="10">
        <f>'пр.6.1.ведом.22-23'!H770</f>
        <v>47819.6</v>
      </c>
    </row>
    <row r="413" spans="1:8" ht="47.25" x14ac:dyDescent="0.25">
      <c r="A413" s="45" t="s">
        <v>487</v>
      </c>
      <c r="B413" s="20" t="s">
        <v>1279</v>
      </c>
      <c r="C413" s="40" t="s">
        <v>498</v>
      </c>
      <c r="D413" s="40" t="s">
        <v>125</v>
      </c>
      <c r="E413" s="40" t="s">
        <v>282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23" t="s">
        <v>955</v>
      </c>
      <c r="B414" s="24" t="s">
        <v>1280</v>
      </c>
      <c r="C414" s="7"/>
      <c r="D414" s="7"/>
      <c r="E414" s="7"/>
      <c r="F414" s="196"/>
      <c r="G414" s="59">
        <f>G415</f>
        <v>36</v>
      </c>
      <c r="H414" s="59">
        <f>H415</f>
        <v>36</v>
      </c>
    </row>
    <row r="415" spans="1:8" ht="15.75" x14ac:dyDescent="0.25">
      <c r="A415" s="29" t="s">
        <v>497</v>
      </c>
      <c r="B415" s="20" t="s">
        <v>1280</v>
      </c>
      <c r="C415" s="2">
        <v>11</v>
      </c>
      <c r="D415" s="68"/>
      <c r="E415" s="68"/>
      <c r="F415" s="68"/>
      <c r="G415" s="10">
        <f t="shared" ref="G415:H415" si="57">G416</f>
        <v>36</v>
      </c>
      <c r="H415" s="10">
        <f t="shared" si="57"/>
        <v>36</v>
      </c>
    </row>
    <row r="416" spans="1:8" ht="16.5" x14ac:dyDescent="0.25">
      <c r="A416" s="29" t="s">
        <v>499</v>
      </c>
      <c r="B416" s="20" t="s">
        <v>1280</v>
      </c>
      <c r="C416" s="40" t="s">
        <v>498</v>
      </c>
      <c r="D416" s="40" t="s">
        <v>125</v>
      </c>
      <c r="E416" s="71"/>
      <c r="F416" s="5"/>
      <c r="G416" s="10">
        <f>G417+G421+G425</f>
        <v>36</v>
      </c>
      <c r="H416" s="10">
        <f>H417+H421+H425</f>
        <v>36</v>
      </c>
    </row>
    <row r="417" spans="1:8" ht="47.25" hidden="1" x14ac:dyDescent="0.25">
      <c r="A417" s="29" t="s">
        <v>285</v>
      </c>
      <c r="B417" s="20" t="s">
        <v>1338</v>
      </c>
      <c r="C417" s="40" t="s">
        <v>498</v>
      </c>
      <c r="D417" s="40" t="s">
        <v>125</v>
      </c>
      <c r="E417" s="40"/>
      <c r="F417" s="5"/>
      <c r="G417" s="10">
        <f t="shared" ref="G417:H418" si="58">G418</f>
        <v>0</v>
      </c>
      <c r="H417" s="10">
        <f t="shared" si="58"/>
        <v>0</v>
      </c>
    </row>
    <row r="418" spans="1:8" ht="47.25" hidden="1" x14ac:dyDescent="0.25">
      <c r="A418" s="29" t="s">
        <v>279</v>
      </c>
      <c r="B418" s="20" t="s">
        <v>1338</v>
      </c>
      <c r="C418" s="40" t="s">
        <v>498</v>
      </c>
      <c r="D418" s="40" t="s">
        <v>125</v>
      </c>
      <c r="E418" s="40" t="s">
        <v>280</v>
      </c>
      <c r="F418" s="5"/>
      <c r="G418" s="10">
        <f t="shared" si="58"/>
        <v>0</v>
      </c>
      <c r="H418" s="10">
        <f t="shared" si="58"/>
        <v>0</v>
      </c>
    </row>
    <row r="419" spans="1:8" ht="15.75" hidden="1" x14ac:dyDescent="0.25">
      <c r="A419" s="29" t="s">
        <v>281</v>
      </c>
      <c r="B419" s="20" t="s">
        <v>1338</v>
      </c>
      <c r="C419" s="40" t="s">
        <v>498</v>
      </c>
      <c r="D419" s="40" t="s">
        <v>125</v>
      </c>
      <c r="E419" s="40" t="s">
        <v>282</v>
      </c>
      <c r="F419" s="5"/>
      <c r="G419" s="10">
        <f>'пр.6.1.ведом.22-23'!G774</f>
        <v>0</v>
      </c>
      <c r="H419" s="10">
        <f>'пр.6.1.ведом.22-23'!H774</f>
        <v>0</v>
      </c>
    </row>
    <row r="420" spans="1:8" ht="47.25" hidden="1" x14ac:dyDescent="0.25">
      <c r="A420" s="45" t="s">
        <v>487</v>
      </c>
      <c r="B420" s="20" t="s">
        <v>1338</v>
      </c>
      <c r="C420" s="40" t="s">
        <v>498</v>
      </c>
      <c r="D420" s="40" t="s">
        <v>125</v>
      </c>
      <c r="E420" s="40" t="s">
        <v>282</v>
      </c>
      <c r="F420" s="5">
        <v>907</v>
      </c>
      <c r="G420" s="10">
        <f>G419</f>
        <v>0</v>
      </c>
      <c r="H420" s="10">
        <f>H419</f>
        <v>0</v>
      </c>
    </row>
    <row r="421" spans="1:8" ht="31.5" hidden="1" x14ac:dyDescent="0.25">
      <c r="A421" s="29" t="s">
        <v>287</v>
      </c>
      <c r="B421" s="20" t="s">
        <v>1339</v>
      </c>
      <c r="C421" s="40" t="s">
        <v>498</v>
      </c>
      <c r="D421" s="40" t="s">
        <v>125</v>
      </c>
      <c r="E421" s="40"/>
      <c r="F421" s="5"/>
      <c r="G421" s="10">
        <f t="shared" ref="G421:H422" si="59">G422</f>
        <v>0</v>
      </c>
      <c r="H421" s="10">
        <f t="shared" si="59"/>
        <v>0</v>
      </c>
    </row>
    <row r="422" spans="1:8" ht="47.25" hidden="1" x14ac:dyDescent="0.25">
      <c r="A422" s="29" t="s">
        <v>279</v>
      </c>
      <c r="B422" s="20" t="s">
        <v>1339</v>
      </c>
      <c r="C422" s="40" t="s">
        <v>498</v>
      </c>
      <c r="D422" s="40" t="s">
        <v>125</v>
      </c>
      <c r="E422" s="40" t="s">
        <v>280</v>
      </c>
      <c r="F422" s="5"/>
      <c r="G422" s="10">
        <f t="shared" si="59"/>
        <v>0</v>
      </c>
      <c r="H422" s="10">
        <f t="shared" si="59"/>
        <v>0</v>
      </c>
    </row>
    <row r="423" spans="1:8" ht="15.75" hidden="1" x14ac:dyDescent="0.25">
      <c r="A423" s="29" t="s">
        <v>281</v>
      </c>
      <c r="B423" s="20" t="s">
        <v>1339</v>
      </c>
      <c r="C423" s="40" t="s">
        <v>498</v>
      </c>
      <c r="D423" s="40" t="s">
        <v>125</v>
      </c>
      <c r="E423" s="40" t="s">
        <v>282</v>
      </c>
      <c r="F423" s="5"/>
      <c r="G423" s="10">
        <f>'пр.6.1.ведом.22-23'!G777</f>
        <v>0</v>
      </c>
      <c r="H423" s="10">
        <f>'пр.6.1.ведом.22-23'!H777</f>
        <v>0</v>
      </c>
    </row>
    <row r="424" spans="1:8" ht="47.25" hidden="1" x14ac:dyDescent="0.25">
      <c r="A424" s="45" t="s">
        <v>487</v>
      </c>
      <c r="B424" s="20" t="s">
        <v>1339</v>
      </c>
      <c r="C424" s="40" t="s">
        <v>498</v>
      </c>
      <c r="D424" s="40" t="s">
        <v>125</v>
      </c>
      <c r="E424" s="40" t="s">
        <v>282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25" t="s">
        <v>840</v>
      </c>
      <c r="B425" s="20" t="s">
        <v>1281</v>
      </c>
      <c r="C425" s="40" t="s">
        <v>498</v>
      </c>
      <c r="D425" s="40" t="s">
        <v>125</v>
      </c>
      <c r="E425" s="40"/>
      <c r="F425" s="5"/>
      <c r="G425" s="10">
        <f>G426</f>
        <v>36</v>
      </c>
      <c r="H425" s="10">
        <f>H426</f>
        <v>36</v>
      </c>
    </row>
    <row r="426" spans="1:8" ht="47.25" x14ac:dyDescent="0.25">
      <c r="A426" s="25" t="s">
        <v>279</v>
      </c>
      <c r="B426" s="20" t="s">
        <v>1281</v>
      </c>
      <c r="C426" s="40" t="s">
        <v>498</v>
      </c>
      <c r="D426" s="40" t="s">
        <v>125</v>
      </c>
      <c r="E426" s="40" t="s">
        <v>280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25" t="s">
        <v>281</v>
      </c>
      <c r="B427" s="20" t="s">
        <v>1281</v>
      </c>
      <c r="C427" s="40" t="s">
        <v>498</v>
      </c>
      <c r="D427" s="40" t="s">
        <v>125</v>
      </c>
      <c r="E427" s="40" t="s">
        <v>282</v>
      </c>
      <c r="F427" s="5"/>
      <c r="G427" s="10">
        <f>'пр.6.1.ведом.22-23'!G781</f>
        <v>36</v>
      </c>
      <c r="H427" s="10">
        <f>'пр.6.1.ведом.22-23'!H781</f>
        <v>36</v>
      </c>
    </row>
    <row r="428" spans="1:8" ht="47.25" x14ac:dyDescent="0.25">
      <c r="A428" s="45" t="s">
        <v>487</v>
      </c>
      <c r="B428" s="20" t="s">
        <v>1281</v>
      </c>
      <c r="C428" s="40" t="s">
        <v>498</v>
      </c>
      <c r="D428" s="40" t="s">
        <v>125</v>
      </c>
      <c r="E428" s="40" t="s">
        <v>282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23" t="s">
        <v>957</v>
      </c>
      <c r="B429" s="24" t="s">
        <v>1282</v>
      </c>
      <c r="C429" s="7"/>
      <c r="D429" s="7"/>
      <c r="E429" s="7"/>
      <c r="F429" s="196"/>
      <c r="G429" s="59">
        <f>G430</f>
        <v>1204</v>
      </c>
      <c r="H429" s="59">
        <f>H430</f>
        <v>1204</v>
      </c>
    </row>
    <row r="430" spans="1:8" ht="15.75" x14ac:dyDescent="0.25">
      <c r="A430" s="29" t="s">
        <v>497</v>
      </c>
      <c r="B430" s="20" t="s">
        <v>1282</v>
      </c>
      <c r="C430" s="2">
        <v>11</v>
      </c>
      <c r="D430" s="68"/>
      <c r="E430" s="68"/>
      <c r="F430" s="68"/>
      <c r="G430" s="10">
        <f t="shared" ref="G430:H430" si="60">G431</f>
        <v>1204</v>
      </c>
      <c r="H430" s="10">
        <f t="shared" si="60"/>
        <v>1204</v>
      </c>
    </row>
    <row r="431" spans="1:8" ht="16.5" x14ac:dyDescent="0.25">
      <c r="A431" s="29" t="s">
        <v>499</v>
      </c>
      <c r="B431" s="20" t="s">
        <v>1282</v>
      </c>
      <c r="C431" s="40" t="s">
        <v>498</v>
      </c>
      <c r="D431" s="40" t="s">
        <v>125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291</v>
      </c>
      <c r="B432" s="20" t="s">
        <v>1320</v>
      </c>
      <c r="C432" s="40" t="s">
        <v>498</v>
      </c>
      <c r="D432" s="40" t="s">
        <v>125</v>
      </c>
      <c r="E432" s="40"/>
      <c r="F432" s="5"/>
      <c r="G432" s="10">
        <f t="shared" ref="G432:H433" si="61">G433</f>
        <v>0</v>
      </c>
      <c r="H432" s="10">
        <f t="shared" si="61"/>
        <v>0</v>
      </c>
    </row>
    <row r="433" spans="1:8" ht="47.25" hidden="1" x14ac:dyDescent="0.25">
      <c r="A433" s="29" t="s">
        <v>279</v>
      </c>
      <c r="B433" s="20" t="s">
        <v>1320</v>
      </c>
      <c r="C433" s="40" t="s">
        <v>498</v>
      </c>
      <c r="D433" s="40" t="s">
        <v>125</v>
      </c>
      <c r="E433" s="40" t="s">
        <v>280</v>
      </c>
      <c r="F433" s="5"/>
      <c r="G433" s="10">
        <f t="shared" si="61"/>
        <v>0</v>
      </c>
      <c r="H433" s="10">
        <f t="shared" si="61"/>
        <v>0</v>
      </c>
    </row>
    <row r="434" spans="1:8" ht="15.75" hidden="1" x14ac:dyDescent="0.25">
      <c r="A434" s="29" t="s">
        <v>281</v>
      </c>
      <c r="B434" s="20" t="s">
        <v>1320</v>
      </c>
      <c r="C434" s="40" t="s">
        <v>498</v>
      </c>
      <c r="D434" s="40" t="s">
        <v>125</v>
      </c>
      <c r="E434" s="40" t="s">
        <v>282</v>
      </c>
      <c r="F434" s="5"/>
      <c r="G434" s="10">
        <f>'пр.6.1.ведом.22-23'!G785</f>
        <v>0</v>
      </c>
      <c r="H434" s="10">
        <f>'пр.6.1.ведом.22-23'!H785</f>
        <v>0</v>
      </c>
    </row>
    <row r="435" spans="1:8" ht="47.25" hidden="1" x14ac:dyDescent="0.25">
      <c r="A435" s="45" t="s">
        <v>487</v>
      </c>
      <c r="B435" s="20" t="s">
        <v>1320</v>
      </c>
      <c r="C435" s="40" t="s">
        <v>498</v>
      </c>
      <c r="D435" s="40" t="s">
        <v>125</v>
      </c>
      <c r="E435" s="40" t="s">
        <v>282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774</v>
      </c>
      <c r="B436" s="20" t="s">
        <v>1283</v>
      </c>
      <c r="C436" s="40" t="s">
        <v>498</v>
      </c>
      <c r="D436" s="40" t="s">
        <v>125</v>
      </c>
      <c r="E436" s="40"/>
      <c r="F436" s="5"/>
      <c r="G436" s="10">
        <f t="shared" ref="G436:H437" si="62">G437</f>
        <v>1204</v>
      </c>
      <c r="H436" s="10">
        <f t="shared" si="62"/>
        <v>1204</v>
      </c>
    </row>
    <row r="437" spans="1:8" ht="47.25" x14ac:dyDescent="0.25">
      <c r="A437" s="31" t="s">
        <v>279</v>
      </c>
      <c r="B437" s="20" t="s">
        <v>1283</v>
      </c>
      <c r="C437" s="40" t="s">
        <v>498</v>
      </c>
      <c r="D437" s="40" t="s">
        <v>125</v>
      </c>
      <c r="E437" s="40" t="s">
        <v>280</v>
      </c>
      <c r="F437" s="5"/>
      <c r="G437" s="10">
        <f t="shared" si="62"/>
        <v>1204</v>
      </c>
      <c r="H437" s="10">
        <f t="shared" si="62"/>
        <v>1204</v>
      </c>
    </row>
    <row r="438" spans="1:8" ht="15.75" x14ac:dyDescent="0.25">
      <c r="A438" s="31" t="s">
        <v>281</v>
      </c>
      <c r="B438" s="20" t="s">
        <v>1283</v>
      </c>
      <c r="C438" s="40" t="s">
        <v>498</v>
      </c>
      <c r="D438" s="40" t="s">
        <v>125</v>
      </c>
      <c r="E438" s="40" t="s">
        <v>282</v>
      </c>
      <c r="F438" s="5"/>
      <c r="G438" s="10">
        <f>'пр.6.1.ведом.22-23'!G788</f>
        <v>1204</v>
      </c>
      <c r="H438" s="10">
        <f>'пр.6.1.ведом.22-23'!H788</f>
        <v>1204</v>
      </c>
    </row>
    <row r="439" spans="1:8" ht="47.25" x14ac:dyDescent="0.25">
      <c r="A439" s="45" t="s">
        <v>487</v>
      </c>
      <c r="B439" s="20" t="s">
        <v>1283</v>
      </c>
      <c r="C439" s="40" t="s">
        <v>498</v>
      </c>
      <c r="D439" s="40" t="s">
        <v>125</v>
      </c>
      <c r="E439" s="40" t="s">
        <v>282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23" t="s">
        <v>910</v>
      </c>
      <c r="B440" s="24" t="s">
        <v>1284</v>
      </c>
      <c r="C440" s="7"/>
      <c r="D440" s="7"/>
      <c r="E440" s="7"/>
      <c r="F440" s="196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497</v>
      </c>
      <c r="B441" s="20" t="s">
        <v>1284</v>
      </c>
      <c r="C441" s="2">
        <v>11</v>
      </c>
      <c r="D441" s="68"/>
      <c r="E441" s="68"/>
      <c r="F441" s="68"/>
      <c r="G441" s="10">
        <f t="shared" ref="G441:H441" si="63">G442</f>
        <v>813.5</v>
      </c>
      <c r="H441" s="10">
        <f t="shared" si="63"/>
        <v>813.5</v>
      </c>
    </row>
    <row r="442" spans="1:8" ht="16.5" x14ac:dyDescent="0.25">
      <c r="A442" s="29" t="s">
        <v>499</v>
      </c>
      <c r="B442" s="20" t="s">
        <v>1284</v>
      </c>
      <c r="C442" s="40" t="s">
        <v>498</v>
      </c>
      <c r="D442" s="40" t="s">
        <v>125</v>
      </c>
      <c r="E442" s="71"/>
      <c r="F442" s="5"/>
      <c r="G442" s="10">
        <f t="shared" ref="G442:H444" si="64">G443</f>
        <v>813.5</v>
      </c>
      <c r="H442" s="10">
        <f t="shared" si="64"/>
        <v>813.5</v>
      </c>
    </row>
    <row r="443" spans="1:8" ht="110.25" x14ac:dyDescent="0.25">
      <c r="A443" s="31" t="s">
        <v>471</v>
      </c>
      <c r="B443" s="20" t="s">
        <v>1419</v>
      </c>
      <c r="C443" s="40" t="s">
        <v>498</v>
      </c>
      <c r="D443" s="40" t="s">
        <v>125</v>
      </c>
      <c r="E443" s="40"/>
      <c r="F443" s="5"/>
      <c r="G443" s="10">
        <f t="shared" si="64"/>
        <v>813.5</v>
      </c>
      <c r="H443" s="10">
        <f t="shared" si="64"/>
        <v>813.5</v>
      </c>
    </row>
    <row r="444" spans="1:8" ht="47.25" x14ac:dyDescent="0.25">
      <c r="A444" s="25" t="s">
        <v>279</v>
      </c>
      <c r="B444" s="20" t="s">
        <v>1419</v>
      </c>
      <c r="C444" s="40" t="s">
        <v>498</v>
      </c>
      <c r="D444" s="40" t="s">
        <v>125</v>
      </c>
      <c r="E444" s="40" t="s">
        <v>280</v>
      </c>
      <c r="F444" s="5"/>
      <c r="G444" s="10">
        <f t="shared" si="64"/>
        <v>813.5</v>
      </c>
      <c r="H444" s="10">
        <f t="shared" si="64"/>
        <v>813.5</v>
      </c>
    </row>
    <row r="445" spans="1:8" ht="15.75" x14ac:dyDescent="0.25">
      <c r="A445" s="25" t="s">
        <v>281</v>
      </c>
      <c r="B445" s="20" t="s">
        <v>1419</v>
      </c>
      <c r="C445" s="40" t="s">
        <v>498</v>
      </c>
      <c r="D445" s="40" t="s">
        <v>125</v>
      </c>
      <c r="E445" s="40" t="s">
        <v>282</v>
      </c>
      <c r="F445" s="5"/>
      <c r="G445" s="10">
        <f>'пр.6.1.ведом.22-23'!G792</f>
        <v>813.5</v>
      </c>
      <c r="H445" s="10">
        <f>'пр.6.1.ведом.22-23'!H792</f>
        <v>813.5</v>
      </c>
    </row>
    <row r="446" spans="1:8" ht="47.25" x14ac:dyDescent="0.25">
      <c r="A446" s="45" t="s">
        <v>487</v>
      </c>
      <c r="B446" s="20" t="s">
        <v>1419</v>
      </c>
      <c r="C446" s="40" t="s">
        <v>498</v>
      </c>
      <c r="D446" s="40" t="s">
        <v>125</v>
      </c>
      <c r="E446" s="40" t="s">
        <v>282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961</v>
      </c>
      <c r="B447" s="7" t="s">
        <v>1286</v>
      </c>
      <c r="C447" s="7"/>
      <c r="D447" s="7"/>
      <c r="E447" s="7"/>
      <c r="F447" s="196"/>
      <c r="G447" s="4">
        <f t="shared" ref="G447:H449" si="65">G448</f>
        <v>3000</v>
      </c>
      <c r="H447" s="4">
        <f t="shared" si="65"/>
        <v>3000</v>
      </c>
    </row>
    <row r="448" spans="1:8" ht="15.75" x14ac:dyDescent="0.25">
      <c r="A448" s="29" t="s">
        <v>497</v>
      </c>
      <c r="B448" s="40" t="s">
        <v>1286</v>
      </c>
      <c r="C448" s="40" t="s">
        <v>498</v>
      </c>
      <c r="D448" s="40"/>
      <c r="E448" s="40"/>
      <c r="F448" s="5"/>
      <c r="G448" s="6">
        <f t="shared" si="65"/>
        <v>3000</v>
      </c>
      <c r="H448" s="6">
        <f t="shared" si="65"/>
        <v>3000</v>
      </c>
    </row>
    <row r="449" spans="1:12" ht="31.5" x14ac:dyDescent="0.25">
      <c r="A449" s="25" t="s">
        <v>507</v>
      </c>
      <c r="B449" s="40" t="s">
        <v>1286</v>
      </c>
      <c r="C449" s="40" t="s">
        <v>498</v>
      </c>
      <c r="D449" s="40" t="s">
        <v>241</v>
      </c>
      <c r="E449" s="40"/>
      <c r="F449" s="5"/>
      <c r="G449" s="6">
        <f t="shared" si="65"/>
        <v>3000</v>
      </c>
      <c r="H449" s="6">
        <f t="shared" si="65"/>
        <v>3000</v>
      </c>
    </row>
    <row r="450" spans="1:12" ht="31.5" x14ac:dyDescent="0.25">
      <c r="A450" s="29" t="s">
        <v>962</v>
      </c>
      <c r="B450" s="40" t="s">
        <v>1287</v>
      </c>
      <c r="C450" s="40" t="s">
        <v>498</v>
      </c>
      <c r="D450" s="40" t="s">
        <v>241</v>
      </c>
      <c r="E450" s="40"/>
      <c r="F450" s="5"/>
      <c r="G450" s="6">
        <f>G451+G454</f>
        <v>3000</v>
      </c>
      <c r="H450" s="6">
        <f>H451+H454</f>
        <v>3000</v>
      </c>
    </row>
    <row r="451" spans="1:12" ht="94.5" x14ac:dyDescent="0.25">
      <c r="A451" s="25" t="s">
        <v>134</v>
      </c>
      <c r="B451" s="40" t="s">
        <v>1287</v>
      </c>
      <c r="C451" s="40" t="s">
        <v>498</v>
      </c>
      <c r="D451" s="40" t="s">
        <v>241</v>
      </c>
      <c r="E451" s="40" t="s">
        <v>135</v>
      </c>
      <c r="F451" s="5"/>
      <c r="G451" s="6">
        <f t="shared" ref="G451:H451" si="66">G452</f>
        <v>2500</v>
      </c>
      <c r="H451" s="6">
        <f t="shared" si="66"/>
        <v>2500</v>
      </c>
    </row>
    <row r="452" spans="1:12" ht="31.5" x14ac:dyDescent="0.25">
      <c r="A452" s="25" t="s">
        <v>349</v>
      </c>
      <c r="B452" s="40" t="s">
        <v>1287</v>
      </c>
      <c r="C452" s="40" t="s">
        <v>498</v>
      </c>
      <c r="D452" s="40" t="s">
        <v>241</v>
      </c>
      <c r="E452" s="40" t="s">
        <v>216</v>
      </c>
      <c r="F452" s="5"/>
      <c r="G452" s="6">
        <f>'пр.6.1.ведом.22-23'!G828</f>
        <v>2500</v>
      </c>
      <c r="H452" s="6">
        <f>'пр.6.1.ведом.22-23'!H828</f>
        <v>2500</v>
      </c>
    </row>
    <row r="453" spans="1:12" ht="47.25" x14ac:dyDescent="0.25">
      <c r="A453" s="45" t="s">
        <v>487</v>
      </c>
      <c r="B453" s="40" t="s">
        <v>1287</v>
      </c>
      <c r="C453" s="40" t="s">
        <v>498</v>
      </c>
      <c r="D453" s="40" t="s">
        <v>241</v>
      </c>
      <c r="E453" s="40" t="s">
        <v>216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138</v>
      </c>
      <c r="B454" s="40" t="s">
        <v>1287</v>
      </c>
      <c r="C454" s="40" t="s">
        <v>498</v>
      </c>
      <c r="D454" s="40" t="s">
        <v>241</v>
      </c>
      <c r="E454" s="40" t="s">
        <v>139</v>
      </c>
      <c r="F454" s="5"/>
      <c r="G454" s="6">
        <f t="shared" ref="G454:H454" si="67">G455</f>
        <v>500</v>
      </c>
      <c r="H454" s="6">
        <f t="shared" si="67"/>
        <v>500</v>
      </c>
    </row>
    <row r="455" spans="1:12" ht="47.25" x14ac:dyDescent="0.25">
      <c r="A455" s="29" t="s">
        <v>140</v>
      </c>
      <c r="B455" s="40" t="s">
        <v>1287</v>
      </c>
      <c r="C455" s="40" t="s">
        <v>498</v>
      </c>
      <c r="D455" s="40" t="s">
        <v>241</v>
      </c>
      <c r="E455" s="40" t="s">
        <v>141</v>
      </c>
      <c r="F455" s="5"/>
      <c r="G455" s="6">
        <f>'пр.6.1.ведом.22-23'!G830</f>
        <v>500</v>
      </c>
      <c r="H455" s="6">
        <f>'пр.6.1.ведом.22-23'!H830</f>
        <v>500</v>
      </c>
    </row>
    <row r="456" spans="1:12" ht="47.25" x14ac:dyDescent="0.25">
      <c r="A456" s="45" t="s">
        <v>487</v>
      </c>
      <c r="B456" s="40" t="s">
        <v>1287</v>
      </c>
      <c r="C456" s="40" t="s">
        <v>498</v>
      </c>
      <c r="D456" s="40" t="s">
        <v>241</v>
      </c>
      <c r="E456" s="40" t="s">
        <v>141</v>
      </c>
      <c r="F456" s="5">
        <v>907</v>
      </c>
      <c r="G456" s="10">
        <f>G455</f>
        <v>500</v>
      </c>
      <c r="H456" s="10">
        <f>H455</f>
        <v>500</v>
      </c>
    </row>
    <row r="457" spans="1:12" s="202" customFormat="1" ht="78.75" hidden="1" x14ac:dyDescent="0.25">
      <c r="A457" s="23" t="s">
        <v>1346</v>
      </c>
      <c r="B457" s="24" t="s">
        <v>1285</v>
      </c>
      <c r="C457" s="7"/>
      <c r="D457" s="7"/>
      <c r="E457" s="7"/>
      <c r="F457" s="196"/>
      <c r="G457" s="59">
        <f>G458</f>
        <v>769.23</v>
      </c>
      <c r="H457" s="10"/>
    </row>
    <row r="458" spans="1:12" s="202" customFormat="1" ht="15.75" hidden="1" x14ac:dyDescent="0.25">
      <c r="A458" s="29" t="s">
        <v>497</v>
      </c>
      <c r="B458" s="20" t="s">
        <v>1285</v>
      </c>
      <c r="C458" s="40" t="s">
        <v>498</v>
      </c>
      <c r="D458" s="40"/>
      <c r="E458" s="40"/>
      <c r="F458" s="5"/>
      <c r="G458" s="10">
        <f>G459</f>
        <v>769.23</v>
      </c>
      <c r="H458" s="10"/>
    </row>
    <row r="459" spans="1:12" s="202" customFormat="1" ht="15.75" hidden="1" x14ac:dyDescent="0.25">
      <c r="A459" s="29" t="s">
        <v>499</v>
      </c>
      <c r="B459" s="20" t="s">
        <v>1285</v>
      </c>
      <c r="C459" s="40" t="s">
        <v>498</v>
      </c>
      <c r="D459" s="40" t="s">
        <v>125</v>
      </c>
      <c r="E459" s="40"/>
      <c r="F459" s="5"/>
      <c r="G459" s="10">
        <f>G460</f>
        <v>769.23</v>
      </c>
      <c r="H459" s="10"/>
    </row>
    <row r="460" spans="1:12" s="202" customFormat="1" ht="63" hidden="1" x14ac:dyDescent="0.25">
      <c r="A460" s="25" t="s">
        <v>1208</v>
      </c>
      <c r="B460" s="20" t="s">
        <v>1340</v>
      </c>
      <c r="C460" s="40" t="s">
        <v>498</v>
      </c>
      <c r="D460" s="40" t="s">
        <v>125</v>
      </c>
      <c r="E460" s="40"/>
      <c r="F460" s="5"/>
      <c r="G460" s="10">
        <f>G461</f>
        <v>769.23</v>
      </c>
      <c r="H460" s="10"/>
    </row>
    <row r="461" spans="1:12" s="202" customFormat="1" ht="47.25" hidden="1" x14ac:dyDescent="0.25">
      <c r="A461" s="25" t="s">
        <v>279</v>
      </c>
      <c r="B461" s="20" t="s">
        <v>1340</v>
      </c>
      <c r="C461" s="40" t="s">
        <v>498</v>
      </c>
      <c r="D461" s="40" t="s">
        <v>125</v>
      </c>
      <c r="E461" s="40" t="s">
        <v>280</v>
      </c>
      <c r="F461" s="5"/>
      <c r="G461" s="10">
        <f>G462</f>
        <v>769.23</v>
      </c>
      <c r="H461" s="10"/>
    </row>
    <row r="462" spans="1:12" s="202" customFormat="1" ht="15.75" hidden="1" x14ac:dyDescent="0.25">
      <c r="A462" s="25" t="s">
        <v>281</v>
      </c>
      <c r="B462" s="20" t="s">
        <v>1340</v>
      </c>
      <c r="C462" s="40" t="s">
        <v>498</v>
      </c>
      <c r="D462" s="40" t="s">
        <v>125</v>
      </c>
      <c r="E462" s="40" t="s">
        <v>282</v>
      </c>
      <c r="F462" s="5"/>
      <c r="G462" s="10">
        <f>'Пр.4 ведом.21'!G785</f>
        <v>769.23</v>
      </c>
      <c r="H462" s="10"/>
    </row>
    <row r="463" spans="1:12" s="202" customFormat="1" ht="47.25" hidden="1" x14ac:dyDescent="0.25">
      <c r="A463" s="45" t="s">
        <v>487</v>
      </c>
      <c r="B463" s="20" t="s">
        <v>1340</v>
      </c>
      <c r="C463" s="40" t="s">
        <v>498</v>
      </c>
      <c r="D463" s="40" t="s">
        <v>125</v>
      </c>
      <c r="E463" s="40" t="s">
        <v>282</v>
      </c>
      <c r="F463" s="5">
        <v>907</v>
      </c>
      <c r="G463" s="10">
        <f>G457</f>
        <v>769.23</v>
      </c>
      <c r="H463" s="10"/>
    </row>
    <row r="464" spans="1:12" ht="47.25" x14ac:dyDescent="0.25">
      <c r="A464" s="41" t="s">
        <v>1368</v>
      </c>
      <c r="B464" s="7" t="s">
        <v>274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>
        <v>81484.899999999994</v>
      </c>
      <c r="J464" s="22">
        <f>I464-G464</f>
        <v>1.0000000009313226E-2</v>
      </c>
      <c r="K464">
        <v>82684.899999999994</v>
      </c>
      <c r="L464" s="22">
        <f>K464-H464</f>
        <v>1.0000000009313226E-2</v>
      </c>
    </row>
    <row r="465" spans="1:8" ht="47.25" x14ac:dyDescent="0.25">
      <c r="A465" s="23" t="s">
        <v>1314</v>
      </c>
      <c r="B465" s="24" t="s">
        <v>1218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s="202" customFormat="1" ht="15.75" x14ac:dyDescent="0.25">
      <c r="A466" s="25" t="s">
        <v>270</v>
      </c>
      <c r="B466" s="20" t="s">
        <v>1218</v>
      </c>
      <c r="C466" s="40" t="s">
        <v>271</v>
      </c>
      <c r="D466" s="40"/>
      <c r="E466" s="40"/>
      <c r="F466" s="2"/>
      <c r="G466" s="10">
        <f>G467</f>
        <v>15854.01</v>
      </c>
      <c r="H466" s="10">
        <f>H467</f>
        <v>15854.01</v>
      </c>
    </row>
    <row r="467" spans="1:8" s="202" customFormat="1" ht="15.75" x14ac:dyDescent="0.25">
      <c r="A467" s="25" t="s">
        <v>272</v>
      </c>
      <c r="B467" s="20" t="s">
        <v>1218</v>
      </c>
      <c r="C467" s="40" t="s">
        <v>271</v>
      </c>
      <c r="D467" s="40" t="s">
        <v>222</v>
      </c>
      <c r="E467" s="40"/>
      <c r="F467" s="2"/>
      <c r="G467" s="10">
        <f>G468</f>
        <v>15854.01</v>
      </c>
      <c r="H467" s="10">
        <f>H468</f>
        <v>15854.01</v>
      </c>
    </row>
    <row r="468" spans="1:8" s="202" customFormat="1" ht="31.5" x14ac:dyDescent="0.25">
      <c r="A468" s="25" t="s">
        <v>810</v>
      </c>
      <c r="B468" s="20" t="s">
        <v>1219</v>
      </c>
      <c r="C468" s="40" t="s">
        <v>271</v>
      </c>
      <c r="D468" s="40" t="s">
        <v>222</v>
      </c>
      <c r="E468" s="40"/>
      <c r="F468" s="2"/>
      <c r="G468" s="10">
        <f>G469+G472+G475</f>
        <v>15854.01</v>
      </c>
      <c r="H468" s="10">
        <f>H469+H472+H475</f>
        <v>15854.01</v>
      </c>
    </row>
    <row r="469" spans="1:8" s="202" customFormat="1" ht="94.5" x14ac:dyDescent="0.25">
      <c r="A469" s="25" t="s">
        <v>134</v>
      </c>
      <c r="B469" s="20" t="s">
        <v>1219</v>
      </c>
      <c r="C469" s="40" t="s">
        <v>271</v>
      </c>
      <c r="D469" s="40" t="s">
        <v>222</v>
      </c>
      <c r="E469" s="20" t="s">
        <v>135</v>
      </c>
      <c r="F469" s="2"/>
      <c r="G469" s="10">
        <f>G470</f>
        <v>14172.31</v>
      </c>
      <c r="H469" s="10">
        <f>H470</f>
        <v>14172.31</v>
      </c>
    </row>
    <row r="470" spans="1:8" s="202" customFormat="1" ht="31.5" x14ac:dyDescent="0.25">
      <c r="A470" s="46" t="s">
        <v>349</v>
      </c>
      <c r="B470" s="20" t="s">
        <v>1219</v>
      </c>
      <c r="C470" s="40" t="s">
        <v>271</v>
      </c>
      <c r="D470" s="40" t="s">
        <v>222</v>
      </c>
      <c r="E470" s="20" t="s">
        <v>216</v>
      </c>
      <c r="F470" s="2"/>
      <c r="G470" s="10">
        <f>'пр.6.1.ведом.22-23'!G299</f>
        <v>14172.31</v>
      </c>
      <c r="H470" s="10">
        <f>'пр.6.1.ведом.22-23'!H299</f>
        <v>14172.31</v>
      </c>
    </row>
    <row r="471" spans="1:8" s="202" customFormat="1" ht="47.25" x14ac:dyDescent="0.25">
      <c r="A471" s="45" t="s">
        <v>268</v>
      </c>
      <c r="B471" s="20" t="s">
        <v>1219</v>
      </c>
      <c r="C471" s="40" t="s">
        <v>271</v>
      </c>
      <c r="D471" s="40" t="s">
        <v>222</v>
      </c>
      <c r="E471" s="20" t="s">
        <v>216</v>
      </c>
      <c r="F471" s="2">
        <v>903</v>
      </c>
      <c r="G471" s="10">
        <f>G470</f>
        <v>14172.31</v>
      </c>
      <c r="H471" s="10">
        <f>H470</f>
        <v>14172.31</v>
      </c>
    </row>
    <row r="472" spans="1:8" s="202" customFormat="1" ht="31.5" x14ac:dyDescent="0.25">
      <c r="A472" s="25" t="s">
        <v>138</v>
      </c>
      <c r="B472" s="20" t="s">
        <v>1219</v>
      </c>
      <c r="C472" s="40" t="s">
        <v>271</v>
      </c>
      <c r="D472" s="40" t="s">
        <v>222</v>
      </c>
      <c r="E472" s="20" t="s">
        <v>139</v>
      </c>
      <c r="F472" s="2"/>
      <c r="G472" s="10">
        <f>G473</f>
        <v>1603.7</v>
      </c>
      <c r="H472" s="10">
        <f>H473</f>
        <v>1603.7</v>
      </c>
    </row>
    <row r="473" spans="1:8" s="202" customFormat="1" ht="47.25" x14ac:dyDescent="0.25">
      <c r="A473" s="25" t="s">
        <v>140</v>
      </c>
      <c r="B473" s="20" t="s">
        <v>1219</v>
      </c>
      <c r="C473" s="40" t="s">
        <v>271</v>
      </c>
      <c r="D473" s="40" t="s">
        <v>222</v>
      </c>
      <c r="E473" s="20" t="s">
        <v>141</v>
      </c>
      <c r="F473" s="2"/>
      <c r="G473" s="10">
        <f>'пр.6.1.ведом.22-23'!G301</f>
        <v>1603.7</v>
      </c>
      <c r="H473" s="10">
        <f>'пр.6.1.ведом.22-23'!H301</f>
        <v>1603.7</v>
      </c>
    </row>
    <row r="474" spans="1:8" s="202" customFormat="1" ht="47.25" x14ac:dyDescent="0.25">
      <c r="A474" s="45" t="s">
        <v>268</v>
      </c>
      <c r="B474" s="20" t="s">
        <v>1219</v>
      </c>
      <c r="C474" s="40" t="s">
        <v>271</v>
      </c>
      <c r="D474" s="40" t="s">
        <v>222</v>
      </c>
      <c r="E474" s="20" t="s">
        <v>141</v>
      </c>
      <c r="F474" s="2">
        <v>903</v>
      </c>
      <c r="G474" s="10">
        <f>G473</f>
        <v>1603.7</v>
      </c>
      <c r="H474" s="10">
        <f>H473</f>
        <v>1603.7</v>
      </c>
    </row>
    <row r="475" spans="1:8" s="202" customFormat="1" ht="15.75" x14ac:dyDescent="0.25">
      <c r="A475" s="25" t="s">
        <v>142</v>
      </c>
      <c r="B475" s="20" t="s">
        <v>1219</v>
      </c>
      <c r="C475" s="40" t="s">
        <v>271</v>
      </c>
      <c r="D475" s="40" t="s">
        <v>222</v>
      </c>
      <c r="E475" s="20" t="s">
        <v>152</v>
      </c>
      <c r="F475" s="2"/>
      <c r="G475" s="10">
        <f>G476</f>
        <v>78</v>
      </c>
      <c r="H475" s="10">
        <f>H476</f>
        <v>78</v>
      </c>
    </row>
    <row r="476" spans="1:8" s="202" customFormat="1" ht="15.75" x14ac:dyDescent="0.25">
      <c r="A476" s="25" t="s">
        <v>714</v>
      </c>
      <c r="B476" s="20" t="s">
        <v>1219</v>
      </c>
      <c r="C476" s="40" t="s">
        <v>271</v>
      </c>
      <c r="D476" s="40" t="s">
        <v>222</v>
      </c>
      <c r="E476" s="20" t="s">
        <v>145</v>
      </c>
      <c r="F476" s="2"/>
      <c r="G476" s="10">
        <f>'пр.6.1.ведом.22-23'!G303</f>
        <v>78</v>
      </c>
      <c r="H476" s="10">
        <f>'пр.6.1.ведом.22-23'!H303</f>
        <v>78</v>
      </c>
    </row>
    <row r="477" spans="1:8" s="202" customFormat="1" ht="47.25" x14ac:dyDescent="0.25">
      <c r="A477" s="45" t="s">
        <v>268</v>
      </c>
      <c r="B477" s="20" t="s">
        <v>1219</v>
      </c>
      <c r="C477" s="40" t="s">
        <v>271</v>
      </c>
      <c r="D477" s="40" t="s">
        <v>222</v>
      </c>
      <c r="E477" s="20" t="s">
        <v>145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305</v>
      </c>
      <c r="B478" s="20" t="s">
        <v>1218</v>
      </c>
      <c r="C478" s="40" t="s">
        <v>306</v>
      </c>
      <c r="D478" s="73"/>
      <c r="E478" s="73"/>
      <c r="F478" s="2"/>
      <c r="G478" s="10">
        <f t="shared" ref="G478:H479" si="68">G479</f>
        <v>51840.479999999996</v>
      </c>
      <c r="H478" s="10">
        <f t="shared" si="68"/>
        <v>51840.479999999996</v>
      </c>
    </row>
    <row r="479" spans="1:8" ht="15.75" x14ac:dyDescent="0.25">
      <c r="A479" s="73" t="s">
        <v>307</v>
      </c>
      <c r="B479" s="20" t="s">
        <v>1218</v>
      </c>
      <c r="C479" s="40" t="s">
        <v>306</v>
      </c>
      <c r="D479" s="40" t="s">
        <v>125</v>
      </c>
      <c r="E479" s="73"/>
      <c r="F479" s="2"/>
      <c r="G479" s="10">
        <f t="shared" si="68"/>
        <v>51840.479999999996</v>
      </c>
      <c r="H479" s="10">
        <f t="shared" si="68"/>
        <v>51840.479999999996</v>
      </c>
    </row>
    <row r="480" spans="1:8" ht="31.5" x14ac:dyDescent="0.25">
      <c r="A480" s="25" t="s">
        <v>810</v>
      </c>
      <c r="B480" s="20" t="s">
        <v>1219</v>
      </c>
      <c r="C480" s="40" t="s">
        <v>306</v>
      </c>
      <c r="D480" s="40" t="s">
        <v>125</v>
      </c>
      <c r="E480" s="40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25" t="s">
        <v>134</v>
      </c>
      <c r="B481" s="20" t="s">
        <v>1219</v>
      </c>
      <c r="C481" s="40" t="s">
        <v>306</v>
      </c>
      <c r="D481" s="40" t="s">
        <v>125</v>
      </c>
      <c r="E481" s="40" t="s">
        <v>135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25" t="s">
        <v>215</v>
      </c>
      <c r="B482" s="20" t="s">
        <v>1219</v>
      </c>
      <c r="C482" s="40" t="s">
        <v>306</v>
      </c>
      <c r="D482" s="40" t="s">
        <v>125</v>
      </c>
      <c r="E482" s="40" t="s">
        <v>216</v>
      </c>
      <c r="F482" s="2"/>
      <c r="G482" s="10">
        <f>'пр.6.1.ведом.22-23'!G363</f>
        <v>43271.28</v>
      </c>
      <c r="H482" s="10">
        <f>'пр.6.1.ведом.22-23'!H363</f>
        <v>43271.28</v>
      </c>
    </row>
    <row r="483" spans="1:8" ht="47.25" x14ac:dyDescent="0.25">
      <c r="A483" s="45" t="s">
        <v>268</v>
      </c>
      <c r="B483" s="20" t="s">
        <v>1219</v>
      </c>
      <c r="C483" s="40" t="s">
        <v>306</v>
      </c>
      <c r="D483" s="40" t="s">
        <v>125</v>
      </c>
      <c r="E483" s="40" t="s">
        <v>216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25" t="s">
        <v>138</v>
      </c>
      <c r="B484" s="20" t="s">
        <v>1219</v>
      </c>
      <c r="C484" s="40" t="s">
        <v>306</v>
      </c>
      <c r="D484" s="40" t="s">
        <v>125</v>
      </c>
      <c r="E484" s="40" t="s">
        <v>139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25" t="s">
        <v>140</v>
      </c>
      <c r="B485" s="20" t="s">
        <v>1219</v>
      </c>
      <c r="C485" s="40" t="s">
        <v>306</v>
      </c>
      <c r="D485" s="40" t="s">
        <v>125</v>
      </c>
      <c r="E485" s="40" t="s">
        <v>141</v>
      </c>
      <c r="F485" s="2"/>
      <c r="G485" s="10">
        <f>'пр.6.1.ведом.22-23'!G365</f>
        <v>8506.2000000000007</v>
      </c>
      <c r="H485" s="10">
        <f>'пр.6.1.ведом.22-23'!H365</f>
        <v>8506.2000000000007</v>
      </c>
    </row>
    <row r="486" spans="1:8" ht="47.25" x14ac:dyDescent="0.25">
      <c r="A486" s="45" t="s">
        <v>268</v>
      </c>
      <c r="B486" s="20" t="s">
        <v>1219</v>
      </c>
      <c r="C486" s="40" t="s">
        <v>306</v>
      </c>
      <c r="D486" s="40" t="s">
        <v>125</v>
      </c>
      <c r="E486" s="40" t="s">
        <v>141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25" t="s">
        <v>142</v>
      </c>
      <c r="B487" s="20" t="s">
        <v>1219</v>
      </c>
      <c r="C487" s="40" t="s">
        <v>306</v>
      </c>
      <c r="D487" s="40" t="s">
        <v>125</v>
      </c>
      <c r="E487" s="40" t="s">
        <v>152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25" t="s">
        <v>144</v>
      </c>
      <c r="B488" s="20" t="s">
        <v>1219</v>
      </c>
      <c r="C488" s="40" t="s">
        <v>306</v>
      </c>
      <c r="D488" s="40" t="s">
        <v>125</v>
      </c>
      <c r="E488" s="40" t="s">
        <v>145</v>
      </c>
      <c r="F488" s="2"/>
      <c r="G488" s="10">
        <f>'пр.6.1.ведом.22-23'!G367</f>
        <v>63</v>
      </c>
      <c r="H488" s="10">
        <f>'пр.6.1.ведом.22-23'!H367</f>
        <v>63</v>
      </c>
    </row>
    <row r="489" spans="1:8" ht="47.25" x14ac:dyDescent="0.25">
      <c r="A489" s="45" t="s">
        <v>268</v>
      </c>
      <c r="B489" s="20" t="s">
        <v>1219</v>
      </c>
      <c r="C489" s="40" t="s">
        <v>306</v>
      </c>
      <c r="D489" s="40" t="s">
        <v>125</v>
      </c>
      <c r="E489" s="40" t="s">
        <v>145</v>
      </c>
      <c r="F489" s="2">
        <v>903</v>
      </c>
      <c r="G489" s="10">
        <f>G488</f>
        <v>63</v>
      </c>
      <c r="H489" s="10">
        <f>H488</f>
        <v>63</v>
      </c>
    </row>
    <row r="490" spans="1:8" s="202" customFormat="1" ht="15.75" x14ac:dyDescent="0.25">
      <c r="A490" s="25" t="s">
        <v>589</v>
      </c>
      <c r="B490" s="20" t="s">
        <v>1218</v>
      </c>
      <c r="C490" s="40" t="s">
        <v>245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s="202" customFormat="1" ht="15.75" x14ac:dyDescent="0.25">
      <c r="A491" s="25" t="s">
        <v>590</v>
      </c>
      <c r="B491" s="20" t="s">
        <v>1218</v>
      </c>
      <c r="C491" s="40" t="s">
        <v>245</v>
      </c>
      <c r="D491" s="40" t="s">
        <v>220</v>
      </c>
      <c r="E491" s="73"/>
      <c r="F491" s="2"/>
      <c r="G491" s="10">
        <f>G492</f>
        <v>5522.3</v>
      </c>
      <c r="H491" s="10">
        <f>H492</f>
        <v>5522.3</v>
      </c>
    </row>
    <row r="492" spans="1:8" s="202" customFormat="1" ht="31.5" x14ac:dyDescent="0.25">
      <c r="A492" s="25" t="s">
        <v>810</v>
      </c>
      <c r="B492" s="20" t="s">
        <v>1219</v>
      </c>
      <c r="C492" s="40" t="s">
        <v>245</v>
      </c>
      <c r="D492" s="40" t="s">
        <v>220</v>
      </c>
      <c r="E492" s="40"/>
      <c r="F492" s="2"/>
      <c r="G492" s="10">
        <f>G493+G496+G499</f>
        <v>5522.3</v>
      </c>
      <c r="H492" s="10">
        <f>H493+H496+H499</f>
        <v>5522.3</v>
      </c>
    </row>
    <row r="493" spans="1:8" s="202" customFormat="1" ht="94.5" x14ac:dyDescent="0.25">
      <c r="A493" s="25" t="s">
        <v>134</v>
      </c>
      <c r="B493" s="20" t="s">
        <v>1219</v>
      </c>
      <c r="C493" s="40" t="s">
        <v>245</v>
      </c>
      <c r="D493" s="40" t="s">
        <v>220</v>
      </c>
      <c r="E493" s="40" t="s">
        <v>135</v>
      </c>
      <c r="F493" s="2"/>
      <c r="G493" s="10">
        <f>G494</f>
        <v>4897.2</v>
      </c>
      <c r="H493" s="10">
        <f>H494</f>
        <v>4897.2</v>
      </c>
    </row>
    <row r="494" spans="1:8" s="202" customFormat="1" ht="31.5" x14ac:dyDescent="0.25">
      <c r="A494" s="25" t="s">
        <v>215</v>
      </c>
      <c r="B494" s="20" t="s">
        <v>1219</v>
      </c>
      <c r="C494" s="40" t="s">
        <v>245</v>
      </c>
      <c r="D494" s="40" t="s">
        <v>220</v>
      </c>
      <c r="E494" s="40" t="s">
        <v>216</v>
      </c>
      <c r="F494" s="2"/>
      <c r="G494" s="10">
        <f>'пр.6.1.ведом.22-23'!G474</f>
        <v>4897.2</v>
      </c>
      <c r="H494" s="10">
        <f>'пр.6.1.ведом.22-23'!H474</f>
        <v>4897.2</v>
      </c>
    </row>
    <row r="495" spans="1:8" s="202" customFormat="1" ht="47.25" x14ac:dyDescent="0.25">
      <c r="A495" s="45" t="s">
        <v>268</v>
      </c>
      <c r="B495" s="20" t="s">
        <v>1219</v>
      </c>
      <c r="C495" s="40" t="s">
        <v>245</v>
      </c>
      <c r="D495" s="40" t="s">
        <v>220</v>
      </c>
      <c r="E495" s="40" t="s">
        <v>216</v>
      </c>
      <c r="F495" s="2">
        <v>903</v>
      </c>
      <c r="G495" s="10">
        <f>G494</f>
        <v>4897.2</v>
      </c>
      <c r="H495" s="10">
        <f>H494</f>
        <v>4897.2</v>
      </c>
    </row>
    <row r="496" spans="1:8" s="202" customFormat="1" ht="31.5" x14ac:dyDescent="0.25">
      <c r="A496" s="25" t="s">
        <v>138</v>
      </c>
      <c r="B496" s="20" t="s">
        <v>1219</v>
      </c>
      <c r="C496" s="40" t="s">
        <v>245</v>
      </c>
      <c r="D496" s="40" t="s">
        <v>220</v>
      </c>
      <c r="E496" s="40" t="s">
        <v>139</v>
      </c>
      <c r="F496" s="2"/>
      <c r="G496" s="10">
        <f>G497</f>
        <v>595.1</v>
      </c>
      <c r="H496" s="10">
        <f>H497</f>
        <v>595.1</v>
      </c>
    </row>
    <row r="497" spans="1:8" s="202" customFormat="1" ht="47.25" x14ac:dyDescent="0.25">
      <c r="A497" s="25" t="s">
        <v>140</v>
      </c>
      <c r="B497" s="20" t="s">
        <v>1219</v>
      </c>
      <c r="C497" s="40" t="s">
        <v>245</v>
      </c>
      <c r="D497" s="40" t="s">
        <v>220</v>
      </c>
      <c r="E497" s="40" t="s">
        <v>141</v>
      </c>
      <c r="F497" s="2"/>
      <c r="G497" s="10">
        <f>'пр.6.1.ведом.22-23'!G476</f>
        <v>595.1</v>
      </c>
      <c r="H497" s="10">
        <f>'пр.6.1.ведом.22-23'!H476</f>
        <v>595.1</v>
      </c>
    </row>
    <row r="498" spans="1:8" s="202" customFormat="1" ht="47.25" x14ac:dyDescent="0.25">
      <c r="A498" s="45" t="s">
        <v>268</v>
      </c>
      <c r="B498" s="20" t="s">
        <v>1219</v>
      </c>
      <c r="C498" s="40" t="s">
        <v>245</v>
      </c>
      <c r="D498" s="40" t="s">
        <v>220</v>
      </c>
      <c r="E498" s="40" t="s">
        <v>141</v>
      </c>
      <c r="F498" s="2">
        <v>903</v>
      </c>
      <c r="G498" s="10">
        <f>G497</f>
        <v>595.1</v>
      </c>
      <c r="H498" s="10">
        <f>H497</f>
        <v>595.1</v>
      </c>
    </row>
    <row r="499" spans="1:8" s="202" customFormat="1" ht="15.75" x14ac:dyDescent="0.25">
      <c r="A499" s="25" t="s">
        <v>142</v>
      </c>
      <c r="B499" s="20" t="s">
        <v>1219</v>
      </c>
      <c r="C499" s="40" t="s">
        <v>245</v>
      </c>
      <c r="D499" s="40" t="s">
        <v>220</v>
      </c>
      <c r="E499" s="40" t="s">
        <v>152</v>
      </c>
      <c r="F499" s="2"/>
      <c r="G499" s="10">
        <f>G500</f>
        <v>30</v>
      </c>
      <c r="H499" s="10">
        <f>H500</f>
        <v>30</v>
      </c>
    </row>
    <row r="500" spans="1:8" s="202" customFormat="1" ht="15.75" x14ac:dyDescent="0.25">
      <c r="A500" s="25" t="s">
        <v>144</v>
      </c>
      <c r="B500" s="20" t="s">
        <v>1219</v>
      </c>
      <c r="C500" s="40" t="s">
        <v>245</v>
      </c>
      <c r="D500" s="40" t="s">
        <v>220</v>
      </c>
      <c r="E500" s="40" t="s">
        <v>145</v>
      </c>
      <c r="F500" s="2"/>
      <c r="G500" s="10">
        <f>'пр.6.1.ведом.22-23'!G478</f>
        <v>30</v>
      </c>
      <c r="H500" s="10">
        <f>'пр.6.1.ведом.22-23'!H478</f>
        <v>30</v>
      </c>
    </row>
    <row r="501" spans="1:8" s="202" customFormat="1" ht="47.25" x14ac:dyDescent="0.25">
      <c r="A501" s="45" t="s">
        <v>268</v>
      </c>
      <c r="B501" s="20" t="s">
        <v>1219</v>
      </c>
      <c r="C501" s="40" t="s">
        <v>245</v>
      </c>
      <c r="D501" s="40" t="s">
        <v>220</v>
      </c>
      <c r="E501" s="40" t="s">
        <v>145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12" t="s">
        <v>1341</v>
      </c>
      <c r="B502" s="24" t="s">
        <v>1220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s="202" customFormat="1" ht="15.75" x14ac:dyDescent="0.25">
      <c r="A503" s="25" t="s">
        <v>270</v>
      </c>
      <c r="B503" s="20" t="s">
        <v>1220</v>
      </c>
      <c r="C503" s="40" t="s">
        <v>271</v>
      </c>
      <c r="D503" s="40"/>
      <c r="E503" s="40"/>
      <c r="F503" s="2"/>
      <c r="G503" s="10">
        <f t="shared" ref="G503:H506" si="69">G504</f>
        <v>1295</v>
      </c>
      <c r="H503" s="10">
        <f t="shared" si="69"/>
        <v>1295</v>
      </c>
    </row>
    <row r="504" spans="1:8" s="202" customFormat="1" ht="15.75" x14ac:dyDescent="0.25">
      <c r="A504" s="25" t="s">
        <v>272</v>
      </c>
      <c r="B504" s="20" t="s">
        <v>1220</v>
      </c>
      <c r="C504" s="40" t="s">
        <v>271</v>
      </c>
      <c r="D504" s="40" t="s">
        <v>222</v>
      </c>
      <c r="E504" s="40"/>
      <c r="F504" s="2"/>
      <c r="G504" s="10">
        <f>G505+G509</f>
        <v>1295</v>
      </c>
      <c r="H504" s="10">
        <f>H505+H509</f>
        <v>1295</v>
      </c>
    </row>
    <row r="505" spans="1:8" s="202" customFormat="1" ht="31.5" x14ac:dyDescent="0.25">
      <c r="A505" s="197" t="s">
        <v>809</v>
      </c>
      <c r="B505" s="20" t="s">
        <v>1221</v>
      </c>
      <c r="C505" s="40" t="s">
        <v>271</v>
      </c>
      <c r="D505" s="40" t="s">
        <v>222</v>
      </c>
      <c r="E505" s="20"/>
      <c r="F505" s="2"/>
      <c r="G505" s="10">
        <f t="shared" si="69"/>
        <v>45</v>
      </c>
      <c r="H505" s="10">
        <f t="shared" si="69"/>
        <v>45</v>
      </c>
    </row>
    <row r="506" spans="1:8" s="202" customFormat="1" ht="31.5" x14ac:dyDescent="0.25">
      <c r="A506" s="25" t="s">
        <v>255</v>
      </c>
      <c r="B506" s="20" t="s">
        <v>1221</v>
      </c>
      <c r="C506" s="40" t="s">
        <v>271</v>
      </c>
      <c r="D506" s="40" t="s">
        <v>222</v>
      </c>
      <c r="E506" s="20" t="s">
        <v>256</v>
      </c>
      <c r="F506" s="2"/>
      <c r="G506" s="10">
        <f t="shared" si="69"/>
        <v>45</v>
      </c>
      <c r="H506" s="10">
        <f t="shared" si="69"/>
        <v>45</v>
      </c>
    </row>
    <row r="507" spans="1:8" s="202" customFormat="1" ht="15.75" x14ac:dyDescent="0.25">
      <c r="A507" s="25" t="s">
        <v>830</v>
      </c>
      <c r="B507" s="20" t="s">
        <v>1221</v>
      </c>
      <c r="C507" s="40" t="s">
        <v>271</v>
      </c>
      <c r="D507" s="40" t="s">
        <v>222</v>
      </c>
      <c r="E507" s="20" t="s">
        <v>829</v>
      </c>
      <c r="F507" s="2"/>
      <c r="G507" s="10">
        <f>'пр.6.1.ведом.22-23'!G307</f>
        <v>45</v>
      </c>
      <c r="H507" s="10">
        <f>'пр.6.1.ведом.22-23'!H307</f>
        <v>45</v>
      </c>
    </row>
    <row r="508" spans="1:8" s="202" customFormat="1" ht="47.25" x14ac:dyDescent="0.25">
      <c r="A508" s="45" t="s">
        <v>268</v>
      </c>
      <c r="B508" s="20" t="s">
        <v>1221</v>
      </c>
      <c r="C508" s="40" t="s">
        <v>271</v>
      </c>
      <c r="D508" s="40" t="s">
        <v>222</v>
      </c>
      <c r="E508" s="20" t="s">
        <v>829</v>
      </c>
      <c r="F508" s="2">
        <v>903</v>
      </c>
      <c r="G508" s="10">
        <f>G507</f>
        <v>45</v>
      </c>
      <c r="H508" s="10">
        <f>H507</f>
        <v>45</v>
      </c>
    </row>
    <row r="509" spans="1:8" s="202" customFormat="1" ht="47.25" x14ac:dyDescent="0.25">
      <c r="A509" s="31" t="s">
        <v>826</v>
      </c>
      <c r="B509" s="20" t="s">
        <v>1222</v>
      </c>
      <c r="C509" s="40" t="s">
        <v>271</v>
      </c>
      <c r="D509" s="40" t="s">
        <v>222</v>
      </c>
      <c r="E509" s="20"/>
      <c r="F509" s="2"/>
      <c r="G509" s="10">
        <f>G510+G513</f>
        <v>1250</v>
      </c>
      <c r="H509" s="10">
        <f>H510+H513</f>
        <v>1250</v>
      </c>
    </row>
    <row r="510" spans="1:8" s="202" customFormat="1" ht="94.5" x14ac:dyDescent="0.25">
      <c r="A510" s="25" t="s">
        <v>134</v>
      </c>
      <c r="B510" s="20" t="s">
        <v>1222</v>
      </c>
      <c r="C510" s="40" t="s">
        <v>271</v>
      </c>
      <c r="D510" s="40" t="s">
        <v>222</v>
      </c>
      <c r="E510" s="20" t="s">
        <v>135</v>
      </c>
      <c r="F510" s="2"/>
      <c r="G510" s="10">
        <f>G511</f>
        <v>1250</v>
      </c>
      <c r="H510" s="10">
        <f>H511</f>
        <v>1250</v>
      </c>
    </row>
    <row r="511" spans="1:8" s="202" customFormat="1" ht="31.5" x14ac:dyDescent="0.25">
      <c r="A511" s="46" t="s">
        <v>349</v>
      </c>
      <c r="B511" s="20" t="s">
        <v>1222</v>
      </c>
      <c r="C511" s="40" t="s">
        <v>271</v>
      </c>
      <c r="D511" s="40" t="s">
        <v>222</v>
      </c>
      <c r="E511" s="20" t="s">
        <v>216</v>
      </c>
      <c r="F511" s="2"/>
      <c r="G511" s="10">
        <f>'пр.6.1.ведом.22-23'!G310</f>
        <v>1250</v>
      </c>
      <c r="H511" s="10">
        <f>'пр.6.1.ведом.22-23'!H310</f>
        <v>1250</v>
      </c>
    </row>
    <row r="512" spans="1:8" s="202" customFormat="1" ht="47.25" x14ac:dyDescent="0.25">
      <c r="A512" s="45" t="s">
        <v>268</v>
      </c>
      <c r="B512" s="20" t="s">
        <v>1222</v>
      </c>
      <c r="C512" s="40" t="s">
        <v>271</v>
      </c>
      <c r="D512" s="40" t="s">
        <v>222</v>
      </c>
      <c r="E512" s="20" t="s">
        <v>216</v>
      </c>
      <c r="F512" s="2">
        <v>903</v>
      </c>
      <c r="G512" s="10">
        <f>G511</f>
        <v>1250</v>
      </c>
      <c r="H512" s="10">
        <f>H511</f>
        <v>1250</v>
      </c>
    </row>
    <row r="513" spans="1:8" s="202" customFormat="1" ht="31.5" hidden="1" x14ac:dyDescent="0.25">
      <c r="A513" s="25" t="s">
        <v>138</v>
      </c>
      <c r="B513" s="20" t="s">
        <v>1222</v>
      </c>
      <c r="C513" s="40" t="s">
        <v>271</v>
      </c>
      <c r="D513" s="40" t="s">
        <v>222</v>
      </c>
      <c r="E513" s="20" t="s">
        <v>139</v>
      </c>
      <c r="F513" s="2"/>
      <c r="G513" s="10">
        <f>G514</f>
        <v>0</v>
      </c>
      <c r="H513" s="10">
        <f>H514</f>
        <v>0</v>
      </c>
    </row>
    <row r="514" spans="1:8" s="202" customFormat="1" ht="47.25" hidden="1" x14ac:dyDescent="0.25">
      <c r="A514" s="25" t="s">
        <v>140</v>
      </c>
      <c r="B514" s="20" t="s">
        <v>1222</v>
      </c>
      <c r="C514" s="40" t="s">
        <v>271</v>
      </c>
      <c r="D514" s="40" t="s">
        <v>222</v>
      </c>
      <c r="E514" s="20" t="s">
        <v>141</v>
      </c>
      <c r="F514" s="2"/>
      <c r="G514" s="10">
        <f>'пр.6.1.ведом.22-23'!G312</f>
        <v>0</v>
      </c>
      <c r="H514" s="10">
        <f>'пр.6.1.ведом.22-23'!H312</f>
        <v>0</v>
      </c>
    </row>
    <row r="515" spans="1:8" s="202" customFormat="1" ht="47.25" hidden="1" x14ac:dyDescent="0.25">
      <c r="A515" s="45" t="s">
        <v>268</v>
      </c>
      <c r="B515" s="20" t="s">
        <v>1222</v>
      </c>
      <c r="C515" s="40" t="s">
        <v>271</v>
      </c>
      <c r="D515" s="40" t="s">
        <v>222</v>
      </c>
      <c r="E515" s="20" t="s">
        <v>141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305</v>
      </c>
      <c r="B516" s="20" t="s">
        <v>1220</v>
      </c>
      <c r="C516" s="40" t="s">
        <v>306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307</v>
      </c>
      <c r="B517" s="20" t="s">
        <v>1220</v>
      </c>
      <c r="C517" s="40" t="s">
        <v>306</v>
      </c>
      <c r="D517" s="40" t="s">
        <v>125</v>
      </c>
      <c r="E517" s="73"/>
      <c r="F517" s="2"/>
      <c r="G517" s="10">
        <f>G518</f>
        <v>1380</v>
      </c>
      <c r="H517" s="10">
        <f>H518</f>
        <v>1380</v>
      </c>
    </row>
    <row r="518" spans="1:8" ht="47.85" customHeight="1" x14ac:dyDescent="0.25">
      <c r="A518" s="31" t="s">
        <v>826</v>
      </c>
      <c r="B518" s="20" t="s">
        <v>1222</v>
      </c>
      <c r="C518" s="40" t="s">
        <v>306</v>
      </c>
      <c r="D518" s="40" t="s">
        <v>125</v>
      </c>
      <c r="E518" s="40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25" t="s">
        <v>134</v>
      </c>
      <c r="B519" s="20" t="s">
        <v>1222</v>
      </c>
      <c r="C519" s="40" t="s">
        <v>306</v>
      </c>
      <c r="D519" s="40" t="s">
        <v>125</v>
      </c>
      <c r="E519" s="40" t="s">
        <v>135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215</v>
      </c>
      <c r="B520" s="20" t="s">
        <v>1222</v>
      </c>
      <c r="C520" s="40" t="s">
        <v>306</v>
      </c>
      <c r="D520" s="40" t="s">
        <v>125</v>
      </c>
      <c r="E520" s="40" t="s">
        <v>216</v>
      </c>
      <c r="F520" s="2"/>
      <c r="G520" s="10">
        <f>'пр.6.1.ведом.22-23'!G371</f>
        <v>0</v>
      </c>
      <c r="H520" s="10">
        <f>'пр.6.1.ведом.22-23'!H371</f>
        <v>0</v>
      </c>
    </row>
    <row r="521" spans="1:8" ht="47.25" hidden="1" x14ac:dyDescent="0.25">
      <c r="A521" s="45" t="s">
        <v>268</v>
      </c>
      <c r="B521" s="20" t="s">
        <v>1222</v>
      </c>
      <c r="C521" s="40" t="s">
        <v>306</v>
      </c>
      <c r="D521" s="40" t="s">
        <v>125</v>
      </c>
      <c r="E521" s="40" t="s">
        <v>216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138</v>
      </c>
      <c r="B522" s="20" t="s">
        <v>1222</v>
      </c>
      <c r="C522" s="40" t="s">
        <v>306</v>
      </c>
      <c r="D522" s="40" t="s">
        <v>125</v>
      </c>
      <c r="E522" s="40" t="s">
        <v>139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25" t="s">
        <v>140</v>
      </c>
      <c r="B523" s="20" t="s">
        <v>1222</v>
      </c>
      <c r="C523" s="40" t="s">
        <v>306</v>
      </c>
      <c r="D523" s="40" t="s">
        <v>125</v>
      </c>
      <c r="E523" s="40" t="s">
        <v>141</v>
      </c>
      <c r="F523" s="2"/>
      <c r="G523" s="10">
        <f>'пр.6.1.ведом.22-23'!G373</f>
        <v>1380</v>
      </c>
      <c r="H523" s="10">
        <f>'пр.6.1.ведом.22-23'!H373</f>
        <v>1380</v>
      </c>
    </row>
    <row r="524" spans="1:8" ht="47.25" x14ac:dyDescent="0.25">
      <c r="A524" s="45" t="s">
        <v>268</v>
      </c>
      <c r="B524" s="20" t="s">
        <v>1222</v>
      </c>
      <c r="C524" s="40" t="s">
        <v>306</v>
      </c>
      <c r="D524" s="40" t="s">
        <v>125</v>
      </c>
      <c r="E524" s="40" t="s">
        <v>141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23" t="s">
        <v>957</v>
      </c>
      <c r="B525" s="24" t="s">
        <v>1223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s="202" customFormat="1" ht="15.75" x14ac:dyDescent="0.25">
      <c r="A526" s="25" t="s">
        <v>270</v>
      </c>
      <c r="B526" s="20" t="s">
        <v>1223</v>
      </c>
      <c r="C526" s="40" t="s">
        <v>271</v>
      </c>
      <c r="D526" s="40"/>
      <c r="E526" s="40"/>
      <c r="F526" s="2"/>
      <c r="G526" s="10">
        <f t="shared" ref="G526:H529" si="70">G527</f>
        <v>506</v>
      </c>
      <c r="H526" s="10">
        <f t="shared" si="70"/>
        <v>506</v>
      </c>
    </row>
    <row r="527" spans="1:8" s="202" customFormat="1" ht="15.75" x14ac:dyDescent="0.25">
      <c r="A527" s="25" t="s">
        <v>272</v>
      </c>
      <c r="B527" s="20" t="s">
        <v>1223</v>
      </c>
      <c r="C527" s="40" t="s">
        <v>271</v>
      </c>
      <c r="D527" s="40" t="s">
        <v>222</v>
      </c>
      <c r="E527" s="40"/>
      <c r="F527" s="2"/>
      <c r="G527" s="10">
        <f t="shared" si="70"/>
        <v>506</v>
      </c>
      <c r="H527" s="10">
        <f t="shared" si="70"/>
        <v>506</v>
      </c>
    </row>
    <row r="528" spans="1:8" s="202" customFormat="1" ht="47.25" x14ac:dyDescent="0.25">
      <c r="A528" s="25" t="s">
        <v>849</v>
      </c>
      <c r="B528" s="20" t="s">
        <v>1224</v>
      </c>
      <c r="C528" s="40" t="s">
        <v>271</v>
      </c>
      <c r="D528" s="40" t="s">
        <v>222</v>
      </c>
      <c r="E528" s="20"/>
      <c r="F528" s="2"/>
      <c r="G528" s="10">
        <f t="shared" si="70"/>
        <v>506</v>
      </c>
      <c r="H528" s="10">
        <f t="shared" si="70"/>
        <v>506</v>
      </c>
    </row>
    <row r="529" spans="1:8" s="202" customFormat="1" ht="94.5" x14ac:dyDescent="0.25">
      <c r="A529" s="25" t="s">
        <v>134</v>
      </c>
      <c r="B529" s="20" t="s">
        <v>1224</v>
      </c>
      <c r="C529" s="40" t="s">
        <v>271</v>
      </c>
      <c r="D529" s="40" t="s">
        <v>222</v>
      </c>
      <c r="E529" s="20" t="s">
        <v>135</v>
      </c>
      <c r="F529" s="2"/>
      <c r="G529" s="10">
        <f t="shared" si="70"/>
        <v>506</v>
      </c>
      <c r="H529" s="10">
        <f t="shared" si="70"/>
        <v>506</v>
      </c>
    </row>
    <row r="530" spans="1:8" s="202" customFormat="1" ht="31.5" x14ac:dyDescent="0.25">
      <c r="A530" s="25" t="s">
        <v>136</v>
      </c>
      <c r="B530" s="20" t="s">
        <v>1224</v>
      </c>
      <c r="C530" s="40" t="s">
        <v>271</v>
      </c>
      <c r="D530" s="40" t="s">
        <v>222</v>
      </c>
      <c r="E530" s="20" t="s">
        <v>216</v>
      </c>
      <c r="F530" s="2"/>
      <c r="G530" s="10">
        <f>'пр.6.1.ведом.22-23'!G316</f>
        <v>506</v>
      </c>
      <c r="H530" s="10">
        <f>'пр.6.1.ведом.22-23'!H316</f>
        <v>506</v>
      </c>
    </row>
    <row r="531" spans="1:8" s="202" customFormat="1" ht="47.25" x14ac:dyDescent="0.25">
      <c r="A531" s="45" t="s">
        <v>268</v>
      </c>
      <c r="B531" s="20" t="s">
        <v>1224</v>
      </c>
      <c r="C531" s="40" t="s">
        <v>271</v>
      </c>
      <c r="D531" s="40" t="s">
        <v>222</v>
      </c>
      <c r="E531" s="20" t="s">
        <v>216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305</v>
      </c>
      <c r="B532" s="20" t="s">
        <v>1223</v>
      </c>
      <c r="C532" s="40" t="s">
        <v>306</v>
      </c>
      <c r="D532" s="73"/>
      <c r="E532" s="73"/>
      <c r="F532" s="2"/>
      <c r="G532" s="10">
        <f t="shared" ref="G532:H535" si="71">G533</f>
        <v>875</v>
      </c>
      <c r="H532" s="10">
        <f t="shared" si="71"/>
        <v>875</v>
      </c>
    </row>
    <row r="533" spans="1:8" ht="15.75" x14ac:dyDescent="0.25">
      <c r="A533" s="73" t="s">
        <v>307</v>
      </c>
      <c r="B533" s="20" t="s">
        <v>1223</v>
      </c>
      <c r="C533" s="40" t="s">
        <v>306</v>
      </c>
      <c r="D533" s="40" t="s">
        <v>125</v>
      </c>
      <c r="E533" s="73"/>
      <c r="F533" s="2"/>
      <c r="G533" s="10">
        <f t="shared" si="71"/>
        <v>875</v>
      </c>
      <c r="H533" s="10">
        <f t="shared" si="71"/>
        <v>875</v>
      </c>
    </row>
    <row r="534" spans="1:8" ht="47.25" x14ac:dyDescent="0.25">
      <c r="A534" s="25" t="s">
        <v>849</v>
      </c>
      <c r="B534" s="20" t="s">
        <v>1224</v>
      </c>
      <c r="C534" s="40" t="s">
        <v>306</v>
      </c>
      <c r="D534" s="40" t="s">
        <v>125</v>
      </c>
      <c r="E534" s="40"/>
      <c r="F534" s="2"/>
      <c r="G534" s="10">
        <f t="shared" si="71"/>
        <v>875</v>
      </c>
      <c r="H534" s="10">
        <f t="shared" si="71"/>
        <v>875</v>
      </c>
    </row>
    <row r="535" spans="1:8" ht="94.5" x14ac:dyDescent="0.25">
      <c r="A535" s="25" t="s">
        <v>134</v>
      </c>
      <c r="B535" s="20" t="s">
        <v>1224</v>
      </c>
      <c r="C535" s="40" t="s">
        <v>306</v>
      </c>
      <c r="D535" s="40" t="s">
        <v>125</v>
      </c>
      <c r="E535" s="40" t="s">
        <v>135</v>
      </c>
      <c r="F535" s="2"/>
      <c r="G535" s="10">
        <f t="shared" si="71"/>
        <v>875</v>
      </c>
      <c r="H535" s="10">
        <f t="shared" si="71"/>
        <v>875</v>
      </c>
    </row>
    <row r="536" spans="1:8" ht="31.5" x14ac:dyDescent="0.25">
      <c r="A536" s="25" t="s">
        <v>136</v>
      </c>
      <c r="B536" s="20" t="s">
        <v>1224</v>
      </c>
      <c r="C536" s="40" t="s">
        <v>306</v>
      </c>
      <c r="D536" s="40" t="s">
        <v>125</v>
      </c>
      <c r="E536" s="40" t="s">
        <v>216</v>
      </c>
      <c r="F536" s="2"/>
      <c r="G536" s="10">
        <f>'пр.6.1.ведом.22-23'!G377</f>
        <v>875</v>
      </c>
      <c r="H536" s="10">
        <f>'пр.6.1.ведом.22-23'!H377</f>
        <v>875</v>
      </c>
    </row>
    <row r="537" spans="1:8" ht="47.25" x14ac:dyDescent="0.25">
      <c r="A537" s="45" t="s">
        <v>268</v>
      </c>
      <c r="B537" s="20" t="s">
        <v>1224</v>
      </c>
      <c r="C537" s="40" t="s">
        <v>306</v>
      </c>
      <c r="D537" s="40" t="s">
        <v>125</v>
      </c>
      <c r="E537" s="40" t="s">
        <v>216</v>
      </c>
      <c r="F537" s="2">
        <v>903</v>
      </c>
      <c r="G537" s="10">
        <f>G536</f>
        <v>875</v>
      </c>
      <c r="H537" s="10">
        <f>H536</f>
        <v>875</v>
      </c>
    </row>
    <row r="538" spans="1:8" s="202" customFormat="1" ht="15.75" x14ac:dyDescent="0.25">
      <c r="A538" s="68" t="s">
        <v>589</v>
      </c>
      <c r="B538" s="20" t="s">
        <v>1223</v>
      </c>
      <c r="C538" s="40" t="s">
        <v>245</v>
      </c>
      <c r="D538" s="73"/>
      <c r="E538" s="73"/>
      <c r="F538" s="2"/>
      <c r="G538" s="10">
        <f t="shared" ref="G538:H541" si="72">G539</f>
        <v>276</v>
      </c>
      <c r="H538" s="10">
        <f t="shared" si="72"/>
        <v>276</v>
      </c>
    </row>
    <row r="539" spans="1:8" s="202" customFormat="1" ht="15.75" x14ac:dyDescent="0.25">
      <c r="A539" s="25" t="s">
        <v>590</v>
      </c>
      <c r="B539" s="20" t="s">
        <v>1223</v>
      </c>
      <c r="C539" s="40" t="s">
        <v>245</v>
      </c>
      <c r="D539" s="40" t="s">
        <v>220</v>
      </c>
      <c r="E539" s="73"/>
      <c r="F539" s="2"/>
      <c r="G539" s="10">
        <f t="shared" si="72"/>
        <v>276</v>
      </c>
      <c r="H539" s="10">
        <f t="shared" si="72"/>
        <v>276</v>
      </c>
    </row>
    <row r="540" spans="1:8" s="202" customFormat="1" ht="47.25" x14ac:dyDescent="0.25">
      <c r="A540" s="25" t="s">
        <v>849</v>
      </c>
      <c r="B540" s="20" t="s">
        <v>1224</v>
      </c>
      <c r="C540" s="40" t="s">
        <v>245</v>
      </c>
      <c r="D540" s="40" t="s">
        <v>220</v>
      </c>
      <c r="E540" s="40"/>
      <c r="F540" s="2"/>
      <c r="G540" s="10">
        <f t="shared" si="72"/>
        <v>276</v>
      </c>
      <c r="H540" s="10">
        <f t="shared" si="72"/>
        <v>276</v>
      </c>
    </row>
    <row r="541" spans="1:8" s="202" customFormat="1" ht="94.5" x14ac:dyDescent="0.25">
      <c r="A541" s="25" t="s">
        <v>134</v>
      </c>
      <c r="B541" s="20" t="s">
        <v>1224</v>
      </c>
      <c r="C541" s="40" t="s">
        <v>245</v>
      </c>
      <c r="D541" s="40" t="s">
        <v>220</v>
      </c>
      <c r="E541" s="40" t="s">
        <v>135</v>
      </c>
      <c r="F541" s="2"/>
      <c r="G541" s="10">
        <f t="shared" si="72"/>
        <v>276</v>
      </c>
      <c r="H541" s="10">
        <f t="shared" si="72"/>
        <v>276</v>
      </c>
    </row>
    <row r="542" spans="1:8" s="202" customFormat="1" ht="31.5" x14ac:dyDescent="0.25">
      <c r="A542" s="25" t="s">
        <v>136</v>
      </c>
      <c r="B542" s="20" t="s">
        <v>1224</v>
      </c>
      <c r="C542" s="40" t="s">
        <v>245</v>
      </c>
      <c r="D542" s="40" t="s">
        <v>220</v>
      </c>
      <c r="E542" s="40" t="s">
        <v>216</v>
      </c>
      <c r="F542" s="2"/>
      <c r="G542" s="10">
        <f>'пр.6.1.ведом.22-23'!G482</f>
        <v>276</v>
      </c>
      <c r="H542" s="10">
        <f>'пр.6.1.ведом.22-23'!H482</f>
        <v>276</v>
      </c>
    </row>
    <row r="543" spans="1:8" s="202" customFormat="1" ht="47.25" x14ac:dyDescent="0.25">
      <c r="A543" s="45" t="s">
        <v>268</v>
      </c>
      <c r="B543" s="20" t="s">
        <v>1224</v>
      </c>
      <c r="C543" s="40" t="s">
        <v>245</v>
      </c>
      <c r="D543" s="40" t="s">
        <v>220</v>
      </c>
      <c r="E543" s="40" t="s">
        <v>216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13" t="s">
        <v>910</v>
      </c>
      <c r="B544" s="24" t="s">
        <v>1225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s="202" customFormat="1" ht="15.75" x14ac:dyDescent="0.25">
      <c r="A545" s="25" t="s">
        <v>270</v>
      </c>
      <c r="B545" s="20" t="s">
        <v>1225</v>
      </c>
      <c r="C545" s="40" t="s">
        <v>271</v>
      </c>
      <c r="D545" s="40"/>
      <c r="E545" s="40"/>
      <c r="F545" s="2"/>
      <c r="G545" s="10">
        <f>G546</f>
        <v>1075.4000000000001</v>
      </c>
      <c r="H545" s="10">
        <f>H546</f>
        <v>1075.4000000000001</v>
      </c>
    </row>
    <row r="546" spans="1:8" s="202" customFormat="1" ht="15.75" x14ac:dyDescent="0.25">
      <c r="A546" s="25" t="s">
        <v>272</v>
      </c>
      <c r="B546" s="20" t="s">
        <v>1225</v>
      </c>
      <c r="C546" s="40" t="s">
        <v>271</v>
      </c>
      <c r="D546" s="40" t="s">
        <v>222</v>
      </c>
      <c r="E546" s="40"/>
      <c r="F546" s="2"/>
      <c r="G546" s="10">
        <f>G551+G555+G547</f>
        <v>1075.4000000000001</v>
      </c>
      <c r="H546" s="10">
        <f>H551+H555+H547</f>
        <v>1075.4000000000001</v>
      </c>
    </row>
    <row r="547" spans="1:8" s="202" customFormat="1" ht="110.25" x14ac:dyDescent="0.25">
      <c r="A547" s="31" t="s">
        <v>300</v>
      </c>
      <c r="B547" s="20" t="s">
        <v>1420</v>
      </c>
      <c r="C547" s="40" t="s">
        <v>271</v>
      </c>
      <c r="D547" s="40" t="s">
        <v>222</v>
      </c>
      <c r="E547" s="20"/>
      <c r="F547" s="2"/>
      <c r="G547" s="10">
        <f>G548</f>
        <v>671</v>
      </c>
      <c r="H547" s="10">
        <f>H548</f>
        <v>671</v>
      </c>
    </row>
    <row r="548" spans="1:8" s="202" customFormat="1" ht="94.5" x14ac:dyDescent="0.25">
      <c r="A548" s="25" t="s">
        <v>134</v>
      </c>
      <c r="B548" s="20" t="s">
        <v>1420</v>
      </c>
      <c r="C548" s="40" t="s">
        <v>271</v>
      </c>
      <c r="D548" s="40" t="s">
        <v>222</v>
      </c>
      <c r="E548" s="20" t="s">
        <v>135</v>
      </c>
      <c r="F548" s="2"/>
      <c r="G548" s="10">
        <f>G549</f>
        <v>671</v>
      </c>
      <c r="H548" s="10">
        <f>H549</f>
        <v>671</v>
      </c>
    </row>
    <row r="549" spans="1:8" s="202" customFormat="1" ht="31.5" x14ac:dyDescent="0.25">
      <c r="A549" s="46" t="s">
        <v>349</v>
      </c>
      <c r="B549" s="20" t="s">
        <v>1420</v>
      </c>
      <c r="C549" s="40" t="s">
        <v>271</v>
      </c>
      <c r="D549" s="40" t="s">
        <v>222</v>
      </c>
      <c r="E549" s="20" t="s">
        <v>216</v>
      </c>
      <c r="F549" s="2"/>
      <c r="G549" s="10">
        <f>'пр.6.1.ведом.22-23'!G320</f>
        <v>671</v>
      </c>
      <c r="H549" s="10">
        <f>'пр.6.1.ведом.22-23'!H320</f>
        <v>671</v>
      </c>
    </row>
    <row r="550" spans="1:8" s="202" customFormat="1" ht="47.25" x14ac:dyDescent="0.25">
      <c r="A550" s="45" t="s">
        <v>268</v>
      </c>
      <c r="B550" s="20" t="s">
        <v>1420</v>
      </c>
      <c r="C550" s="40" t="s">
        <v>271</v>
      </c>
      <c r="D550" s="40" t="s">
        <v>222</v>
      </c>
      <c r="E550" s="20" t="s">
        <v>216</v>
      </c>
      <c r="F550" s="2">
        <v>903</v>
      </c>
      <c r="G550" s="10">
        <f>G549</f>
        <v>671</v>
      </c>
      <c r="H550" s="10">
        <f>H549</f>
        <v>671</v>
      </c>
    </row>
    <row r="551" spans="1:8" s="202" customFormat="1" ht="78.75" x14ac:dyDescent="0.25">
      <c r="A551" s="31" t="s">
        <v>296</v>
      </c>
      <c r="B551" s="20" t="s">
        <v>1226</v>
      </c>
      <c r="C551" s="40" t="s">
        <v>271</v>
      </c>
      <c r="D551" s="40" t="s">
        <v>222</v>
      </c>
      <c r="E551" s="20"/>
      <c r="F551" s="2"/>
      <c r="G551" s="10">
        <f>G552</f>
        <v>106</v>
      </c>
      <c r="H551" s="10">
        <f>H552</f>
        <v>106</v>
      </c>
    </row>
    <row r="552" spans="1:8" s="202" customFormat="1" ht="94.5" x14ac:dyDescent="0.25">
      <c r="A552" s="25" t="s">
        <v>134</v>
      </c>
      <c r="B552" s="20" t="s">
        <v>1226</v>
      </c>
      <c r="C552" s="40" t="s">
        <v>271</v>
      </c>
      <c r="D552" s="40" t="s">
        <v>222</v>
      </c>
      <c r="E552" s="20" t="s">
        <v>135</v>
      </c>
      <c r="F552" s="2"/>
      <c r="G552" s="10">
        <f>G553</f>
        <v>106</v>
      </c>
      <c r="H552" s="10">
        <f>H553</f>
        <v>106</v>
      </c>
    </row>
    <row r="553" spans="1:8" s="202" customFormat="1" ht="31.5" x14ac:dyDescent="0.25">
      <c r="A553" s="46" t="s">
        <v>349</v>
      </c>
      <c r="B553" s="20" t="s">
        <v>1226</v>
      </c>
      <c r="C553" s="40" t="s">
        <v>271</v>
      </c>
      <c r="D553" s="40" t="s">
        <v>222</v>
      </c>
      <c r="E553" s="20" t="s">
        <v>216</v>
      </c>
      <c r="F553" s="2"/>
      <c r="G553" s="10">
        <f>'пр.6.1.ведом.22-23'!G323</f>
        <v>106</v>
      </c>
      <c r="H553" s="10">
        <f>'пр.6.1.ведом.22-23'!H323</f>
        <v>106</v>
      </c>
    </row>
    <row r="554" spans="1:8" s="202" customFormat="1" ht="47.25" x14ac:dyDescent="0.25">
      <c r="A554" s="45" t="s">
        <v>268</v>
      </c>
      <c r="B554" s="20" t="s">
        <v>1226</v>
      </c>
      <c r="C554" s="40" t="s">
        <v>271</v>
      </c>
      <c r="D554" s="40" t="s">
        <v>222</v>
      </c>
      <c r="E554" s="20" t="s">
        <v>216</v>
      </c>
      <c r="F554" s="2">
        <v>903</v>
      </c>
      <c r="G554" s="10">
        <f>G553</f>
        <v>106</v>
      </c>
      <c r="H554" s="10">
        <f>H553</f>
        <v>106</v>
      </c>
    </row>
    <row r="555" spans="1:8" s="202" customFormat="1" ht="94.5" x14ac:dyDescent="0.25">
      <c r="A555" s="31" t="s">
        <v>298</v>
      </c>
      <c r="B555" s="20" t="s">
        <v>1227</v>
      </c>
      <c r="C555" s="40" t="s">
        <v>271</v>
      </c>
      <c r="D555" s="40" t="s">
        <v>222</v>
      </c>
      <c r="E555" s="20"/>
      <c r="F555" s="2"/>
      <c r="G555" s="10">
        <f>G556</f>
        <v>298.39999999999998</v>
      </c>
      <c r="H555" s="10">
        <f>H556</f>
        <v>298.39999999999998</v>
      </c>
    </row>
    <row r="556" spans="1:8" s="202" customFormat="1" ht="94.5" x14ac:dyDescent="0.25">
      <c r="A556" s="25" t="s">
        <v>134</v>
      </c>
      <c r="B556" s="20" t="s">
        <v>1227</v>
      </c>
      <c r="C556" s="40" t="s">
        <v>271</v>
      </c>
      <c r="D556" s="40" t="s">
        <v>222</v>
      </c>
      <c r="E556" s="20" t="s">
        <v>135</v>
      </c>
      <c r="F556" s="2"/>
      <c r="G556" s="10">
        <f>G557</f>
        <v>298.39999999999998</v>
      </c>
      <c r="H556" s="10">
        <f>H557</f>
        <v>298.39999999999998</v>
      </c>
    </row>
    <row r="557" spans="1:8" s="202" customFormat="1" ht="31.5" x14ac:dyDescent="0.25">
      <c r="A557" s="46" t="s">
        <v>349</v>
      </c>
      <c r="B557" s="20" t="s">
        <v>1227</v>
      </c>
      <c r="C557" s="40" t="s">
        <v>271</v>
      </c>
      <c r="D557" s="40" t="s">
        <v>222</v>
      </c>
      <c r="E557" s="20" t="s">
        <v>216</v>
      </c>
      <c r="F557" s="2"/>
      <c r="G557" s="10">
        <f>'пр.6.1.ведом.22-23'!G326</f>
        <v>298.39999999999998</v>
      </c>
      <c r="H557" s="10">
        <f>'пр.6.1.ведом.22-23'!H326</f>
        <v>298.39999999999998</v>
      </c>
    </row>
    <row r="558" spans="1:8" s="202" customFormat="1" ht="47.25" x14ac:dyDescent="0.25">
      <c r="A558" s="45" t="s">
        <v>268</v>
      </c>
      <c r="B558" s="20" t="s">
        <v>1227</v>
      </c>
      <c r="C558" s="40" t="s">
        <v>271</v>
      </c>
      <c r="D558" s="40" t="s">
        <v>222</v>
      </c>
      <c r="E558" s="20" t="s">
        <v>216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305</v>
      </c>
      <c r="B559" s="20" t="s">
        <v>1225</v>
      </c>
      <c r="C559" s="40" t="s">
        <v>306</v>
      </c>
      <c r="D559" s="73"/>
      <c r="E559" s="73"/>
      <c r="F559" s="2"/>
      <c r="G559" s="10">
        <f t="shared" ref="G559:H559" si="73">G560</f>
        <v>2442</v>
      </c>
      <c r="H559" s="10">
        <f t="shared" si="73"/>
        <v>2442</v>
      </c>
    </row>
    <row r="560" spans="1:8" ht="15.75" x14ac:dyDescent="0.25">
      <c r="A560" s="73" t="s">
        <v>307</v>
      </c>
      <c r="B560" s="20" t="s">
        <v>1225</v>
      </c>
      <c r="C560" s="40" t="s">
        <v>306</v>
      </c>
      <c r="D560" s="40" t="s">
        <v>125</v>
      </c>
      <c r="E560" s="73"/>
      <c r="F560" s="2"/>
      <c r="G560" s="10">
        <f>G561+G565</f>
        <v>2442</v>
      </c>
      <c r="H560" s="10">
        <f>H561+H565</f>
        <v>2442</v>
      </c>
    </row>
    <row r="561" spans="1:8" s="202" customFormat="1" ht="110.25" x14ac:dyDescent="0.25">
      <c r="A561" s="31" t="s">
        <v>300</v>
      </c>
      <c r="B561" s="20" t="s">
        <v>1420</v>
      </c>
      <c r="C561" s="40" t="s">
        <v>306</v>
      </c>
      <c r="D561" s="40" t="s">
        <v>125</v>
      </c>
      <c r="E561" s="40"/>
      <c r="F561" s="2"/>
      <c r="G561" s="10">
        <f>G562</f>
        <v>2100.6</v>
      </c>
      <c r="H561" s="10">
        <f>H562</f>
        <v>2100.6</v>
      </c>
    </row>
    <row r="562" spans="1:8" s="202" customFormat="1" ht="94.5" x14ac:dyDescent="0.25">
      <c r="A562" s="25" t="s">
        <v>134</v>
      </c>
      <c r="B562" s="20" t="s">
        <v>1420</v>
      </c>
      <c r="C562" s="40" t="s">
        <v>306</v>
      </c>
      <c r="D562" s="40" t="s">
        <v>125</v>
      </c>
      <c r="E562" s="40" t="s">
        <v>135</v>
      </c>
      <c r="F562" s="2"/>
      <c r="G562" s="10">
        <f>G563</f>
        <v>2100.6</v>
      </c>
      <c r="H562" s="10">
        <f>H563</f>
        <v>2100.6</v>
      </c>
    </row>
    <row r="563" spans="1:8" s="202" customFormat="1" ht="31.5" x14ac:dyDescent="0.25">
      <c r="A563" s="25" t="s">
        <v>215</v>
      </c>
      <c r="B563" s="20" t="s">
        <v>1420</v>
      </c>
      <c r="C563" s="40" t="s">
        <v>306</v>
      </c>
      <c r="D563" s="40" t="s">
        <v>125</v>
      </c>
      <c r="E563" s="40" t="s">
        <v>216</v>
      </c>
      <c r="F563" s="2"/>
      <c r="G563" s="10">
        <f>'пр.6.1.ведом.22-23'!G381</f>
        <v>2100.6</v>
      </c>
      <c r="H563" s="10">
        <f>'пр.6.1.ведом.22-23'!H381</f>
        <v>2100.6</v>
      </c>
    </row>
    <row r="564" spans="1:8" s="202" customFormat="1" ht="47.25" x14ac:dyDescent="0.25">
      <c r="A564" s="45" t="s">
        <v>268</v>
      </c>
      <c r="B564" s="20" t="s">
        <v>1420</v>
      </c>
      <c r="C564" s="40" t="s">
        <v>306</v>
      </c>
      <c r="D564" s="40" t="s">
        <v>125</v>
      </c>
      <c r="E564" s="40" t="s">
        <v>216</v>
      </c>
      <c r="F564" s="2">
        <v>903</v>
      </c>
      <c r="G564" s="10">
        <f>G563</f>
        <v>2100.6</v>
      </c>
      <c r="H564" s="10">
        <f>H563</f>
        <v>2100.6</v>
      </c>
    </row>
    <row r="565" spans="1:8" s="202" customFormat="1" ht="94.5" x14ac:dyDescent="0.25">
      <c r="A565" s="25" t="s">
        <v>338</v>
      </c>
      <c r="B565" s="20" t="s">
        <v>1306</v>
      </c>
      <c r="C565" s="20" t="s">
        <v>306</v>
      </c>
      <c r="D565" s="20" t="s">
        <v>125</v>
      </c>
      <c r="E565" s="20"/>
      <c r="F565" s="20"/>
      <c r="G565" s="10">
        <f>G566</f>
        <v>341.4</v>
      </c>
      <c r="H565" s="10">
        <f>H566</f>
        <v>341.4</v>
      </c>
    </row>
    <row r="566" spans="1:8" s="202" customFormat="1" ht="94.5" x14ac:dyDescent="0.25">
      <c r="A566" s="25" t="s">
        <v>134</v>
      </c>
      <c r="B566" s="20" t="s">
        <v>1306</v>
      </c>
      <c r="C566" s="20" t="s">
        <v>306</v>
      </c>
      <c r="D566" s="20" t="s">
        <v>125</v>
      </c>
      <c r="E566" s="20" t="s">
        <v>135</v>
      </c>
      <c r="F566" s="20"/>
      <c r="G566" s="10">
        <f>G567</f>
        <v>341.4</v>
      </c>
      <c r="H566" s="10">
        <f>H567</f>
        <v>341.4</v>
      </c>
    </row>
    <row r="567" spans="1:8" s="202" customFormat="1" ht="31.5" x14ac:dyDescent="0.25">
      <c r="A567" s="25" t="s">
        <v>215</v>
      </c>
      <c r="B567" s="20" t="s">
        <v>1306</v>
      </c>
      <c r="C567" s="20" t="s">
        <v>306</v>
      </c>
      <c r="D567" s="20" t="s">
        <v>125</v>
      </c>
      <c r="E567" s="20" t="s">
        <v>216</v>
      </c>
      <c r="F567" s="20"/>
      <c r="G567" s="10">
        <f>'пр.6.1.ведом.22-23'!G384</f>
        <v>341.4</v>
      </c>
      <c r="H567" s="10">
        <f>'пр.6.1.ведом.22-23'!H384</f>
        <v>341.4</v>
      </c>
    </row>
    <row r="568" spans="1:8" s="202" customFormat="1" ht="47.25" x14ac:dyDescent="0.25">
      <c r="A568" s="45" t="s">
        <v>268</v>
      </c>
      <c r="B568" s="20" t="s">
        <v>1306</v>
      </c>
      <c r="C568" s="20" t="s">
        <v>306</v>
      </c>
      <c r="D568" s="20" t="s">
        <v>125</v>
      </c>
      <c r="E568" s="20" t="s">
        <v>216</v>
      </c>
      <c r="F568" s="20" t="s">
        <v>635</v>
      </c>
      <c r="G568" s="10">
        <f>G567</f>
        <v>341.4</v>
      </c>
      <c r="H568" s="10">
        <f>H567</f>
        <v>341.4</v>
      </c>
    </row>
    <row r="569" spans="1:8" s="202" customFormat="1" ht="47.25" x14ac:dyDescent="0.25">
      <c r="A569" s="23" t="s">
        <v>912</v>
      </c>
      <c r="B569" s="24" t="s">
        <v>1230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s="202" customFormat="1" ht="15.75" x14ac:dyDescent="0.25">
      <c r="A570" s="73" t="s">
        <v>305</v>
      </c>
      <c r="B570" s="20" t="s">
        <v>1230</v>
      </c>
      <c r="C570" s="40" t="s">
        <v>306</v>
      </c>
      <c r="D570" s="40"/>
      <c r="E570" s="40"/>
      <c r="F570" s="74"/>
      <c r="G570" s="10">
        <f t="shared" ref="G570:H570" si="74">G571</f>
        <v>50</v>
      </c>
      <c r="H570" s="10">
        <f t="shared" si="74"/>
        <v>50</v>
      </c>
    </row>
    <row r="571" spans="1:8" s="202" customFormat="1" ht="15.75" x14ac:dyDescent="0.25">
      <c r="A571" s="73" t="s">
        <v>307</v>
      </c>
      <c r="B571" s="20" t="s">
        <v>1230</v>
      </c>
      <c r="C571" s="40" t="s">
        <v>306</v>
      </c>
      <c r="D571" s="40" t="s">
        <v>125</v>
      </c>
      <c r="E571" s="40"/>
      <c r="F571" s="74"/>
      <c r="G571" s="10">
        <f t="shared" ref="G571:H573" si="75">G572</f>
        <v>50</v>
      </c>
      <c r="H571" s="10">
        <f t="shared" si="75"/>
        <v>50</v>
      </c>
    </row>
    <row r="572" spans="1:8" s="202" customFormat="1" ht="31.5" x14ac:dyDescent="0.25">
      <c r="A572" s="25" t="s">
        <v>831</v>
      </c>
      <c r="B572" s="20" t="s">
        <v>1231</v>
      </c>
      <c r="C572" s="40" t="s">
        <v>306</v>
      </c>
      <c r="D572" s="40" t="s">
        <v>125</v>
      </c>
      <c r="E572" s="40"/>
      <c r="F572" s="2"/>
      <c r="G572" s="10">
        <f t="shared" si="75"/>
        <v>50</v>
      </c>
      <c r="H572" s="10">
        <f t="shared" si="75"/>
        <v>50</v>
      </c>
    </row>
    <row r="573" spans="1:8" s="202" customFormat="1" ht="31.5" x14ac:dyDescent="0.25">
      <c r="A573" s="25" t="s">
        <v>138</v>
      </c>
      <c r="B573" s="20" t="s">
        <v>1231</v>
      </c>
      <c r="C573" s="40" t="s">
        <v>306</v>
      </c>
      <c r="D573" s="40" t="s">
        <v>125</v>
      </c>
      <c r="E573" s="40" t="s">
        <v>139</v>
      </c>
      <c r="F573" s="2"/>
      <c r="G573" s="10">
        <f t="shared" si="75"/>
        <v>50</v>
      </c>
      <c r="H573" s="10">
        <f t="shared" si="75"/>
        <v>50</v>
      </c>
    </row>
    <row r="574" spans="1:8" s="202" customFormat="1" ht="47.25" x14ac:dyDescent="0.25">
      <c r="A574" s="25" t="s">
        <v>140</v>
      </c>
      <c r="B574" s="20" t="s">
        <v>1231</v>
      </c>
      <c r="C574" s="40" t="s">
        <v>306</v>
      </c>
      <c r="D574" s="40" t="s">
        <v>125</v>
      </c>
      <c r="E574" s="40" t="s">
        <v>141</v>
      </c>
      <c r="F574" s="2"/>
      <c r="G574" s="10">
        <f>'пр.6.1.ведом.22-23'!G388</f>
        <v>50</v>
      </c>
      <c r="H574" s="10">
        <f>'пр.6.1.ведом.22-23'!H388</f>
        <v>50</v>
      </c>
    </row>
    <row r="575" spans="1:8" s="202" customFormat="1" ht="47.25" x14ac:dyDescent="0.25">
      <c r="A575" s="45" t="s">
        <v>268</v>
      </c>
      <c r="B575" s="20" t="s">
        <v>1231</v>
      </c>
      <c r="C575" s="40" t="s">
        <v>306</v>
      </c>
      <c r="D575" s="40" t="s">
        <v>125</v>
      </c>
      <c r="E575" s="40" t="s">
        <v>141</v>
      </c>
      <c r="F575" s="2">
        <v>903</v>
      </c>
      <c r="G575" s="10">
        <f>G574</f>
        <v>50</v>
      </c>
      <c r="H575" s="10">
        <f>H574</f>
        <v>50</v>
      </c>
    </row>
    <row r="576" spans="1:8" s="202" customFormat="1" ht="31.5" x14ac:dyDescent="0.25">
      <c r="A576" s="23" t="s">
        <v>1020</v>
      </c>
      <c r="B576" s="24" t="s">
        <v>1232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s="202" customFormat="1" ht="15.75" x14ac:dyDescent="0.25">
      <c r="A577" s="68" t="s">
        <v>305</v>
      </c>
      <c r="B577" s="20" t="s">
        <v>1232</v>
      </c>
      <c r="C577" s="40" t="s">
        <v>306</v>
      </c>
      <c r="D577" s="40"/>
      <c r="E577" s="40"/>
      <c r="F577" s="74"/>
      <c r="G577" s="10">
        <f t="shared" ref="G577:H577" si="76">G578</f>
        <v>68.7</v>
      </c>
      <c r="H577" s="10">
        <f t="shared" si="76"/>
        <v>68.7</v>
      </c>
    </row>
    <row r="578" spans="1:8" s="202" customFormat="1" ht="15.75" x14ac:dyDescent="0.25">
      <c r="A578" s="68" t="s">
        <v>307</v>
      </c>
      <c r="B578" s="20" t="s">
        <v>1232</v>
      </c>
      <c r="C578" s="40" t="s">
        <v>306</v>
      </c>
      <c r="D578" s="40" t="s">
        <v>125</v>
      </c>
      <c r="E578" s="40"/>
      <c r="F578" s="74"/>
      <c r="G578" s="10">
        <f t="shared" ref="G578:H580" si="77">G579</f>
        <v>68.7</v>
      </c>
      <c r="H578" s="10">
        <f t="shared" si="77"/>
        <v>68.7</v>
      </c>
    </row>
    <row r="579" spans="1:8" s="202" customFormat="1" ht="47.25" x14ac:dyDescent="0.25">
      <c r="A579" s="25" t="s">
        <v>1529</v>
      </c>
      <c r="B579" s="20" t="s">
        <v>1233</v>
      </c>
      <c r="C579" s="40" t="s">
        <v>306</v>
      </c>
      <c r="D579" s="40" t="s">
        <v>125</v>
      </c>
      <c r="E579" s="40"/>
      <c r="F579" s="2"/>
      <c r="G579" s="10">
        <f t="shared" si="77"/>
        <v>68.7</v>
      </c>
      <c r="H579" s="10">
        <f t="shared" si="77"/>
        <v>68.7</v>
      </c>
    </row>
    <row r="580" spans="1:8" s="202" customFormat="1" ht="31.5" x14ac:dyDescent="0.25">
      <c r="A580" s="25" t="s">
        <v>138</v>
      </c>
      <c r="B580" s="20" t="s">
        <v>1233</v>
      </c>
      <c r="C580" s="40" t="s">
        <v>306</v>
      </c>
      <c r="D580" s="40" t="s">
        <v>125</v>
      </c>
      <c r="E580" s="40" t="s">
        <v>139</v>
      </c>
      <c r="F580" s="2"/>
      <c r="G580" s="10">
        <f t="shared" si="77"/>
        <v>68.7</v>
      </c>
      <c r="H580" s="10">
        <f t="shared" si="77"/>
        <v>68.7</v>
      </c>
    </row>
    <row r="581" spans="1:8" s="202" customFormat="1" ht="47.25" x14ac:dyDescent="0.25">
      <c r="A581" s="25" t="s">
        <v>140</v>
      </c>
      <c r="B581" s="20" t="s">
        <v>1233</v>
      </c>
      <c r="C581" s="40" t="s">
        <v>306</v>
      </c>
      <c r="D581" s="40" t="s">
        <v>125</v>
      </c>
      <c r="E581" s="40" t="s">
        <v>141</v>
      </c>
      <c r="F581" s="2"/>
      <c r="G581" s="10">
        <f>'пр.6.1.ведом.22-23'!G392</f>
        <v>68.7</v>
      </c>
      <c r="H581" s="10">
        <f>'пр.6.1.ведом.22-23'!H392</f>
        <v>68.7</v>
      </c>
    </row>
    <row r="582" spans="1:8" s="202" customFormat="1" ht="47.25" x14ac:dyDescent="0.25">
      <c r="A582" s="45" t="s">
        <v>268</v>
      </c>
      <c r="B582" s="20" t="s">
        <v>1233</v>
      </c>
      <c r="C582" s="40" t="s">
        <v>306</v>
      </c>
      <c r="D582" s="40" t="s">
        <v>125</v>
      </c>
      <c r="E582" s="40" t="s">
        <v>141</v>
      </c>
      <c r="F582" s="2">
        <v>903</v>
      </c>
      <c r="G582" s="10">
        <f>G581</f>
        <v>68.7</v>
      </c>
      <c r="H582" s="10">
        <f>H581</f>
        <v>68.7</v>
      </c>
    </row>
    <row r="583" spans="1:8" s="202" customFormat="1" ht="36" customHeight="1" x14ac:dyDescent="0.25">
      <c r="A583" s="255" t="s">
        <v>1193</v>
      </c>
      <c r="B583" s="24" t="s">
        <v>1228</v>
      </c>
      <c r="C583" s="40"/>
      <c r="D583" s="73"/>
      <c r="E583" s="73"/>
      <c r="F583" s="2"/>
      <c r="G583" s="59">
        <f t="shared" ref="G583:H587" si="78">G584</f>
        <v>300</v>
      </c>
      <c r="H583" s="59">
        <f t="shared" si="78"/>
        <v>1500</v>
      </c>
    </row>
    <row r="584" spans="1:8" s="202" customFormat="1" ht="15.75" x14ac:dyDescent="0.25">
      <c r="A584" s="68" t="s">
        <v>305</v>
      </c>
      <c r="B584" s="20" t="s">
        <v>1228</v>
      </c>
      <c r="C584" s="40" t="s">
        <v>306</v>
      </c>
      <c r="D584" s="73"/>
      <c r="E584" s="73"/>
      <c r="F584" s="2"/>
      <c r="G584" s="10">
        <f t="shared" si="78"/>
        <v>300</v>
      </c>
      <c r="H584" s="10">
        <f t="shared" si="78"/>
        <v>1500</v>
      </c>
    </row>
    <row r="585" spans="1:8" s="202" customFormat="1" ht="15.75" x14ac:dyDescent="0.25">
      <c r="A585" s="68" t="s">
        <v>307</v>
      </c>
      <c r="B585" s="20" t="s">
        <v>1228</v>
      </c>
      <c r="C585" s="40" t="s">
        <v>306</v>
      </c>
      <c r="D585" s="40" t="s">
        <v>125</v>
      </c>
      <c r="E585" s="73"/>
      <c r="F585" s="2"/>
      <c r="G585" s="10">
        <f t="shared" si="78"/>
        <v>300</v>
      </c>
      <c r="H585" s="10">
        <f t="shared" si="78"/>
        <v>1500</v>
      </c>
    </row>
    <row r="586" spans="1:8" s="202" customFormat="1" ht="31.5" x14ac:dyDescent="0.25">
      <c r="A586" s="98" t="s">
        <v>1200</v>
      </c>
      <c r="B586" s="20" t="s">
        <v>1229</v>
      </c>
      <c r="C586" s="40" t="s">
        <v>306</v>
      </c>
      <c r="D586" s="40" t="s">
        <v>125</v>
      </c>
      <c r="E586" s="40"/>
      <c r="F586" s="2"/>
      <c r="G586" s="10">
        <f t="shared" si="78"/>
        <v>300</v>
      </c>
      <c r="H586" s="10">
        <f t="shared" si="78"/>
        <v>1500</v>
      </c>
    </row>
    <row r="587" spans="1:8" s="202" customFormat="1" ht="31.5" x14ac:dyDescent="0.25">
      <c r="A587" s="25" t="s">
        <v>138</v>
      </c>
      <c r="B587" s="20" t="s">
        <v>1229</v>
      </c>
      <c r="C587" s="40" t="s">
        <v>306</v>
      </c>
      <c r="D587" s="40" t="s">
        <v>125</v>
      </c>
      <c r="E587" s="40" t="s">
        <v>139</v>
      </c>
      <c r="F587" s="2"/>
      <c r="G587" s="10">
        <f t="shared" si="78"/>
        <v>300</v>
      </c>
      <c r="H587" s="10">
        <f t="shared" si="78"/>
        <v>1500</v>
      </c>
    </row>
    <row r="588" spans="1:8" s="202" customFormat="1" ht="47.25" x14ac:dyDescent="0.25">
      <c r="A588" s="25" t="s">
        <v>140</v>
      </c>
      <c r="B588" s="20" t="s">
        <v>1229</v>
      </c>
      <c r="C588" s="40" t="s">
        <v>306</v>
      </c>
      <c r="D588" s="40" t="s">
        <v>125</v>
      </c>
      <c r="E588" s="40" t="s">
        <v>141</v>
      </c>
      <c r="F588" s="2"/>
      <c r="G588" s="10">
        <f>'пр.6.1.ведом.22-23'!G396</f>
        <v>300</v>
      </c>
      <c r="H588" s="10">
        <f>'пр.6.1.ведом.22-23'!H396</f>
        <v>1500</v>
      </c>
    </row>
    <row r="589" spans="1:8" s="202" customFormat="1" ht="47.25" x14ac:dyDescent="0.25">
      <c r="A589" s="45" t="s">
        <v>268</v>
      </c>
      <c r="B589" s="20" t="s">
        <v>1229</v>
      </c>
      <c r="C589" s="40" t="s">
        <v>306</v>
      </c>
      <c r="D589" s="40" t="s">
        <v>125</v>
      </c>
      <c r="E589" s="40" t="s">
        <v>141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72" t="s">
        <v>1234</v>
      </c>
      <c r="B590" s="273"/>
      <c r="C590" s="20"/>
      <c r="D590" s="20"/>
      <c r="E590" s="40"/>
      <c r="F590" s="2"/>
      <c r="G590" s="59">
        <f t="shared" ref="G590:H594" si="79">G591</f>
        <v>0</v>
      </c>
      <c r="H590" s="59">
        <f t="shared" si="79"/>
        <v>0</v>
      </c>
    </row>
    <row r="591" spans="1:8" ht="15.75" hidden="1" x14ac:dyDescent="0.25">
      <c r="A591" s="68" t="s">
        <v>305</v>
      </c>
      <c r="B591" s="273"/>
      <c r="C591" s="20" t="s">
        <v>306</v>
      </c>
      <c r="D591" s="20"/>
      <c r="E591" s="40"/>
      <c r="F591" s="2"/>
      <c r="G591" s="10">
        <f t="shared" si="79"/>
        <v>0</v>
      </c>
      <c r="H591" s="10">
        <f t="shared" si="79"/>
        <v>0</v>
      </c>
    </row>
    <row r="592" spans="1:8" ht="15.75" hidden="1" x14ac:dyDescent="0.25">
      <c r="A592" s="68" t="s">
        <v>307</v>
      </c>
      <c r="B592" s="273"/>
      <c r="C592" s="20" t="s">
        <v>306</v>
      </c>
      <c r="D592" s="20" t="s">
        <v>125</v>
      </c>
      <c r="E592" s="40"/>
      <c r="F592" s="2"/>
      <c r="G592" s="10">
        <f t="shared" si="79"/>
        <v>0</v>
      </c>
      <c r="H592" s="10">
        <f t="shared" si="79"/>
        <v>0</v>
      </c>
    </row>
    <row r="593" spans="1:8" ht="15.75" hidden="1" x14ac:dyDescent="0.25">
      <c r="A593" s="282"/>
      <c r="B593" s="273"/>
      <c r="C593" s="20" t="s">
        <v>306</v>
      </c>
      <c r="D593" s="20" t="s">
        <v>125</v>
      </c>
      <c r="E593" s="40"/>
      <c r="F593" s="2"/>
      <c r="G593" s="10">
        <f t="shared" si="79"/>
        <v>0</v>
      </c>
      <c r="H593" s="10">
        <f t="shared" si="79"/>
        <v>0</v>
      </c>
    </row>
    <row r="594" spans="1:8" ht="31.5" hidden="1" x14ac:dyDescent="0.25">
      <c r="A594" s="25" t="s">
        <v>138</v>
      </c>
      <c r="B594" s="273"/>
      <c r="C594" s="20" t="s">
        <v>306</v>
      </c>
      <c r="D594" s="20" t="s">
        <v>125</v>
      </c>
      <c r="E594" s="40" t="s">
        <v>139</v>
      </c>
      <c r="F594" s="2"/>
      <c r="G594" s="10">
        <f t="shared" si="79"/>
        <v>0</v>
      </c>
      <c r="H594" s="10">
        <f t="shared" si="79"/>
        <v>0</v>
      </c>
    </row>
    <row r="595" spans="1:8" ht="47.25" hidden="1" x14ac:dyDescent="0.25">
      <c r="A595" s="25" t="s">
        <v>140</v>
      </c>
      <c r="B595" s="273"/>
      <c r="C595" s="20" t="s">
        <v>306</v>
      </c>
      <c r="D595" s="20" t="s">
        <v>125</v>
      </c>
      <c r="E595" s="40" t="s">
        <v>141</v>
      </c>
      <c r="F595" s="2"/>
      <c r="G595" s="10">
        <f>'пр.6.1.ведом.22-23'!G400</f>
        <v>0</v>
      </c>
      <c r="H595" s="10">
        <f>'пр.6.1.ведом.22-23'!H400</f>
        <v>0</v>
      </c>
    </row>
    <row r="596" spans="1:8" ht="47.25" hidden="1" x14ac:dyDescent="0.25">
      <c r="A596" s="45" t="s">
        <v>1330</v>
      </c>
      <c r="B596" s="273"/>
      <c r="C596" s="20" t="s">
        <v>306</v>
      </c>
      <c r="D596" s="20" t="s">
        <v>125</v>
      </c>
      <c r="E596" s="40" t="s">
        <v>141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1" t="s">
        <v>1374</v>
      </c>
      <c r="B597" s="7" t="s">
        <v>331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1035</v>
      </c>
      <c r="B598" s="7" t="s">
        <v>944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s="202" customFormat="1" ht="15.75" x14ac:dyDescent="0.25">
      <c r="A599" s="31" t="s">
        <v>124</v>
      </c>
      <c r="B599" s="40" t="s">
        <v>944</v>
      </c>
      <c r="C599" s="40" t="s">
        <v>125</v>
      </c>
      <c r="D599" s="40"/>
      <c r="E599" s="72"/>
      <c r="F599" s="72"/>
      <c r="G599" s="10">
        <f t="shared" ref="G599:H602" si="80">G600</f>
        <v>12</v>
      </c>
      <c r="H599" s="10">
        <f t="shared" si="80"/>
        <v>40</v>
      </c>
    </row>
    <row r="600" spans="1:8" s="202" customFormat="1" ht="15.75" x14ac:dyDescent="0.25">
      <c r="A600" s="31" t="s">
        <v>146</v>
      </c>
      <c r="B600" s="40" t="s">
        <v>944</v>
      </c>
      <c r="C600" s="40" t="s">
        <v>125</v>
      </c>
      <c r="D600" s="40" t="s">
        <v>147</v>
      </c>
      <c r="E600" s="72"/>
      <c r="F600" s="72"/>
      <c r="G600" s="10">
        <f t="shared" si="80"/>
        <v>12</v>
      </c>
      <c r="H600" s="10">
        <f t="shared" si="80"/>
        <v>40</v>
      </c>
    </row>
    <row r="601" spans="1:8" s="202" customFormat="1" ht="47.25" x14ac:dyDescent="0.25">
      <c r="A601" s="31" t="s">
        <v>1091</v>
      </c>
      <c r="B601" s="20" t="s">
        <v>1036</v>
      </c>
      <c r="C601" s="40" t="s">
        <v>125</v>
      </c>
      <c r="D601" s="40" t="s">
        <v>147</v>
      </c>
      <c r="E601" s="72"/>
      <c r="F601" s="72"/>
      <c r="G601" s="10">
        <f t="shared" si="80"/>
        <v>12</v>
      </c>
      <c r="H601" s="10">
        <f t="shared" si="80"/>
        <v>40</v>
      </c>
    </row>
    <row r="602" spans="1:8" s="202" customFormat="1" ht="31.5" x14ac:dyDescent="0.25">
      <c r="A602" s="25" t="s">
        <v>138</v>
      </c>
      <c r="B602" s="20" t="s">
        <v>1036</v>
      </c>
      <c r="C602" s="40" t="s">
        <v>125</v>
      </c>
      <c r="D602" s="40" t="s">
        <v>147</v>
      </c>
      <c r="E602" s="2">
        <v>200</v>
      </c>
      <c r="F602" s="72"/>
      <c r="G602" s="10">
        <f t="shared" si="80"/>
        <v>12</v>
      </c>
      <c r="H602" s="10">
        <f t="shared" si="80"/>
        <v>40</v>
      </c>
    </row>
    <row r="603" spans="1:8" s="202" customFormat="1" ht="47.25" x14ac:dyDescent="0.25">
      <c r="A603" s="25" t="s">
        <v>140</v>
      </c>
      <c r="B603" s="20" t="s">
        <v>1036</v>
      </c>
      <c r="C603" s="40" t="s">
        <v>125</v>
      </c>
      <c r="D603" s="40" t="s">
        <v>147</v>
      </c>
      <c r="E603" s="2">
        <v>240</v>
      </c>
      <c r="F603" s="72"/>
      <c r="G603" s="10">
        <f>'пр.6.1.ведом.22-23'!G145</f>
        <v>12</v>
      </c>
      <c r="H603" s="10">
        <f>'пр.6.1.ведом.22-23'!H145</f>
        <v>40</v>
      </c>
    </row>
    <row r="604" spans="1:8" s="202" customFormat="1" ht="47.25" x14ac:dyDescent="0.25">
      <c r="A604" s="45" t="s">
        <v>631</v>
      </c>
      <c r="B604" s="20" t="s">
        <v>1036</v>
      </c>
      <c r="C604" s="40" t="s">
        <v>125</v>
      </c>
      <c r="D604" s="40" t="s">
        <v>147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397</v>
      </c>
      <c r="B605" s="40" t="s">
        <v>944</v>
      </c>
      <c r="C605" s="40" t="s">
        <v>241</v>
      </c>
      <c r="D605" s="40"/>
      <c r="E605" s="72"/>
      <c r="F605" s="72"/>
      <c r="G605" s="10">
        <f t="shared" ref="G605:H608" si="81">G606</f>
        <v>0</v>
      </c>
      <c r="H605" s="10">
        <f t="shared" si="81"/>
        <v>0</v>
      </c>
    </row>
    <row r="606" spans="1:8" ht="31.5" hidden="1" x14ac:dyDescent="0.25">
      <c r="A606" s="31" t="s">
        <v>576</v>
      </c>
      <c r="B606" s="40" t="s">
        <v>944</v>
      </c>
      <c r="C606" s="40" t="s">
        <v>241</v>
      </c>
      <c r="D606" s="40" t="s">
        <v>241</v>
      </c>
      <c r="E606" s="72"/>
      <c r="F606" s="72"/>
      <c r="G606" s="10">
        <f t="shared" si="81"/>
        <v>0</v>
      </c>
      <c r="H606" s="10">
        <f t="shared" si="81"/>
        <v>0</v>
      </c>
    </row>
    <row r="607" spans="1:8" ht="47.25" hidden="1" x14ac:dyDescent="0.25">
      <c r="A607" s="31" t="s">
        <v>1091</v>
      </c>
      <c r="B607" s="20" t="s">
        <v>1036</v>
      </c>
      <c r="C607" s="40" t="s">
        <v>241</v>
      </c>
      <c r="D607" s="40" t="s">
        <v>241</v>
      </c>
      <c r="E607" s="72"/>
      <c r="F607" s="72"/>
      <c r="G607" s="10">
        <f t="shared" si="81"/>
        <v>0</v>
      </c>
      <c r="H607" s="10">
        <f t="shared" si="81"/>
        <v>0</v>
      </c>
    </row>
    <row r="608" spans="1:8" ht="31.5" hidden="1" x14ac:dyDescent="0.25">
      <c r="A608" s="25" t="s">
        <v>138</v>
      </c>
      <c r="B608" s="20" t="s">
        <v>1036</v>
      </c>
      <c r="C608" s="40" t="s">
        <v>241</v>
      </c>
      <c r="D608" s="40" t="s">
        <v>241</v>
      </c>
      <c r="E608" s="2">
        <v>200</v>
      </c>
      <c r="F608" s="72"/>
      <c r="G608" s="10">
        <f t="shared" si="81"/>
        <v>0</v>
      </c>
      <c r="H608" s="10">
        <f t="shared" si="81"/>
        <v>0</v>
      </c>
    </row>
    <row r="609" spans="1:8" ht="47.25" hidden="1" x14ac:dyDescent="0.25">
      <c r="A609" s="25" t="s">
        <v>140</v>
      </c>
      <c r="B609" s="20" t="s">
        <v>1036</v>
      </c>
      <c r="C609" s="40" t="s">
        <v>241</v>
      </c>
      <c r="D609" s="40" t="s">
        <v>241</v>
      </c>
      <c r="E609" s="2">
        <v>240</v>
      </c>
      <c r="F609" s="72"/>
      <c r="G609" s="10">
        <f>'пр.6.1.ведом.22-23'!G1037</f>
        <v>0</v>
      </c>
      <c r="H609" s="10">
        <f>'пр.6.1.ведом.22-23'!H1037</f>
        <v>0</v>
      </c>
    </row>
    <row r="610" spans="1:8" ht="47.25" hidden="1" x14ac:dyDescent="0.25">
      <c r="A610" s="45" t="s">
        <v>631</v>
      </c>
      <c r="B610" s="20" t="s">
        <v>1036</v>
      </c>
      <c r="C610" s="40" t="s">
        <v>241</v>
      </c>
      <c r="D610" s="40" t="s">
        <v>241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25" t="s">
        <v>270</v>
      </c>
      <c r="B611" s="40" t="s">
        <v>944</v>
      </c>
      <c r="C611" s="40" t="s">
        <v>271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25" t="s">
        <v>411</v>
      </c>
      <c r="B612" s="40" t="s">
        <v>944</v>
      </c>
      <c r="C612" s="40" t="s">
        <v>271</v>
      </c>
      <c r="D612" s="40" t="s">
        <v>125</v>
      </c>
      <c r="E612" s="73"/>
      <c r="F612" s="73"/>
      <c r="G612" s="10">
        <f t="shared" ref="G612:H614" si="82">G613</f>
        <v>80</v>
      </c>
      <c r="H612" s="10">
        <f t="shared" si="82"/>
        <v>25</v>
      </c>
    </row>
    <row r="613" spans="1:8" ht="47.25" x14ac:dyDescent="0.25">
      <c r="A613" s="31" t="s">
        <v>1092</v>
      </c>
      <c r="B613" s="20" t="s">
        <v>945</v>
      </c>
      <c r="C613" s="40" t="s">
        <v>271</v>
      </c>
      <c r="D613" s="40" t="s">
        <v>125</v>
      </c>
      <c r="E613" s="72"/>
      <c r="F613" s="72"/>
      <c r="G613" s="10">
        <f t="shared" si="82"/>
        <v>80</v>
      </c>
      <c r="H613" s="10">
        <f t="shared" si="82"/>
        <v>25</v>
      </c>
    </row>
    <row r="614" spans="1:8" ht="47.25" x14ac:dyDescent="0.25">
      <c r="A614" s="31" t="s">
        <v>279</v>
      </c>
      <c r="B614" s="20" t="s">
        <v>945</v>
      </c>
      <c r="C614" s="40" t="s">
        <v>271</v>
      </c>
      <c r="D614" s="40" t="s">
        <v>125</v>
      </c>
      <c r="E614" s="40" t="s">
        <v>280</v>
      </c>
      <c r="F614" s="72"/>
      <c r="G614" s="10">
        <f t="shared" si="82"/>
        <v>80</v>
      </c>
      <c r="H614" s="10">
        <f t="shared" si="82"/>
        <v>25</v>
      </c>
    </row>
    <row r="615" spans="1:8" ht="15.75" x14ac:dyDescent="0.25">
      <c r="A615" s="31" t="s">
        <v>281</v>
      </c>
      <c r="B615" s="20" t="s">
        <v>945</v>
      </c>
      <c r="C615" s="40" t="s">
        <v>271</v>
      </c>
      <c r="D615" s="40" t="s">
        <v>125</v>
      </c>
      <c r="E615" s="40" t="s">
        <v>282</v>
      </c>
      <c r="F615" s="72"/>
      <c r="G615" s="10">
        <f>'пр.6.1.ведом.22-23'!G603</f>
        <v>80</v>
      </c>
      <c r="H615" s="10">
        <f>'пр.6.1.ведом.22-23'!H603</f>
        <v>25</v>
      </c>
    </row>
    <row r="616" spans="1:8" ht="31.5" x14ac:dyDescent="0.25">
      <c r="A616" s="31" t="s">
        <v>410</v>
      </c>
      <c r="B616" s="20" t="s">
        <v>945</v>
      </c>
      <c r="C616" s="40" t="s">
        <v>271</v>
      </c>
      <c r="D616" s="40" t="s">
        <v>125</v>
      </c>
      <c r="E616" s="40" t="s">
        <v>282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432</v>
      </c>
      <c r="B617" s="40" t="s">
        <v>944</v>
      </c>
      <c r="C617" s="40" t="s">
        <v>271</v>
      </c>
      <c r="D617" s="40" t="s">
        <v>220</v>
      </c>
      <c r="E617" s="40"/>
      <c r="F617" s="73"/>
      <c r="G617" s="10">
        <f t="shared" ref="G617:H619" si="83">G618</f>
        <v>60</v>
      </c>
      <c r="H617" s="10">
        <f t="shared" si="83"/>
        <v>70</v>
      </c>
    </row>
    <row r="618" spans="1:8" ht="47.25" x14ac:dyDescent="0.25">
      <c r="A618" s="31" t="s">
        <v>1092</v>
      </c>
      <c r="B618" s="20" t="s">
        <v>945</v>
      </c>
      <c r="C618" s="40" t="s">
        <v>271</v>
      </c>
      <c r="D618" s="40" t="s">
        <v>220</v>
      </c>
      <c r="E618" s="40"/>
      <c r="F618" s="72"/>
      <c r="G618" s="10">
        <f t="shared" si="83"/>
        <v>60</v>
      </c>
      <c r="H618" s="10">
        <f t="shared" si="83"/>
        <v>70</v>
      </c>
    </row>
    <row r="619" spans="1:8" ht="47.25" x14ac:dyDescent="0.25">
      <c r="A619" s="31" t="s">
        <v>279</v>
      </c>
      <c r="B619" s="20" t="s">
        <v>945</v>
      </c>
      <c r="C619" s="40" t="s">
        <v>271</v>
      </c>
      <c r="D619" s="40" t="s">
        <v>220</v>
      </c>
      <c r="E619" s="40" t="s">
        <v>280</v>
      </c>
      <c r="F619" s="72"/>
      <c r="G619" s="10">
        <f t="shared" si="83"/>
        <v>60</v>
      </c>
      <c r="H619" s="10">
        <f t="shared" si="83"/>
        <v>70</v>
      </c>
    </row>
    <row r="620" spans="1:8" ht="15.75" x14ac:dyDescent="0.25">
      <c r="A620" s="31" t="s">
        <v>281</v>
      </c>
      <c r="B620" s="20" t="s">
        <v>945</v>
      </c>
      <c r="C620" s="40" t="s">
        <v>271</v>
      </c>
      <c r="D620" s="40" t="s">
        <v>220</v>
      </c>
      <c r="E620" s="40" t="s">
        <v>282</v>
      </c>
      <c r="F620" s="72"/>
      <c r="G620" s="10">
        <f>'пр.6.1.ведом.22-23'!G685</f>
        <v>60</v>
      </c>
      <c r="H620" s="10">
        <f>'пр.6.1.ведом.22-23'!H685</f>
        <v>70</v>
      </c>
    </row>
    <row r="621" spans="1:8" ht="31.5" x14ac:dyDescent="0.25">
      <c r="A621" s="31" t="s">
        <v>410</v>
      </c>
      <c r="B621" s="20" t="s">
        <v>945</v>
      </c>
      <c r="C621" s="40" t="s">
        <v>271</v>
      </c>
      <c r="D621" s="40" t="s">
        <v>220</v>
      </c>
      <c r="E621" s="40" t="s">
        <v>282</v>
      </c>
      <c r="F621" s="2">
        <v>906</v>
      </c>
      <c r="G621" s="10">
        <f>G620</f>
        <v>60</v>
      </c>
      <c r="H621" s="10">
        <f>H620</f>
        <v>70</v>
      </c>
    </row>
    <row r="622" spans="1:8" s="202" customFormat="1" ht="15.75" x14ac:dyDescent="0.25">
      <c r="A622" s="29" t="s">
        <v>272</v>
      </c>
      <c r="B622" s="40" t="s">
        <v>944</v>
      </c>
      <c r="C622" s="40" t="s">
        <v>271</v>
      </c>
      <c r="D622" s="40" t="s">
        <v>222</v>
      </c>
      <c r="E622" s="40"/>
      <c r="F622" s="73"/>
      <c r="G622" s="10">
        <f t="shared" ref="G622:H624" si="84">G623</f>
        <v>6</v>
      </c>
      <c r="H622" s="10">
        <f t="shared" si="84"/>
        <v>0</v>
      </c>
    </row>
    <row r="623" spans="1:8" s="202" customFormat="1" ht="47.25" x14ac:dyDescent="0.25">
      <c r="A623" s="31" t="s">
        <v>1091</v>
      </c>
      <c r="B623" s="20" t="s">
        <v>1036</v>
      </c>
      <c r="C623" s="40" t="s">
        <v>271</v>
      </c>
      <c r="D623" s="40" t="s">
        <v>222</v>
      </c>
      <c r="E623" s="40"/>
      <c r="F623" s="72"/>
      <c r="G623" s="10">
        <f t="shared" si="84"/>
        <v>6</v>
      </c>
      <c r="H623" s="10">
        <f t="shared" si="84"/>
        <v>0</v>
      </c>
    </row>
    <row r="624" spans="1:8" s="202" customFormat="1" ht="47.25" x14ac:dyDescent="0.25">
      <c r="A624" s="31" t="s">
        <v>279</v>
      </c>
      <c r="B624" s="20" t="s">
        <v>1036</v>
      </c>
      <c r="C624" s="40" t="s">
        <v>271</v>
      </c>
      <c r="D624" s="40" t="s">
        <v>222</v>
      </c>
      <c r="E624" s="40" t="s">
        <v>139</v>
      </c>
      <c r="F624" s="72"/>
      <c r="G624" s="10">
        <f t="shared" si="84"/>
        <v>6</v>
      </c>
      <c r="H624" s="10">
        <f t="shared" si="84"/>
        <v>0</v>
      </c>
    </row>
    <row r="625" spans="1:8" s="202" customFormat="1" ht="15.75" x14ac:dyDescent="0.25">
      <c r="A625" s="31" t="s">
        <v>281</v>
      </c>
      <c r="B625" s="20" t="s">
        <v>1036</v>
      </c>
      <c r="C625" s="40" t="s">
        <v>271</v>
      </c>
      <c r="D625" s="40" t="s">
        <v>222</v>
      </c>
      <c r="E625" s="40" t="s">
        <v>141</v>
      </c>
      <c r="F625" s="72"/>
      <c r="G625" s="10">
        <f>'пр.6.1.ведом.22-23'!G331</f>
        <v>6</v>
      </c>
      <c r="H625" s="10">
        <f>'пр.6.1.ведом.22-23'!H331</f>
        <v>0</v>
      </c>
    </row>
    <row r="626" spans="1:8" s="202" customFormat="1" ht="47.25" x14ac:dyDescent="0.25">
      <c r="A626" s="45" t="s">
        <v>268</v>
      </c>
      <c r="B626" s="20" t="s">
        <v>1036</v>
      </c>
      <c r="C626" s="40" t="s">
        <v>271</v>
      </c>
      <c r="D626" s="40" t="s">
        <v>222</v>
      </c>
      <c r="E626" s="40" t="s">
        <v>141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305</v>
      </c>
      <c r="B627" s="20" t="s">
        <v>944</v>
      </c>
      <c r="C627" s="40" t="s">
        <v>306</v>
      </c>
      <c r="D627" s="40"/>
      <c r="E627" s="40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307</v>
      </c>
      <c r="B628" s="20" t="s">
        <v>944</v>
      </c>
      <c r="C628" s="40" t="s">
        <v>306</v>
      </c>
      <c r="D628" s="40" t="s">
        <v>125</v>
      </c>
      <c r="E628" s="40"/>
      <c r="F628" s="2"/>
      <c r="G628" s="10">
        <f t="shared" ref="G628:H630" si="85">G629</f>
        <v>10</v>
      </c>
      <c r="H628" s="10">
        <f t="shared" si="85"/>
        <v>0</v>
      </c>
    </row>
    <row r="629" spans="1:8" ht="48.95" customHeight="1" x14ac:dyDescent="0.25">
      <c r="A629" s="31" t="s">
        <v>1091</v>
      </c>
      <c r="B629" s="20" t="s">
        <v>1036</v>
      </c>
      <c r="C629" s="40" t="s">
        <v>306</v>
      </c>
      <c r="D629" s="40" t="s">
        <v>125</v>
      </c>
      <c r="E629" s="40"/>
      <c r="F629" s="2"/>
      <c r="G629" s="10">
        <f t="shared" si="85"/>
        <v>10</v>
      </c>
      <c r="H629" s="10">
        <f t="shared" si="85"/>
        <v>0</v>
      </c>
    </row>
    <row r="630" spans="1:8" ht="31.5" x14ac:dyDescent="0.25">
      <c r="A630" s="25" t="s">
        <v>138</v>
      </c>
      <c r="B630" s="20" t="s">
        <v>1036</v>
      </c>
      <c r="C630" s="40" t="s">
        <v>306</v>
      </c>
      <c r="D630" s="40" t="s">
        <v>125</v>
      </c>
      <c r="E630" s="40" t="s">
        <v>139</v>
      </c>
      <c r="F630" s="2"/>
      <c r="G630" s="10">
        <f t="shared" si="85"/>
        <v>10</v>
      </c>
      <c r="H630" s="10">
        <f t="shared" si="85"/>
        <v>0</v>
      </c>
    </row>
    <row r="631" spans="1:8" ht="47.25" x14ac:dyDescent="0.25">
      <c r="A631" s="25" t="s">
        <v>140</v>
      </c>
      <c r="B631" s="20" t="s">
        <v>1036</v>
      </c>
      <c r="C631" s="40" t="s">
        <v>306</v>
      </c>
      <c r="D631" s="40" t="s">
        <v>125</v>
      </c>
      <c r="E631" s="40" t="s">
        <v>141</v>
      </c>
      <c r="F631" s="2"/>
      <c r="G631" s="10">
        <f>'пр.6.1.ведом.22-23'!G405</f>
        <v>10</v>
      </c>
      <c r="H631" s="10">
        <f>'пр.6.1.ведом.22-23'!H405</f>
        <v>0</v>
      </c>
    </row>
    <row r="632" spans="1:8" ht="47.25" x14ac:dyDescent="0.25">
      <c r="A632" s="45" t="s">
        <v>268</v>
      </c>
      <c r="B632" s="20" t="s">
        <v>1036</v>
      </c>
      <c r="C632" s="40" t="s">
        <v>306</v>
      </c>
      <c r="D632" s="40" t="s">
        <v>125</v>
      </c>
      <c r="E632" s="40" t="s">
        <v>141</v>
      </c>
      <c r="F632" s="2">
        <v>903</v>
      </c>
      <c r="G632" s="10">
        <f>G631</f>
        <v>10</v>
      </c>
      <c r="H632" s="10">
        <f>H631</f>
        <v>0</v>
      </c>
    </row>
    <row r="633" spans="1:8" s="202" customFormat="1" ht="31.5" x14ac:dyDescent="0.25">
      <c r="A633" s="31" t="s">
        <v>340</v>
      </c>
      <c r="B633" s="20" t="s">
        <v>944</v>
      </c>
      <c r="C633" s="40" t="s">
        <v>306</v>
      </c>
      <c r="D633" s="40" t="s">
        <v>157</v>
      </c>
      <c r="E633" s="40"/>
      <c r="F633" s="2"/>
      <c r="G633" s="10">
        <f t="shared" ref="G633:H635" si="86">G634</f>
        <v>0</v>
      </c>
      <c r="H633" s="10">
        <f t="shared" si="86"/>
        <v>4</v>
      </c>
    </row>
    <row r="634" spans="1:8" s="202" customFormat="1" ht="52.35" customHeight="1" x14ac:dyDescent="0.25">
      <c r="A634" s="31" t="s">
        <v>1091</v>
      </c>
      <c r="B634" s="20" t="s">
        <v>1036</v>
      </c>
      <c r="C634" s="40" t="s">
        <v>306</v>
      </c>
      <c r="D634" s="40" t="s">
        <v>157</v>
      </c>
      <c r="E634" s="40"/>
      <c r="F634" s="2"/>
      <c r="G634" s="10">
        <f t="shared" si="86"/>
        <v>0</v>
      </c>
      <c r="H634" s="10">
        <f t="shared" si="86"/>
        <v>4</v>
      </c>
    </row>
    <row r="635" spans="1:8" s="202" customFormat="1" ht="31.5" x14ac:dyDescent="0.25">
      <c r="A635" s="25" t="s">
        <v>138</v>
      </c>
      <c r="B635" s="20" t="s">
        <v>1036</v>
      </c>
      <c r="C635" s="40" t="s">
        <v>306</v>
      </c>
      <c r="D635" s="40" t="s">
        <v>157</v>
      </c>
      <c r="E635" s="40" t="s">
        <v>139</v>
      </c>
      <c r="F635" s="2"/>
      <c r="G635" s="10">
        <f t="shared" si="86"/>
        <v>0</v>
      </c>
      <c r="H635" s="10">
        <f t="shared" si="86"/>
        <v>4</v>
      </c>
    </row>
    <row r="636" spans="1:8" s="202" customFormat="1" ht="47.25" x14ac:dyDescent="0.25">
      <c r="A636" s="25" t="s">
        <v>140</v>
      </c>
      <c r="B636" s="20" t="s">
        <v>1036</v>
      </c>
      <c r="C636" s="40" t="s">
        <v>306</v>
      </c>
      <c r="D636" s="40" t="s">
        <v>157</v>
      </c>
      <c r="E636" s="40" t="s">
        <v>141</v>
      </c>
      <c r="F636" s="2"/>
      <c r="G636" s="10">
        <f>'пр.6.1.ведом.22-23'!G444</f>
        <v>0</v>
      </c>
      <c r="H636" s="10">
        <f>'пр.6.1.ведом.22-23'!H444</f>
        <v>4</v>
      </c>
    </row>
    <row r="637" spans="1:8" s="202" customFormat="1" ht="47.25" x14ac:dyDescent="0.25">
      <c r="A637" s="45" t="s">
        <v>268</v>
      </c>
      <c r="B637" s="20" t="s">
        <v>1036</v>
      </c>
      <c r="C637" s="40" t="s">
        <v>306</v>
      </c>
      <c r="D637" s="40" t="s">
        <v>157</v>
      </c>
      <c r="E637" s="40" t="s">
        <v>141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497</v>
      </c>
      <c r="B638" s="40" t="s">
        <v>944</v>
      </c>
      <c r="C638" s="40" t="s">
        <v>498</v>
      </c>
      <c r="D638" s="73"/>
      <c r="E638" s="73"/>
      <c r="F638" s="73"/>
      <c r="G638" s="10">
        <f t="shared" ref="G638:H639" si="87">G639</f>
        <v>0</v>
      </c>
      <c r="H638" s="10">
        <f t="shared" si="87"/>
        <v>8</v>
      </c>
    </row>
    <row r="639" spans="1:8" ht="15.75" x14ac:dyDescent="0.25">
      <c r="A639" s="73" t="s">
        <v>499</v>
      </c>
      <c r="B639" s="40" t="s">
        <v>944</v>
      </c>
      <c r="C639" s="40" t="s">
        <v>498</v>
      </c>
      <c r="D639" s="40" t="s">
        <v>125</v>
      </c>
      <c r="E639" s="73"/>
      <c r="F639" s="73"/>
      <c r="G639" s="10">
        <f t="shared" si="87"/>
        <v>0</v>
      </c>
      <c r="H639" s="10">
        <f t="shared" si="87"/>
        <v>8</v>
      </c>
    </row>
    <row r="640" spans="1:8" ht="47.25" x14ac:dyDescent="0.25">
      <c r="A640" s="31" t="s">
        <v>1092</v>
      </c>
      <c r="B640" s="40" t="s">
        <v>945</v>
      </c>
      <c r="C640" s="40" t="s">
        <v>498</v>
      </c>
      <c r="D640" s="40" t="s">
        <v>125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25" t="s">
        <v>279</v>
      </c>
      <c r="B641" s="40" t="s">
        <v>945</v>
      </c>
      <c r="C641" s="40" t="s">
        <v>498</v>
      </c>
      <c r="D641" s="40" t="s">
        <v>125</v>
      </c>
      <c r="E641" s="40" t="s">
        <v>280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25" t="s">
        <v>281</v>
      </c>
      <c r="B642" s="40" t="s">
        <v>945</v>
      </c>
      <c r="C642" s="40" t="s">
        <v>498</v>
      </c>
      <c r="D642" s="40" t="s">
        <v>125</v>
      </c>
      <c r="E642" s="40" t="s">
        <v>282</v>
      </c>
      <c r="F642" s="73"/>
      <c r="G642" s="10">
        <f>'пр.6.1.ведом.22-23'!G797</f>
        <v>0</v>
      </c>
      <c r="H642" s="10">
        <f>'пр.6.1.ведом.22-23'!H797</f>
        <v>8</v>
      </c>
    </row>
    <row r="643" spans="1:8" ht="47.25" x14ac:dyDescent="0.25">
      <c r="A643" s="45" t="s">
        <v>487</v>
      </c>
      <c r="B643" s="40" t="s">
        <v>945</v>
      </c>
      <c r="C643" s="40" t="s">
        <v>498</v>
      </c>
      <c r="D643" s="40" t="s">
        <v>125</v>
      </c>
      <c r="E643" s="40" t="s">
        <v>282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1" t="s">
        <v>1379</v>
      </c>
      <c r="B644" s="7" t="s">
        <v>550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23" t="s">
        <v>1455</v>
      </c>
      <c r="B645" s="7" t="s">
        <v>1289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397</v>
      </c>
      <c r="B646" s="40" t="s">
        <v>1289</v>
      </c>
      <c r="C646" s="40" t="s">
        <v>241</v>
      </c>
      <c r="D646" s="40"/>
      <c r="E646" s="2"/>
      <c r="F646" s="2"/>
      <c r="G646" s="10">
        <f t="shared" ref="G646:H646" si="88">G647</f>
        <v>1920</v>
      </c>
      <c r="H646" s="10">
        <f t="shared" si="88"/>
        <v>2173</v>
      </c>
    </row>
    <row r="647" spans="1:8" ht="15.75" x14ac:dyDescent="0.25">
      <c r="A647" s="73" t="s">
        <v>548</v>
      </c>
      <c r="B647" s="40" t="s">
        <v>1289</v>
      </c>
      <c r="C647" s="40" t="s">
        <v>241</v>
      </c>
      <c r="D647" s="40" t="s">
        <v>222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25" t="s">
        <v>553</v>
      </c>
      <c r="B648" s="20" t="s">
        <v>1451</v>
      </c>
      <c r="C648" s="40" t="s">
        <v>241</v>
      </c>
      <c r="D648" s="40" t="s">
        <v>222</v>
      </c>
      <c r="E648" s="2"/>
      <c r="F648" s="2"/>
      <c r="G648" s="10">
        <f t="shared" ref="G648:H649" si="89">G649</f>
        <v>365</v>
      </c>
      <c r="H648" s="10">
        <f t="shared" si="89"/>
        <v>365</v>
      </c>
    </row>
    <row r="649" spans="1:8" ht="31.5" x14ac:dyDescent="0.25">
      <c r="A649" s="25" t="s">
        <v>138</v>
      </c>
      <c r="B649" s="20" t="s">
        <v>1451</v>
      </c>
      <c r="C649" s="40" t="s">
        <v>241</v>
      </c>
      <c r="D649" s="40" t="s">
        <v>222</v>
      </c>
      <c r="E649" s="2">
        <v>200</v>
      </c>
      <c r="F649" s="2"/>
      <c r="G649" s="10">
        <f t="shared" si="89"/>
        <v>365</v>
      </c>
      <c r="H649" s="10">
        <f t="shared" si="89"/>
        <v>365</v>
      </c>
    </row>
    <row r="650" spans="1:8" ht="47.25" x14ac:dyDescent="0.25">
      <c r="A650" s="25" t="s">
        <v>140</v>
      </c>
      <c r="B650" s="20" t="s">
        <v>1451</v>
      </c>
      <c r="C650" s="40" t="s">
        <v>241</v>
      </c>
      <c r="D650" s="40" t="s">
        <v>222</v>
      </c>
      <c r="E650" s="2">
        <v>240</v>
      </c>
      <c r="F650" s="2"/>
      <c r="G650" s="10">
        <f>'пр.6.1.ведом.22-23'!G967</f>
        <v>365</v>
      </c>
      <c r="H650" s="10">
        <f>'пр.6.1.ведом.22-23'!H967</f>
        <v>365</v>
      </c>
    </row>
    <row r="651" spans="1:8" ht="47.25" x14ac:dyDescent="0.25">
      <c r="A651" s="45" t="s">
        <v>631</v>
      </c>
      <c r="B651" s="20" t="s">
        <v>1451</v>
      </c>
      <c r="C651" s="40" t="s">
        <v>241</v>
      </c>
      <c r="D651" s="40" t="s">
        <v>222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25" t="s">
        <v>555</v>
      </c>
      <c r="B652" s="20" t="s">
        <v>1435</v>
      </c>
      <c r="C652" s="40" t="s">
        <v>241</v>
      </c>
      <c r="D652" s="40" t="s">
        <v>222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25" t="s">
        <v>138</v>
      </c>
      <c r="B653" s="20" t="s">
        <v>1435</v>
      </c>
      <c r="C653" s="40" t="s">
        <v>241</v>
      </c>
      <c r="D653" s="40" t="s">
        <v>222</v>
      </c>
      <c r="E653" s="2">
        <v>200</v>
      </c>
      <c r="F653" s="2"/>
      <c r="G653" s="10">
        <f t="shared" ref="G653:H653" si="90">G654</f>
        <v>1080</v>
      </c>
      <c r="H653" s="10">
        <f t="shared" si="90"/>
        <v>1188</v>
      </c>
    </row>
    <row r="654" spans="1:8" ht="47.25" x14ac:dyDescent="0.25">
      <c r="A654" s="25" t="s">
        <v>140</v>
      </c>
      <c r="B654" s="20" t="s">
        <v>1435</v>
      </c>
      <c r="C654" s="40" t="s">
        <v>241</v>
      </c>
      <c r="D654" s="40" t="s">
        <v>222</v>
      </c>
      <c r="E654" s="2">
        <v>240</v>
      </c>
      <c r="F654" s="2"/>
      <c r="G654" s="10">
        <f>'пр.6.1.ведом.22-23'!G970</f>
        <v>1080</v>
      </c>
      <c r="H654" s="10">
        <f>'пр.6.1.ведом.22-23'!H970</f>
        <v>1188</v>
      </c>
    </row>
    <row r="655" spans="1:8" ht="47.25" x14ac:dyDescent="0.25">
      <c r="A655" s="45" t="s">
        <v>631</v>
      </c>
      <c r="B655" s="20" t="s">
        <v>1435</v>
      </c>
      <c r="C655" s="40" t="s">
        <v>241</v>
      </c>
      <c r="D655" s="40" t="s">
        <v>222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25" t="s">
        <v>142</v>
      </c>
      <c r="B656" s="20" t="s">
        <v>1435</v>
      </c>
      <c r="C656" s="40" t="s">
        <v>241</v>
      </c>
      <c r="D656" s="40" t="s">
        <v>222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25" t="s">
        <v>846</v>
      </c>
      <c r="B657" s="20" t="s">
        <v>1435</v>
      </c>
      <c r="C657" s="40" t="s">
        <v>241</v>
      </c>
      <c r="D657" s="40" t="s">
        <v>222</v>
      </c>
      <c r="E657" s="2">
        <v>830</v>
      </c>
      <c r="F657" s="2"/>
      <c r="G657" s="10">
        <f>'пр.6.1.ведом.22-23'!G972</f>
        <v>0</v>
      </c>
      <c r="H657" s="10">
        <f>'пр.6.1.ведом.22-23'!H972</f>
        <v>0</v>
      </c>
    </row>
    <row r="658" spans="1:8" ht="47.25" hidden="1" x14ac:dyDescent="0.25">
      <c r="A658" s="45" t="s">
        <v>631</v>
      </c>
      <c r="B658" s="20" t="s">
        <v>1435</v>
      </c>
      <c r="C658" s="40" t="s">
        <v>241</v>
      </c>
      <c r="D658" s="40" t="s">
        <v>222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25" t="s">
        <v>142</v>
      </c>
      <c r="B659" s="20" t="s">
        <v>1435</v>
      </c>
      <c r="C659" s="40" t="s">
        <v>241</v>
      </c>
      <c r="D659" s="40" t="s">
        <v>222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25" t="s">
        <v>1088</v>
      </c>
      <c r="B660" s="20" t="s">
        <v>1435</v>
      </c>
      <c r="C660" s="40" t="s">
        <v>241</v>
      </c>
      <c r="D660" s="40" t="s">
        <v>222</v>
      </c>
      <c r="E660" s="2">
        <v>850</v>
      </c>
      <c r="F660" s="2"/>
      <c r="G660" s="10">
        <f>'пр.6.1.ведом.22-23'!G973</f>
        <v>0</v>
      </c>
      <c r="H660" s="10">
        <f>'пр.6.1.ведом.22-23'!H973</f>
        <v>0</v>
      </c>
    </row>
    <row r="661" spans="1:8" ht="47.25" hidden="1" x14ac:dyDescent="0.25">
      <c r="A661" s="45" t="s">
        <v>631</v>
      </c>
      <c r="B661" s="20" t="s">
        <v>1435</v>
      </c>
      <c r="C661" s="40" t="s">
        <v>241</v>
      </c>
      <c r="D661" s="40" t="s">
        <v>222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25" t="s">
        <v>557</v>
      </c>
      <c r="B662" s="20" t="s">
        <v>1313</v>
      </c>
      <c r="C662" s="40" t="s">
        <v>241</v>
      </c>
      <c r="D662" s="40" t="s">
        <v>222</v>
      </c>
      <c r="E662" s="2"/>
      <c r="F662" s="2"/>
      <c r="G662" s="10">
        <f t="shared" ref="G662:H662" si="91">G663</f>
        <v>0</v>
      </c>
      <c r="H662" s="10">
        <f t="shared" si="91"/>
        <v>0</v>
      </c>
    </row>
    <row r="663" spans="1:8" ht="31.5" hidden="1" x14ac:dyDescent="0.25">
      <c r="A663" s="25" t="s">
        <v>138</v>
      </c>
      <c r="B663" s="20" t="s">
        <v>1313</v>
      </c>
      <c r="C663" s="40" t="s">
        <v>241</v>
      </c>
      <c r="D663" s="40" t="s">
        <v>222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25" t="s">
        <v>140</v>
      </c>
      <c r="B664" s="20" t="s">
        <v>1313</v>
      </c>
      <c r="C664" s="40" t="s">
        <v>241</v>
      </c>
      <c r="D664" s="40" t="s">
        <v>222</v>
      </c>
      <c r="E664" s="2">
        <v>240</v>
      </c>
      <c r="F664" s="2"/>
      <c r="G664" s="10">
        <f>'пр.6.1.ведом.22-23'!G976</f>
        <v>0</v>
      </c>
      <c r="H664" s="10">
        <f>'пр.6.1.ведом.22-23'!H976</f>
        <v>0</v>
      </c>
    </row>
    <row r="665" spans="1:8" ht="47.25" hidden="1" x14ac:dyDescent="0.25">
      <c r="A665" s="45" t="s">
        <v>631</v>
      </c>
      <c r="B665" s="20" t="s">
        <v>1313</v>
      </c>
      <c r="C665" s="40" t="s">
        <v>241</v>
      </c>
      <c r="D665" s="40" t="s">
        <v>222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25" t="s">
        <v>562</v>
      </c>
      <c r="B666" s="20" t="s">
        <v>1290</v>
      </c>
      <c r="C666" s="40" t="s">
        <v>241</v>
      </c>
      <c r="D666" s="40" t="s">
        <v>222</v>
      </c>
      <c r="E666" s="2"/>
      <c r="F666" s="2"/>
      <c r="G666" s="10">
        <f t="shared" ref="G666:H667" si="92">G667</f>
        <v>50</v>
      </c>
      <c r="H666" s="10">
        <f t="shared" si="92"/>
        <v>55</v>
      </c>
    </row>
    <row r="667" spans="1:8" ht="31.5" x14ac:dyDescent="0.25">
      <c r="A667" s="25" t="s">
        <v>138</v>
      </c>
      <c r="B667" s="20" t="s">
        <v>1290</v>
      </c>
      <c r="C667" s="40" t="s">
        <v>241</v>
      </c>
      <c r="D667" s="40" t="s">
        <v>222</v>
      </c>
      <c r="E667" s="2">
        <v>200</v>
      </c>
      <c r="F667" s="2"/>
      <c r="G667" s="10">
        <f t="shared" si="92"/>
        <v>50</v>
      </c>
      <c r="H667" s="10">
        <f t="shared" si="92"/>
        <v>55</v>
      </c>
    </row>
    <row r="668" spans="1:8" ht="47.25" x14ac:dyDescent="0.25">
      <c r="A668" s="25" t="s">
        <v>140</v>
      </c>
      <c r="B668" s="20" t="s">
        <v>1290</v>
      </c>
      <c r="C668" s="40" t="s">
        <v>241</v>
      </c>
      <c r="D668" s="40" t="s">
        <v>222</v>
      </c>
      <c r="E668" s="2">
        <v>240</v>
      </c>
      <c r="F668" s="2"/>
      <c r="G668" s="10">
        <f>'пр.6.1.ведом.22-23'!G979</f>
        <v>50</v>
      </c>
      <c r="H668" s="10">
        <f>'пр.6.1.ведом.22-23'!H979</f>
        <v>55</v>
      </c>
    </row>
    <row r="669" spans="1:8" ht="47.25" x14ac:dyDescent="0.25">
      <c r="A669" s="45" t="s">
        <v>631</v>
      </c>
      <c r="B669" s="20" t="s">
        <v>1290</v>
      </c>
      <c r="C669" s="40" t="s">
        <v>241</v>
      </c>
      <c r="D669" s="40" t="s">
        <v>222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291" t="s">
        <v>1294</v>
      </c>
      <c r="B670" s="20" t="s">
        <v>1291</v>
      </c>
      <c r="C670" s="40" t="s">
        <v>241</v>
      </c>
      <c r="D670" s="40" t="s">
        <v>222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25" t="s">
        <v>138</v>
      </c>
      <c r="B671" s="20" t="s">
        <v>1291</v>
      </c>
      <c r="C671" s="40" t="s">
        <v>241</v>
      </c>
      <c r="D671" s="40" t="s">
        <v>222</v>
      </c>
      <c r="E671" s="2">
        <v>200</v>
      </c>
      <c r="F671" s="2"/>
      <c r="G671" s="10">
        <f t="shared" ref="G671:H671" si="93">G672</f>
        <v>300</v>
      </c>
      <c r="H671" s="10">
        <f t="shared" si="93"/>
        <v>300</v>
      </c>
    </row>
    <row r="672" spans="1:8" ht="47.25" x14ac:dyDescent="0.25">
      <c r="A672" s="25" t="s">
        <v>140</v>
      </c>
      <c r="B672" s="20" t="s">
        <v>1291</v>
      </c>
      <c r="C672" s="40" t="s">
        <v>241</v>
      </c>
      <c r="D672" s="40" t="s">
        <v>222</v>
      </c>
      <c r="E672" s="2">
        <v>240</v>
      </c>
      <c r="F672" s="2"/>
      <c r="G672" s="10">
        <f>'пр.6.1.ведом.22-23'!G982</f>
        <v>300</v>
      </c>
      <c r="H672" s="10">
        <f>'пр.6.1.ведом.22-23'!H982</f>
        <v>300</v>
      </c>
    </row>
    <row r="673" spans="1:8" ht="47.25" x14ac:dyDescent="0.25">
      <c r="A673" s="45" t="s">
        <v>631</v>
      </c>
      <c r="B673" s="20" t="s">
        <v>1291</v>
      </c>
      <c r="C673" s="40" t="s">
        <v>241</v>
      </c>
      <c r="D673" s="40" t="s">
        <v>222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142</v>
      </c>
      <c r="B674" s="20" t="s">
        <v>1291</v>
      </c>
      <c r="C674" s="40" t="s">
        <v>241</v>
      </c>
      <c r="D674" s="40" t="s">
        <v>222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s="202" customFormat="1" ht="15.75" x14ac:dyDescent="0.25">
      <c r="A675" s="25" t="s">
        <v>714</v>
      </c>
      <c r="B675" s="20" t="s">
        <v>1291</v>
      </c>
      <c r="C675" s="40" t="s">
        <v>241</v>
      </c>
      <c r="D675" s="40" t="s">
        <v>222</v>
      </c>
      <c r="E675" s="2">
        <v>850</v>
      </c>
      <c r="F675" s="2"/>
      <c r="G675" s="10">
        <f>'пр.6.1.ведом.22-23'!G984</f>
        <v>75</v>
      </c>
      <c r="H675" s="10">
        <f>'пр.6.1.ведом.22-23'!H984</f>
        <v>75</v>
      </c>
    </row>
    <row r="676" spans="1:8" s="202" customFormat="1" ht="47.25" x14ac:dyDescent="0.25">
      <c r="A676" s="45" t="s">
        <v>631</v>
      </c>
      <c r="B676" s="20" t="s">
        <v>1291</v>
      </c>
      <c r="C676" s="40" t="s">
        <v>241</v>
      </c>
      <c r="D676" s="40" t="s">
        <v>222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s="202" customFormat="1" ht="31.5" x14ac:dyDescent="0.25">
      <c r="A677" s="45" t="s">
        <v>566</v>
      </c>
      <c r="B677" s="20" t="s">
        <v>1292</v>
      </c>
      <c r="C677" s="40" t="s">
        <v>241</v>
      </c>
      <c r="D677" s="40" t="s">
        <v>222</v>
      </c>
      <c r="E677" s="2"/>
      <c r="F677" s="2"/>
      <c r="G677" s="10">
        <f t="shared" ref="G677:H678" si="94">G678</f>
        <v>0</v>
      </c>
      <c r="H677" s="10">
        <f t="shared" si="94"/>
        <v>130</v>
      </c>
    </row>
    <row r="678" spans="1:8" s="202" customFormat="1" ht="31.5" x14ac:dyDescent="0.25">
      <c r="A678" s="25" t="s">
        <v>138</v>
      </c>
      <c r="B678" s="20" t="s">
        <v>1292</v>
      </c>
      <c r="C678" s="40" t="s">
        <v>241</v>
      </c>
      <c r="D678" s="40" t="s">
        <v>222</v>
      </c>
      <c r="E678" s="2">
        <v>200</v>
      </c>
      <c r="F678" s="2"/>
      <c r="G678" s="10">
        <f t="shared" si="94"/>
        <v>0</v>
      </c>
      <c r="H678" s="10">
        <f t="shared" si="94"/>
        <v>130</v>
      </c>
    </row>
    <row r="679" spans="1:8" ht="47.25" x14ac:dyDescent="0.25">
      <c r="A679" s="25" t="s">
        <v>140</v>
      </c>
      <c r="B679" s="20" t="s">
        <v>1292</v>
      </c>
      <c r="C679" s="40" t="s">
        <v>241</v>
      </c>
      <c r="D679" s="40" t="s">
        <v>222</v>
      </c>
      <c r="E679" s="2">
        <v>240</v>
      </c>
      <c r="F679" s="2"/>
      <c r="G679" s="10">
        <f>'пр.6.1.ведом.22-23'!G987</f>
        <v>0</v>
      </c>
      <c r="H679" s="10">
        <f>'пр.6.1.ведом.22-23'!H987</f>
        <v>130</v>
      </c>
    </row>
    <row r="680" spans="1:8" ht="47.25" x14ac:dyDescent="0.25">
      <c r="A680" s="45" t="s">
        <v>631</v>
      </c>
      <c r="B680" s="20" t="s">
        <v>1292</v>
      </c>
      <c r="C680" s="40" t="s">
        <v>241</v>
      </c>
      <c r="D680" s="40" t="s">
        <v>222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24" t="s">
        <v>1099</v>
      </c>
      <c r="B681" s="20" t="s">
        <v>1293</v>
      </c>
      <c r="C681" s="40" t="s">
        <v>241</v>
      </c>
      <c r="D681" s="40" t="s">
        <v>222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25" t="s">
        <v>138</v>
      </c>
      <c r="B682" s="20" t="s">
        <v>1293</v>
      </c>
      <c r="C682" s="40" t="s">
        <v>241</v>
      </c>
      <c r="D682" s="40" t="s">
        <v>222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25" t="s">
        <v>140</v>
      </c>
      <c r="B683" s="20" t="s">
        <v>1293</v>
      </c>
      <c r="C683" s="40" t="s">
        <v>241</v>
      </c>
      <c r="D683" s="40" t="s">
        <v>222</v>
      </c>
      <c r="E683" s="2">
        <v>240</v>
      </c>
      <c r="F683" s="2"/>
      <c r="G683" s="10">
        <f>'пр.6.1.ведом.22-23'!G990</f>
        <v>50</v>
      </c>
      <c r="H683" s="10">
        <f>'пр.6.1.ведом.22-23'!H990</f>
        <v>60</v>
      </c>
    </row>
    <row r="684" spans="1:8" ht="47.25" x14ac:dyDescent="0.25">
      <c r="A684" s="45" t="s">
        <v>631</v>
      </c>
      <c r="B684" s="20" t="s">
        <v>1293</v>
      </c>
      <c r="C684" s="40" t="s">
        <v>241</v>
      </c>
      <c r="D684" s="40" t="s">
        <v>222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23" t="s">
        <v>901</v>
      </c>
      <c r="B685" s="24" t="s">
        <v>1311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397</v>
      </c>
      <c r="B686" s="20" t="s">
        <v>1311</v>
      </c>
      <c r="C686" s="40" t="s">
        <v>241</v>
      </c>
      <c r="D686" s="40"/>
      <c r="E686" s="2"/>
      <c r="F686" s="2"/>
      <c r="G686" s="10">
        <f t="shared" ref="G686:H686" si="95">G687</f>
        <v>0</v>
      </c>
      <c r="H686" s="10">
        <f t="shared" si="95"/>
        <v>0</v>
      </c>
    </row>
    <row r="687" spans="1:8" ht="15.75" hidden="1" x14ac:dyDescent="0.25">
      <c r="A687" s="73" t="s">
        <v>548</v>
      </c>
      <c r="B687" s="20" t="s">
        <v>1311</v>
      </c>
      <c r="C687" s="40" t="s">
        <v>241</v>
      </c>
      <c r="D687" s="40" t="s">
        <v>222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25" t="s">
        <v>698</v>
      </c>
      <c r="B688" s="20" t="s">
        <v>1342</v>
      </c>
      <c r="C688" s="40" t="s">
        <v>241</v>
      </c>
      <c r="D688" s="40" t="s">
        <v>222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25" t="s">
        <v>138</v>
      </c>
      <c r="B689" s="20" t="s">
        <v>1342</v>
      </c>
      <c r="C689" s="40" t="s">
        <v>241</v>
      </c>
      <c r="D689" s="40" t="s">
        <v>222</v>
      </c>
      <c r="E689" s="20" t="s">
        <v>139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25" t="s">
        <v>140</v>
      </c>
      <c r="B690" s="20" t="s">
        <v>1342</v>
      </c>
      <c r="C690" s="40" t="s">
        <v>241</v>
      </c>
      <c r="D690" s="40" t="s">
        <v>222</v>
      </c>
      <c r="E690" s="20" t="s">
        <v>141</v>
      </c>
      <c r="F690" s="2"/>
      <c r="G690" s="10">
        <f>'пр.6.1.ведом.22-23'!G994</f>
        <v>0</v>
      </c>
      <c r="H690" s="10">
        <f>'пр.6.1.ведом.22-23'!H994</f>
        <v>0</v>
      </c>
    </row>
    <row r="691" spans="1:8" ht="47.25" hidden="1" x14ac:dyDescent="0.25">
      <c r="A691" s="45" t="s">
        <v>631</v>
      </c>
      <c r="B691" s="20" t="s">
        <v>1342</v>
      </c>
      <c r="C691" s="40" t="s">
        <v>241</v>
      </c>
      <c r="D691" s="40" t="s">
        <v>222</v>
      </c>
      <c r="E691" s="20" t="s">
        <v>141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25" t="s">
        <v>1081</v>
      </c>
      <c r="B692" s="20" t="s">
        <v>1310</v>
      </c>
      <c r="C692" s="40" t="s">
        <v>241</v>
      </c>
      <c r="D692" s="40" t="s">
        <v>222</v>
      </c>
      <c r="E692" s="20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25" t="s">
        <v>138</v>
      </c>
      <c r="B693" s="20" t="s">
        <v>1310</v>
      </c>
      <c r="C693" s="40" t="s">
        <v>241</v>
      </c>
      <c r="D693" s="40" t="s">
        <v>222</v>
      </c>
      <c r="E693" s="20" t="s">
        <v>139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140</v>
      </c>
      <c r="B694" s="20" t="s">
        <v>1310</v>
      </c>
      <c r="C694" s="40" t="s">
        <v>241</v>
      </c>
      <c r="D694" s="40" t="s">
        <v>222</v>
      </c>
      <c r="E694" s="20" t="s">
        <v>141</v>
      </c>
      <c r="F694" s="2"/>
      <c r="G694" s="10">
        <f>'пр.6.1.ведом.22-23'!G997</f>
        <v>0</v>
      </c>
      <c r="H694" s="10">
        <f>'пр.6.1.ведом.22-23'!H997</f>
        <v>0</v>
      </c>
    </row>
    <row r="695" spans="1:8" ht="47.25" hidden="1" x14ac:dyDescent="0.25">
      <c r="A695" s="45" t="s">
        <v>631</v>
      </c>
      <c r="B695" s="20" t="s">
        <v>1310</v>
      </c>
      <c r="C695" s="40" t="s">
        <v>241</v>
      </c>
      <c r="D695" s="40" t="s">
        <v>222</v>
      </c>
      <c r="E695" s="20" t="s">
        <v>141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1361</v>
      </c>
      <c r="B696" s="196" t="s">
        <v>189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1016</v>
      </c>
      <c r="B697" s="196" t="s">
        <v>887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239</v>
      </c>
      <c r="B698" s="5" t="s">
        <v>887</v>
      </c>
      <c r="C698" s="40" t="s">
        <v>157</v>
      </c>
      <c r="D698" s="40"/>
      <c r="E698" s="40"/>
      <c r="F698" s="2"/>
      <c r="G698" s="10">
        <f t="shared" ref="G698:H701" si="96">G699</f>
        <v>274</v>
      </c>
      <c r="H698" s="10">
        <f t="shared" si="96"/>
        <v>274</v>
      </c>
    </row>
    <row r="699" spans="1:8" ht="15.75" x14ac:dyDescent="0.25">
      <c r="A699" s="29" t="s">
        <v>240</v>
      </c>
      <c r="B699" s="30" t="s">
        <v>887</v>
      </c>
      <c r="C699" s="40" t="s">
        <v>157</v>
      </c>
      <c r="D699" s="40" t="s">
        <v>241</v>
      </c>
      <c r="E699" s="40"/>
      <c r="F699" s="2"/>
      <c r="G699" s="10">
        <f>G700</f>
        <v>274</v>
      </c>
      <c r="H699" s="10">
        <f>H700</f>
        <v>274</v>
      </c>
    </row>
    <row r="700" spans="1:8" ht="31.5" x14ac:dyDescent="0.25">
      <c r="A700" s="25" t="s">
        <v>242</v>
      </c>
      <c r="B700" s="20" t="s">
        <v>908</v>
      </c>
      <c r="C700" s="40" t="s">
        <v>157</v>
      </c>
      <c r="D700" s="40" t="s">
        <v>241</v>
      </c>
      <c r="E700" s="40"/>
      <c r="F700" s="2"/>
      <c r="G700" s="10">
        <f t="shared" si="96"/>
        <v>274</v>
      </c>
      <c r="H700" s="10">
        <f t="shared" si="96"/>
        <v>274</v>
      </c>
    </row>
    <row r="701" spans="1:8" ht="15.75" x14ac:dyDescent="0.25">
      <c r="A701" s="29" t="s">
        <v>142</v>
      </c>
      <c r="B701" s="20" t="s">
        <v>908</v>
      </c>
      <c r="C701" s="40" t="s">
        <v>157</v>
      </c>
      <c r="D701" s="40" t="s">
        <v>241</v>
      </c>
      <c r="E701" s="40" t="s">
        <v>152</v>
      </c>
      <c r="F701" s="2"/>
      <c r="G701" s="10">
        <f t="shared" si="96"/>
        <v>274</v>
      </c>
      <c r="H701" s="10">
        <f t="shared" si="96"/>
        <v>274</v>
      </c>
    </row>
    <row r="702" spans="1:8" ht="63" x14ac:dyDescent="0.25">
      <c r="A702" s="29" t="s">
        <v>191</v>
      </c>
      <c r="B702" s="20" t="s">
        <v>908</v>
      </c>
      <c r="C702" s="40" t="s">
        <v>157</v>
      </c>
      <c r="D702" s="40" t="s">
        <v>241</v>
      </c>
      <c r="E702" s="40" t="s">
        <v>167</v>
      </c>
      <c r="F702" s="2"/>
      <c r="G702" s="10">
        <f>'пр.6.1.ведом.22-23'!G197</f>
        <v>274</v>
      </c>
      <c r="H702" s="10">
        <f>'пр.6.1.ведом.22-23'!H197</f>
        <v>274</v>
      </c>
    </row>
    <row r="703" spans="1:8" ht="31.5" x14ac:dyDescent="0.25">
      <c r="A703" s="29" t="s">
        <v>155</v>
      </c>
      <c r="B703" s="20" t="s">
        <v>908</v>
      </c>
      <c r="C703" s="40" t="s">
        <v>157</v>
      </c>
      <c r="D703" s="40" t="s">
        <v>241</v>
      </c>
      <c r="E703" s="40" t="s">
        <v>167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09" t="s">
        <v>1017</v>
      </c>
      <c r="B704" s="24" t="s">
        <v>889</v>
      </c>
      <c r="C704" s="40"/>
      <c r="D704" s="40"/>
      <c r="E704" s="40"/>
      <c r="F704" s="2"/>
      <c r="G704" s="10">
        <f t="shared" ref="G704:H708" si="97">G705</f>
        <v>0</v>
      </c>
      <c r="H704" s="10">
        <f t="shared" si="97"/>
        <v>0</v>
      </c>
    </row>
    <row r="705" spans="1:8" ht="15.75" hidden="1" x14ac:dyDescent="0.25">
      <c r="A705" s="29" t="s">
        <v>239</v>
      </c>
      <c r="B705" s="5" t="s">
        <v>887</v>
      </c>
      <c r="C705" s="40" t="s">
        <v>157</v>
      </c>
      <c r="D705" s="40"/>
      <c r="E705" s="40"/>
      <c r="F705" s="2"/>
      <c r="G705" s="10">
        <f t="shared" si="97"/>
        <v>0</v>
      </c>
      <c r="H705" s="10">
        <f t="shared" si="97"/>
        <v>0</v>
      </c>
    </row>
    <row r="706" spans="1:8" ht="15.75" hidden="1" x14ac:dyDescent="0.25">
      <c r="A706" s="29" t="s">
        <v>240</v>
      </c>
      <c r="B706" s="30" t="s">
        <v>887</v>
      </c>
      <c r="C706" s="40" t="s">
        <v>157</v>
      </c>
      <c r="D706" s="40" t="s">
        <v>241</v>
      </c>
      <c r="E706" s="40"/>
      <c r="F706" s="2"/>
      <c r="G706" s="10">
        <f t="shared" si="97"/>
        <v>0</v>
      </c>
      <c r="H706" s="10">
        <f t="shared" si="97"/>
        <v>0</v>
      </c>
    </row>
    <row r="707" spans="1:8" ht="15.75" hidden="1" x14ac:dyDescent="0.25">
      <c r="A707" s="25" t="s">
        <v>888</v>
      </c>
      <c r="B707" s="5" t="s">
        <v>909</v>
      </c>
      <c r="C707" s="40" t="s">
        <v>157</v>
      </c>
      <c r="D707" s="40" t="s">
        <v>241</v>
      </c>
      <c r="E707" s="40"/>
      <c r="F707" s="2"/>
      <c r="G707" s="10">
        <f t="shared" si="97"/>
        <v>0</v>
      </c>
      <c r="H707" s="10">
        <f t="shared" si="97"/>
        <v>0</v>
      </c>
    </row>
    <row r="708" spans="1:8" ht="15.75" hidden="1" x14ac:dyDescent="0.25">
      <c r="A708" s="29" t="s">
        <v>142</v>
      </c>
      <c r="B708" s="5" t="s">
        <v>909</v>
      </c>
      <c r="C708" s="40" t="s">
        <v>157</v>
      </c>
      <c r="D708" s="40" t="s">
        <v>241</v>
      </c>
      <c r="E708" s="40" t="s">
        <v>152</v>
      </c>
      <c r="F708" s="2"/>
      <c r="G708" s="10">
        <f t="shared" si="97"/>
        <v>0</v>
      </c>
      <c r="H708" s="10">
        <f t="shared" si="97"/>
        <v>0</v>
      </c>
    </row>
    <row r="709" spans="1:8" ht="63" hidden="1" x14ac:dyDescent="0.25">
      <c r="A709" s="29" t="s">
        <v>191</v>
      </c>
      <c r="B709" s="5" t="s">
        <v>909</v>
      </c>
      <c r="C709" s="40" t="s">
        <v>157</v>
      </c>
      <c r="D709" s="40" t="s">
        <v>241</v>
      </c>
      <c r="E709" s="40" t="s">
        <v>167</v>
      </c>
      <c r="F709" s="2"/>
      <c r="G709" s="10">
        <f>'пр.6.1.ведом.22-23'!G204</f>
        <v>0</v>
      </c>
      <c r="H709" s="10">
        <f>'пр.6.1.ведом.22-23'!H204</f>
        <v>0</v>
      </c>
    </row>
    <row r="710" spans="1:8" ht="31.5" hidden="1" x14ac:dyDescent="0.25">
      <c r="A710" s="29" t="s">
        <v>155</v>
      </c>
      <c r="B710" s="5" t="s">
        <v>909</v>
      </c>
      <c r="C710" s="40" t="s">
        <v>157</v>
      </c>
      <c r="D710" s="40" t="s">
        <v>241</v>
      </c>
      <c r="E710" s="40" t="s">
        <v>167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1" t="s">
        <v>1575</v>
      </c>
      <c r="B711" s="7" t="s">
        <v>525</v>
      </c>
      <c r="C711" s="7"/>
      <c r="D711" s="7"/>
      <c r="E711" s="72"/>
      <c r="F711" s="3"/>
      <c r="G711" s="59">
        <f>G712+G719+G726+G733+G740+G747+G754</f>
        <v>1090</v>
      </c>
      <c r="H711" s="59">
        <f>H712+H719+H726+H733+H740+H747+H754</f>
        <v>1090</v>
      </c>
    </row>
    <row r="712" spans="1:8" ht="31.5" x14ac:dyDescent="0.25">
      <c r="A712" s="23" t="s">
        <v>973</v>
      </c>
      <c r="B712" s="24" t="s">
        <v>975</v>
      </c>
      <c r="C712" s="40"/>
      <c r="D712" s="40"/>
      <c r="E712" s="40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397</v>
      </c>
      <c r="B713" s="40" t="s">
        <v>975</v>
      </c>
      <c r="C713" s="40" t="s">
        <v>241</v>
      </c>
      <c r="D713" s="40"/>
      <c r="E713" s="73"/>
      <c r="F713" s="2"/>
      <c r="G713" s="10">
        <f t="shared" ref="G713:H713" si="98">G714</f>
        <v>700</v>
      </c>
      <c r="H713" s="10">
        <f t="shared" si="98"/>
        <v>700</v>
      </c>
    </row>
    <row r="714" spans="1:8" ht="15.75" x14ac:dyDescent="0.25">
      <c r="A714" s="29" t="s">
        <v>524</v>
      </c>
      <c r="B714" s="40" t="s">
        <v>975</v>
      </c>
      <c r="C714" s="40" t="s">
        <v>241</v>
      </c>
      <c r="D714" s="40" t="s">
        <v>220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528</v>
      </c>
      <c r="B715" s="20" t="s">
        <v>976</v>
      </c>
      <c r="C715" s="40" t="s">
        <v>241</v>
      </c>
      <c r="D715" s="40" t="s">
        <v>220</v>
      </c>
      <c r="E715" s="40"/>
      <c r="F715" s="2"/>
      <c r="G715" s="10">
        <f t="shared" ref="G715:H716" si="99">G716</f>
        <v>700</v>
      </c>
      <c r="H715" s="10">
        <f t="shared" si="99"/>
        <v>700</v>
      </c>
    </row>
    <row r="716" spans="1:8" ht="31.5" x14ac:dyDescent="0.25">
      <c r="A716" s="31" t="s">
        <v>138</v>
      </c>
      <c r="B716" s="20" t="s">
        <v>976</v>
      </c>
      <c r="C716" s="40" t="s">
        <v>241</v>
      </c>
      <c r="D716" s="40" t="s">
        <v>220</v>
      </c>
      <c r="E716" s="40" t="s">
        <v>139</v>
      </c>
      <c r="F716" s="2"/>
      <c r="G716" s="10">
        <f t="shared" si="99"/>
        <v>700</v>
      </c>
      <c r="H716" s="10">
        <f t="shared" si="99"/>
        <v>700</v>
      </c>
    </row>
    <row r="717" spans="1:8" ht="47.25" x14ac:dyDescent="0.25">
      <c r="A717" s="31" t="s">
        <v>140</v>
      </c>
      <c r="B717" s="20" t="s">
        <v>976</v>
      </c>
      <c r="C717" s="40" t="s">
        <v>241</v>
      </c>
      <c r="D717" s="40" t="s">
        <v>220</v>
      </c>
      <c r="E717" s="40" t="s">
        <v>141</v>
      </c>
      <c r="F717" s="2"/>
      <c r="G717" s="10">
        <f>'пр.6.1.ведом.22-23'!G923</f>
        <v>700</v>
      </c>
      <c r="H717" s="10">
        <f>'пр.6.1.ведом.22-23'!H923</f>
        <v>700</v>
      </c>
    </row>
    <row r="718" spans="1:8" ht="47.25" x14ac:dyDescent="0.25">
      <c r="A718" s="45" t="s">
        <v>631</v>
      </c>
      <c r="B718" s="20" t="s">
        <v>976</v>
      </c>
      <c r="C718" s="40" t="s">
        <v>241</v>
      </c>
      <c r="D718" s="40" t="s">
        <v>220</v>
      </c>
      <c r="E718" s="40" t="s">
        <v>141</v>
      </c>
      <c r="F718" s="2">
        <v>908</v>
      </c>
      <c r="G718" s="6">
        <f>G717</f>
        <v>700</v>
      </c>
      <c r="H718" s="6">
        <f>H717</f>
        <v>700</v>
      </c>
    </row>
    <row r="719" spans="1:8" ht="31.5" hidden="1" x14ac:dyDescent="0.25">
      <c r="A719" s="34" t="s">
        <v>977</v>
      </c>
      <c r="B719" s="24" t="s">
        <v>978</v>
      </c>
      <c r="C719" s="40"/>
      <c r="D719" s="40"/>
      <c r="E719" s="40"/>
      <c r="F719" s="2"/>
      <c r="G719" s="59">
        <f>G720</f>
        <v>390</v>
      </c>
      <c r="H719" s="59">
        <f>H720</f>
        <v>390</v>
      </c>
    </row>
    <row r="720" spans="1:8" ht="15.75" hidden="1" x14ac:dyDescent="0.25">
      <c r="A720" s="29" t="s">
        <v>397</v>
      </c>
      <c r="B720" s="40" t="s">
        <v>978</v>
      </c>
      <c r="C720" s="40" t="s">
        <v>241</v>
      </c>
      <c r="D720" s="40"/>
      <c r="E720" s="73"/>
      <c r="F720" s="2"/>
      <c r="G720" s="10">
        <f t="shared" ref="G720:H720" si="100">G721</f>
        <v>390</v>
      </c>
      <c r="H720" s="10">
        <f t="shared" si="100"/>
        <v>390</v>
      </c>
    </row>
    <row r="721" spans="1:8" ht="15.75" hidden="1" x14ac:dyDescent="0.25">
      <c r="A721" s="29" t="s">
        <v>524</v>
      </c>
      <c r="B721" s="40" t="s">
        <v>978</v>
      </c>
      <c r="C721" s="40" t="s">
        <v>241</v>
      </c>
      <c r="D721" s="40" t="s">
        <v>220</v>
      </c>
      <c r="E721" s="73"/>
      <c r="F721" s="2"/>
      <c r="G721" s="10">
        <f>G722</f>
        <v>390</v>
      </c>
      <c r="H721" s="10">
        <f>H722</f>
        <v>390</v>
      </c>
    </row>
    <row r="722" spans="1:8" ht="15.75" hidden="1" x14ac:dyDescent="0.25">
      <c r="A722" s="45" t="s">
        <v>530</v>
      </c>
      <c r="B722" s="20" t="s">
        <v>981</v>
      </c>
      <c r="C722" s="40" t="s">
        <v>241</v>
      </c>
      <c r="D722" s="40" t="s">
        <v>220</v>
      </c>
      <c r="E722" s="40"/>
      <c r="F722" s="2"/>
      <c r="G722" s="10">
        <f>G723</f>
        <v>390</v>
      </c>
      <c r="H722" s="10">
        <f>H723</f>
        <v>390</v>
      </c>
    </row>
    <row r="723" spans="1:8" ht="31.5" hidden="1" x14ac:dyDescent="0.25">
      <c r="A723" s="31" t="s">
        <v>138</v>
      </c>
      <c r="B723" s="20" t="s">
        <v>981</v>
      </c>
      <c r="C723" s="40" t="s">
        <v>241</v>
      </c>
      <c r="D723" s="40" t="s">
        <v>220</v>
      </c>
      <c r="E723" s="40" t="s">
        <v>139</v>
      </c>
      <c r="F723" s="2"/>
      <c r="G723" s="10">
        <f t="shared" ref="G723:H723" si="101">G724</f>
        <v>390</v>
      </c>
      <c r="H723" s="10">
        <f t="shared" si="101"/>
        <v>390</v>
      </c>
    </row>
    <row r="724" spans="1:8" ht="47.25" hidden="1" x14ac:dyDescent="0.25">
      <c r="A724" s="31" t="s">
        <v>140</v>
      </c>
      <c r="B724" s="20" t="s">
        <v>981</v>
      </c>
      <c r="C724" s="40" t="s">
        <v>241</v>
      </c>
      <c r="D724" s="40" t="s">
        <v>220</v>
      </c>
      <c r="E724" s="40" t="s">
        <v>141</v>
      </c>
      <c r="F724" s="2"/>
      <c r="G724" s="10">
        <f>'пр.6.1.ведом.22-23'!G927</f>
        <v>390</v>
      </c>
      <c r="H724" s="10">
        <f>'пр.6.1.ведом.22-23'!H927</f>
        <v>390</v>
      </c>
    </row>
    <row r="725" spans="1:8" ht="47.25" hidden="1" x14ac:dyDescent="0.25">
      <c r="A725" s="45" t="s">
        <v>631</v>
      </c>
      <c r="B725" s="20" t="s">
        <v>981</v>
      </c>
      <c r="C725" s="40" t="s">
        <v>241</v>
      </c>
      <c r="D725" s="40" t="s">
        <v>220</v>
      </c>
      <c r="E725" s="40" t="s">
        <v>141</v>
      </c>
      <c r="F725" s="2">
        <v>908</v>
      </c>
      <c r="G725" s="6">
        <f>G724</f>
        <v>390</v>
      </c>
      <c r="H725" s="6">
        <f>H724</f>
        <v>390</v>
      </c>
    </row>
    <row r="726" spans="1:8" ht="31.5" hidden="1" x14ac:dyDescent="0.25">
      <c r="A726" s="58" t="s">
        <v>979</v>
      </c>
      <c r="B726" s="24" t="s">
        <v>980</v>
      </c>
      <c r="C726" s="40"/>
      <c r="D726" s="40"/>
      <c r="E726" s="40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397</v>
      </c>
      <c r="B727" s="40" t="s">
        <v>980</v>
      </c>
      <c r="C727" s="40" t="s">
        <v>241</v>
      </c>
      <c r="D727" s="40"/>
      <c r="E727" s="73"/>
      <c r="F727" s="2"/>
      <c r="G727" s="10">
        <f t="shared" ref="G727:H727" si="102">G728</f>
        <v>0</v>
      </c>
      <c r="H727" s="10">
        <f t="shared" si="102"/>
        <v>0</v>
      </c>
    </row>
    <row r="728" spans="1:8" ht="15.75" hidden="1" x14ac:dyDescent="0.25">
      <c r="A728" s="29" t="s">
        <v>524</v>
      </c>
      <c r="B728" s="40" t="s">
        <v>980</v>
      </c>
      <c r="C728" s="40" t="s">
        <v>241</v>
      </c>
      <c r="D728" s="40" t="s">
        <v>220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532</v>
      </c>
      <c r="B729" s="20" t="s">
        <v>982</v>
      </c>
      <c r="C729" s="40" t="s">
        <v>241</v>
      </c>
      <c r="D729" s="40" t="s">
        <v>220</v>
      </c>
      <c r="E729" s="40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138</v>
      </c>
      <c r="B730" s="20" t="s">
        <v>982</v>
      </c>
      <c r="C730" s="40" t="s">
        <v>241</v>
      </c>
      <c r="D730" s="40" t="s">
        <v>220</v>
      </c>
      <c r="E730" s="40" t="s">
        <v>139</v>
      </c>
      <c r="F730" s="2"/>
      <c r="G730" s="10">
        <f t="shared" ref="G730:H730" si="103">G731</f>
        <v>0</v>
      </c>
      <c r="H730" s="10">
        <f t="shared" si="103"/>
        <v>0</v>
      </c>
    </row>
    <row r="731" spans="1:8" ht="47.25" hidden="1" x14ac:dyDescent="0.25">
      <c r="A731" s="31" t="s">
        <v>140</v>
      </c>
      <c r="B731" s="20" t="s">
        <v>982</v>
      </c>
      <c r="C731" s="40" t="s">
        <v>241</v>
      </c>
      <c r="D731" s="40" t="s">
        <v>220</v>
      </c>
      <c r="E731" s="40" t="s">
        <v>141</v>
      </c>
      <c r="F731" s="2"/>
      <c r="G731" s="10">
        <f>'пр.6.1.ведом.22-23'!G931</f>
        <v>0</v>
      </c>
      <c r="H731" s="10">
        <f>'пр.6.1.ведом.22-23'!H931</f>
        <v>0</v>
      </c>
    </row>
    <row r="732" spans="1:8" ht="47.25" hidden="1" x14ac:dyDescent="0.25">
      <c r="A732" s="45" t="s">
        <v>631</v>
      </c>
      <c r="B732" s="20" t="s">
        <v>982</v>
      </c>
      <c r="C732" s="40" t="s">
        <v>241</v>
      </c>
      <c r="D732" s="40" t="s">
        <v>220</v>
      </c>
      <c r="E732" s="40" t="s">
        <v>141</v>
      </c>
      <c r="F732" s="2">
        <v>908</v>
      </c>
      <c r="G732" s="6">
        <f>G731</f>
        <v>0</v>
      </c>
      <c r="H732" s="6">
        <f>H731</f>
        <v>0</v>
      </c>
    </row>
    <row r="733" spans="1:8" ht="31.5" hidden="1" x14ac:dyDescent="0.25">
      <c r="A733" s="58" t="s">
        <v>983</v>
      </c>
      <c r="B733" s="24" t="s">
        <v>984</v>
      </c>
      <c r="C733" s="40"/>
      <c r="D733" s="40"/>
      <c r="E733" s="40"/>
      <c r="F733" s="2"/>
      <c r="G733" s="59">
        <f t="shared" ref="G733:H735" si="104">G734</f>
        <v>0</v>
      </c>
      <c r="H733" s="59">
        <f t="shared" si="104"/>
        <v>0</v>
      </c>
    </row>
    <row r="734" spans="1:8" ht="15.75" hidden="1" x14ac:dyDescent="0.25">
      <c r="A734" s="29" t="s">
        <v>397</v>
      </c>
      <c r="B734" s="40" t="s">
        <v>984</v>
      </c>
      <c r="C734" s="40" t="s">
        <v>241</v>
      </c>
      <c r="D734" s="40"/>
      <c r="E734" s="73"/>
      <c r="F734" s="2"/>
      <c r="G734" s="10">
        <f t="shared" si="104"/>
        <v>0</v>
      </c>
      <c r="H734" s="10">
        <f t="shared" si="104"/>
        <v>0</v>
      </c>
    </row>
    <row r="735" spans="1:8" ht="15.75" hidden="1" x14ac:dyDescent="0.25">
      <c r="A735" s="29" t="s">
        <v>524</v>
      </c>
      <c r="B735" s="40" t="s">
        <v>984</v>
      </c>
      <c r="C735" s="40" t="s">
        <v>241</v>
      </c>
      <c r="D735" s="40" t="s">
        <v>220</v>
      </c>
      <c r="E735" s="73"/>
      <c r="F735" s="2"/>
      <c r="G735" s="10">
        <f t="shared" si="104"/>
        <v>0</v>
      </c>
      <c r="H735" s="10">
        <f t="shared" si="104"/>
        <v>0</v>
      </c>
    </row>
    <row r="736" spans="1:8" ht="31.5" hidden="1" x14ac:dyDescent="0.25">
      <c r="A736" s="45" t="s">
        <v>534</v>
      </c>
      <c r="B736" s="20" t="s">
        <v>985</v>
      </c>
      <c r="C736" s="40" t="s">
        <v>241</v>
      </c>
      <c r="D736" s="40" t="s">
        <v>220</v>
      </c>
      <c r="E736" s="40"/>
      <c r="F736" s="2"/>
      <c r="G736" s="10">
        <f t="shared" ref="G736:H737" si="105">G737</f>
        <v>0</v>
      </c>
      <c r="H736" s="10">
        <f t="shared" si="105"/>
        <v>0</v>
      </c>
    </row>
    <row r="737" spans="1:8" ht="31.5" hidden="1" x14ac:dyDescent="0.25">
      <c r="A737" s="31" t="s">
        <v>138</v>
      </c>
      <c r="B737" s="20" t="s">
        <v>985</v>
      </c>
      <c r="C737" s="40" t="s">
        <v>241</v>
      </c>
      <c r="D737" s="40" t="s">
        <v>220</v>
      </c>
      <c r="E737" s="40" t="s">
        <v>139</v>
      </c>
      <c r="F737" s="2"/>
      <c r="G737" s="10">
        <f t="shared" si="105"/>
        <v>0</v>
      </c>
      <c r="H737" s="10">
        <f t="shared" si="105"/>
        <v>0</v>
      </c>
    </row>
    <row r="738" spans="1:8" ht="47.25" hidden="1" x14ac:dyDescent="0.25">
      <c r="A738" s="31" t="s">
        <v>140</v>
      </c>
      <c r="B738" s="20" t="s">
        <v>985</v>
      </c>
      <c r="C738" s="40" t="s">
        <v>241</v>
      </c>
      <c r="D738" s="40" t="s">
        <v>220</v>
      </c>
      <c r="E738" s="40" t="s">
        <v>141</v>
      </c>
      <c r="F738" s="2"/>
      <c r="G738" s="10">
        <f>'пр.6.1.ведом.22-23'!G935</f>
        <v>0</v>
      </c>
      <c r="H738" s="10">
        <f>'пр.6.1.ведом.22-23'!H935</f>
        <v>0</v>
      </c>
    </row>
    <row r="739" spans="1:8" ht="47.25" hidden="1" x14ac:dyDescent="0.25">
      <c r="A739" s="45" t="s">
        <v>631</v>
      </c>
      <c r="B739" s="20" t="s">
        <v>985</v>
      </c>
      <c r="C739" s="40" t="s">
        <v>241</v>
      </c>
      <c r="D739" s="40" t="s">
        <v>220</v>
      </c>
      <c r="E739" s="40" t="s">
        <v>141</v>
      </c>
      <c r="F739" s="2">
        <v>908</v>
      </c>
      <c r="G739" s="6">
        <f>G738</f>
        <v>0</v>
      </c>
      <c r="H739" s="6">
        <f>H738</f>
        <v>0</v>
      </c>
    </row>
    <row r="740" spans="1:8" ht="31.5" hidden="1" x14ac:dyDescent="0.25">
      <c r="A740" s="34" t="s">
        <v>1024</v>
      </c>
      <c r="B740" s="24" t="s">
        <v>1025</v>
      </c>
      <c r="C740" s="40"/>
      <c r="D740" s="40"/>
      <c r="E740" s="40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397</v>
      </c>
      <c r="B741" s="40" t="s">
        <v>525</v>
      </c>
      <c r="C741" s="40" t="s">
        <v>241</v>
      </c>
      <c r="D741" s="40"/>
      <c r="E741" s="73"/>
      <c r="F741" s="2"/>
      <c r="G741" s="10">
        <f t="shared" ref="G741:H741" si="106">G742</f>
        <v>0</v>
      </c>
      <c r="H741" s="10">
        <f t="shared" si="106"/>
        <v>0</v>
      </c>
    </row>
    <row r="742" spans="1:8" ht="15.75" hidden="1" x14ac:dyDescent="0.25">
      <c r="A742" s="29" t="s">
        <v>524</v>
      </c>
      <c r="B742" s="40" t="s">
        <v>525</v>
      </c>
      <c r="C742" s="40" t="s">
        <v>241</v>
      </c>
      <c r="D742" s="40" t="s">
        <v>220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536</v>
      </c>
      <c r="B743" s="20" t="s">
        <v>1028</v>
      </c>
      <c r="C743" s="40" t="s">
        <v>241</v>
      </c>
      <c r="D743" s="40" t="s">
        <v>220</v>
      </c>
      <c r="E743" s="40"/>
      <c r="F743" s="2"/>
      <c r="G743" s="10">
        <f t="shared" ref="G743:H744" si="107">G744</f>
        <v>0</v>
      </c>
      <c r="H743" s="10">
        <f t="shared" si="107"/>
        <v>0</v>
      </c>
    </row>
    <row r="744" spans="1:8" ht="31.5" hidden="1" x14ac:dyDescent="0.25">
      <c r="A744" s="31" t="s">
        <v>138</v>
      </c>
      <c r="B744" s="20" t="s">
        <v>1028</v>
      </c>
      <c r="C744" s="40" t="s">
        <v>241</v>
      </c>
      <c r="D744" s="40" t="s">
        <v>220</v>
      </c>
      <c r="E744" s="40" t="s">
        <v>139</v>
      </c>
      <c r="F744" s="2"/>
      <c r="G744" s="10">
        <f t="shared" si="107"/>
        <v>0</v>
      </c>
      <c r="H744" s="10">
        <f t="shared" si="107"/>
        <v>0</v>
      </c>
    </row>
    <row r="745" spans="1:8" ht="47.25" hidden="1" x14ac:dyDescent="0.25">
      <c r="A745" s="31" t="s">
        <v>140</v>
      </c>
      <c r="B745" s="20" t="s">
        <v>1028</v>
      </c>
      <c r="C745" s="40" t="s">
        <v>241</v>
      </c>
      <c r="D745" s="40" t="s">
        <v>220</v>
      </c>
      <c r="E745" s="40" t="s">
        <v>141</v>
      </c>
      <c r="F745" s="2"/>
      <c r="G745" s="10">
        <f>'пр.6.1.ведом.22-23'!G939</f>
        <v>0</v>
      </c>
      <c r="H745" s="10">
        <f>'пр.6.1.ведом.22-23'!H939</f>
        <v>0</v>
      </c>
    </row>
    <row r="746" spans="1:8" ht="47.25" hidden="1" x14ac:dyDescent="0.25">
      <c r="A746" s="45" t="s">
        <v>631</v>
      </c>
      <c r="B746" s="20" t="s">
        <v>1028</v>
      </c>
      <c r="C746" s="40" t="s">
        <v>241</v>
      </c>
      <c r="D746" s="40" t="s">
        <v>220</v>
      </c>
      <c r="E746" s="40" t="s">
        <v>141</v>
      </c>
      <c r="F746" s="2">
        <v>908</v>
      </c>
      <c r="G746" s="6">
        <f>G745</f>
        <v>0</v>
      </c>
      <c r="H746" s="6">
        <f>H745</f>
        <v>0</v>
      </c>
    </row>
    <row r="747" spans="1:8" ht="47.25" hidden="1" x14ac:dyDescent="0.25">
      <c r="A747" s="215" t="s">
        <v>1026</v>
      </c>
      <c r="B747" s="24" t="s">
        <v>1027</v>
      </c>
      <c r="C747" s="40"/>
      <c r="D747" s="40"/>
      <c r="E747" s="40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397</v>
      </c>
      <c r="B748" s="40" t="s">
        <v>525</v>
      </c>
      <c r="C748" s="40" t="s">
        <v>241</v>
      </c>
      <c r="D748" s="40"/>
      <c r="E748" s="73"/>
      <c r="F748" s="2"/>
      <c r="G748" s="10">
        <f t="shared" ref="G748:H748" si="108">G749</f>
        <v>0</v>
      </c>
      <c r="H748" s="10">
        <f t="shared" si="108"/>
        <v>0</v>
      </c>
    </row>
    <row r="749" spans="1:8" ht="15.75" hidden="1" x14ac:dyDescent="0.25">
      <c r="A749" s="29" t="s">
        <v>524</v>
      </c>
      <c r="B749" s="40" t="s">
        <v>525</v>
      </c>
      <c r="C749" s="40" t="s">
        <v>241</v>
      </c>
      <c r="D749" s="40" t="s">
        <v>220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6" t="s">
        <v>538</v>
      </c>
      <c r="B750" s="20" t="s">
        <v>1029</v>
      </c>
      <c r="C750" s="40" t="s">
        <v>241</v>
      </c>
      <c r="D750" s="40" t="s">
        <v>220</v>
      </c>
      <c r="E750" s="40"/>
      <c r="F750" s="2"/>
      <c r="G750" s="10">
        <f t="shared" ref="G750:H751" si="109">G751</f>
        <v>0</v>
      </c>
      <c r="H750" s="10">
        <f t="shared" si="109"/>
        <v>0</v>
      </c>
    </row>
    <row r="751" spans="1:8" ht="31.5" hidden="1" x14ac:dyDescent="0.25">
      <c r="A751" s="31" t="s">
        <v>138</v>
      </c>
      <c r="B751" s="20" t="s">
        <v>1029</v>
      </c>
      <c r="C751" s="40" t="s">
        <v>241</v>
      </c>
      <c r="D751" s="40" t="s">
        <v>220</v>
      </c>
      <c r="E751" s="40" t="s">
        <v>139</v>
      </c>
      <c r="F751" s="2"/>
      <c r="G751" s="10">
        <f t="shared" si="109"/>
        <v>0</v>
      </c>
      <c r="H751" s="10">
        <f t="shared" si="109"/>
        <v>0</v>
      </c>
    </row>
    <row r="752" spans="1:8" ht="47.25" hidden="1" x14ac:dyDescent="0.25">
      <c r="A752" s="31" t="s">
        <v>140</v>
      </c>
      <c r="B752" s="20" t="s">
        <v>1029</v>
      </c>
      <c r="C752" s="40" t="s">
        <v>241</v>
      </c>
      <c r="D752" s="40" t="s">
        <v>220</v>
      </c>
      <c r="E752" s="40" t="s">
        <v>141</v>
      </c>
      <c r="F752" s="2"/>
      <c r="G752" s="10">
        <f>'пр.6.1.ведом.22-23'!G943</f>
        <v>0</v>
      </c>
      <c r="H752" s="10">
        <f>'пр.6.1.ведом.22-23'!H943</f>
        <v>0</v>
      </c>
    </row>
    <row r="753" spans="1:8" ht="47.25" hidden="1" x14ac:dyDescent="0.25">
      <c r="A753" s="45" t="s">
        <v>631</v>
      </c>
      <c r="B753" s="20" t="s">
        <v>1029</v>
      </c>
      <c r="C753" s="40" t="s">
        <v>241</v>
      </c>
      <c r="D753" s="40" t="s">
        <v>220</v>
      </c>
      <c r="E753" s="40" t="s">
        <v>141</v>
      </c>
      <c r="F753" s="2">
        <v>908</v>
      </c>
      <c r="G753" s="6">
        <f>G752</f>
        <v>0</v>
      </c>
      <c r="H753" s="6">
        <f>H752</f>
        <v>0</v>
      </c>
    </row>
    <row r="754" spans="1:8" ht="31.5" hidden="1" x14ac:dyDescent="0.25">
      <c r="A754" s="215" t="s">
        <v>987</v>
      </c>
      <c r="B754" s="24" t="s">
        <v>988</v>
      </c>
      <c r="C754" s="40"/>
      <c r="D754" s="40"/>
      <c r="E754" s="40"/>
      <c r="F754" s="2"/>
      <c r="G754" s="59">
        <f t="shared" ref="G754:H756" si="110">G755</f>
        <v>0</v>
      </c>
      <c r="H754" s="59">
        <f t="shared" si="110"/>
        <v>0</v>
      </c>
    </row>
    <row r="755" spans="1:8" ht="15.75" hidden="1" x14ac:dyDescent="0.25">
      <c r="A755" s="29" t="s">
        <v>397</v>
      </c>
      <c r="B755" s="40" t="s">
        <v>525</v>
      </c>
      <c r="C755" s="40" t="s">
        <v>241</v>
      </c>
      <c r="D755" s="40"/>
      <c r="E755" s="73"/>
      <c r="F755" s="2"/>
      <c r="G755" s="10">
        <f t="shared" si="110"/>
        <v>0</v>
      </c>
      <c r="H755" s="10">
        <f t="shared" si="110"/>
        <v>0</v>
      </c>
    </row>
    <row r="756" spans="1:8" ht="15.75" hidden="1" x14ac:dyDescent="0.25">
      <c r="A756" s="29" t="s">
        <v>524</v>
      </c>
      <c r="B756" s="40" t="s">
        <v>525</v>
      </c>
      <c r="C756" s="40" t="s">
        <v>241</v>
      </c>
      <c r="D756" s="40" t="s">
        <v>220</v>
      </c>
      <c r="E756" s="73"/>
      <c r="F756" s="2"/>
      <c r="G756" s="10">
        <f t="shared" si="110"/>
        <v>0</v>
      </c>
      <c r="H756" s="10">
        <f t="shared" si="110"/>
        <v>0</v>
      </c>
    </row>
    <row r="757" spans="1:8" ht="15.75" hidden="1" x14ac:dyDescent="0.25">
      <c r="A757" s="176" t="s">
        <v>540</v>
      </c>
      <c r="B757" s="20" t="s">
        <v>986</v>
      </c>
      <c r="C757" s="40" t="s">
        <v>241</v>
      </c>
      <c r="D757" s="40" t="s">
        <v>220</v>
      </c>
      <c r="E757" s="40"/>
      <c r="F757" s="2"/>
      <c r="G757" s="10">
        <f t="shared" ref="G757:H758" si="111">G758</f>
        <v>0</v>
      </c>
      <c r="H757" s="10">
        <f t="shared" si="111"/>
        <v>0</v>
      </c>
    </row>
    <row r="758" spans="1:8" ht="31.5" hidden="1" x14ac:dyDescent="0.3">
      <c r="A758" s="25" t="s">
        <v>138</v>
      </c>
      <c r="B758" s="20" t="s">
        <v>986</v>
      </c>
      <c r="C758" s="40" t="s">
        <v>241</v>
      </c>
      <c r="D758" s="40" t="s">
        <v>220</v>
      </c>
      <c r="E758" s="2">
        <v>200</v>
      </c>
      <c r="F758" s="77"/>
      <c r="G758" s="6">
        <f t="shared" si="111"/>
        <v>0</v>
      </c>
      <c r="H758" s="6">
        <f t="shared" si="111"/>
        <v>0</v>
      </c>
    </row>
    <row r="759" spans="1:8" ht="47.25" hidden="1" x14ac:dyDescent="0.3">
      <c r="A759" s="25" t="s">
        <v>140</v>
      </c>
      <c r="B759" s="20" t="s">
        <v>986</v>
      </c>
      <c r="C759" s="40" t="s">
        <v>241</v>
      </c>
      <c r="D759" s="40" t="s">
        <v>220</v>
      </c>
      <c r="E759" s="2">
        <v>240</v>
      </c>
      <c r="F759" s="77"/>
      <c r="G759" s="6">
        <f>'пр.6.1.ведом.22-23'!G947</f>
        <v>0</v>
      </c>
      <c r="H759" s="6">
        <f>'пр.6.1.ведом.22-23'!H947</f>
        <v>0</v>
      </c>
    </row>
    <row r="760" spans="1:8" ht="47.25" hidden="1" x14ac:dyDescent="0.25">
      <c r="A760" s="45" t="s">
        <v>631</v>
      </c>
      <c r="B760" s="20" t="s">
        <v>986</v>
      </c>
      <c r="C760" s="40" t="s">
        <v>241</v>
      </c>
      <c r="D760" s="40" t="s">
        <v>220</v>
      </c>
      <c r="E760" s="2">
        <v>240</v>
      </c>
      <c r="F760" s="2">
        <v>908</v>
      </c>
      <c r="G760" s="6">
        <f>G759</f>
        <v>0</v>
      </c>
      <c r="H760" s="6">
        <f>H759</f>
        <v>0</v>
      </c>
    </row>
    <row r="761" spans="1:8" ht="47.25" x14ac:dyDescent="0.25">
      <c r="A761" s="23" t="s">
        <v>1366</v>
      </c>
      <c r="B761" s="24" t="s">
        <v>342</v>
      </c>
      <c r="C761" s="7"/>
      <c r="D761" s="7"/>
      <c r="E761" s="3"/>
      <c r="F761" s="3"/>
      <c r="G761" s="4">
        <f t="shared" ref="G761:H763" si="112">G762</f>
        <v>120</v>
      </c>
      <c r="H761" s="4">
        <f t="shared" si="112"/>
        <v>120</v>
      </c>
    </row>
    <row r="762" spans="1:8" ht="31.5" x14ac:dyDescent="0.25">
      <c r="A762" s="23" t="s">
        <v>1060</v>
      </c>
      <c r="B762" s="24" t="s">
        <v>1061</v>
      </c>
      <c r="C762" s="7"/>
      <c r="D762" s="7"/>
      <c r="E762" s="3"/>
      <c r="F762" s="3"/>
      <c r="G762" s="4">
        <f t="shared" si="112"/>
        <v>120</v>
      </c>
      <c r="H762" s="4">
        <f t="shared" si="112"/>
        <v>120</v>
      </c>
    </row>
    <row r="763" spans="1:8" ht="15.75" x14ac:dyDescent="0.25">
      <c r="A763" s="29" t="s">
        <v>124</v>
      </c>
      <c r="B763" s="20" t="s">
        <v>1061</v>
      </c>
      <c r="C763" s="40" t="s">
        <v>125</v>
      </c>
      <c r="D763" s="40"/>
      <c r="E763" s="2"/>
      <c r="F763" s="2"/>
      <c r="G763" s="6">
        <f t="shared" si="112"/>
        <v>120</v>
      </c>
      <c r="H763" s="6">
        <f t="shared" si="112"/>
        <v>120</v>
      </c>
    </row>
    <row r="764" spans="1:8" ht="15.75" x14ac:dyDescent="0.25">
      <c r="A764" s="29" t="s">
        <v>146</v>
      </c>
      <c r="B764" s="20" t="s">
        <v>1061</v>
      </c>
      <c r="C764" s="40" t="s">
        <v>125</v>
      </c>
      <c r="D764" s="40" t="s">
        <v>147</v>
      </c>
      <c r="E764" s="2"/>
      <c r="F764" s="2"/>
      <c r="G764" s="6">
        <f>G765+G775+G779+G783+G787+G791</f>
        <v>120</v>
      </c>
      <c r="H764" s="6">
        <f>H765+H775+H779+H783+H787+H791</f>
        <v>120</v>
      </c>
    </row>
    <row r="765" spans="1:8" s="202" customFormat="1" ht="31.5" x14ac:dyDescent="0.25">
      <c r="A765" s="25" t="s">
        <v>343</v>
      </c>
      <c r="B765" s="20" t="s">
        <v>1062</v>
      </c>
      <c r="C765" s="40" t="s">
        <v>125</v>
      </c>
      <c r="D765" s="40" t="s">
        <v>147</v>
      </c>
      <c r="E765" s="2"/>
      <c r="F765" s="2"/>
      <c r="G765" s="6">
        <f>G766+G769+G772</f>
        <v>100</v>
      </c>
      <c r="H765" s="6">
        <f>H766+H769+H772</f>
        <v>100</v>
      </c>
    </row>
    <row r="766" spans="1:8" s="202" customFormat="1" ht="31.5" hidden="1" x14ac:dyDescent="0.25">
      <c r="A766" s="25" t="s">
        <v>138</v>
      </c>
      <c r="B766" s="20" t="s">
        <v>1062</v>
      </c>
      <c r="C766" s="40" t="s">
        <v>125</v>
      </c>
      <c r="D766" s="40" t="s">
        <v>147</v>
      </c>
      <c r="E766" s="2">
        <v>200</v>
      </c>
      <c r="F766" s="2"/>
      <c r="G766" s="6">
        <f t="shared" ref="G766:H766" si="113">G767</f>
        <v>0</v>
      </c>
      <c r="H766" s="6">
        <f t="shared" si="113"/>
        <v>100</v>
      </c>
    </row>
    <row r="767" spans="1:8" s="202" customFormat="1" ht="47.25" hidden="1" x14ac:dyDescent="0.25">
      <c r="A767" s="25" t="s">
        <v>140</v>
      </c>
      <c r="B767" s="20" t="s">
        <v>1062</v>
      </c>
      <c r="C767" s="40" t="s">
        <v>125</v>
      </c>
      <c r="D767" s="40" t="s">
        <v>147</v>
      </c>
      <c r="E767" s="2">
        <v>240</v>
      </c>
      <c r="F767" s="2"/>
      <c r="G767" s="6">
        <f>'пр.6.1.ведом.22-23'!G255</f>
        <v>0</v>
      </c>
      <c r="H767" s="6">
        <f>'пр.6.1.ведом.22-23'!H255</f>
        <v>100</v>
      </c>
    </row>
    <row r="768" spans="1:8" s="202" customFormat="1" ht="31.5" hidden="1" x14ac:dyDescent="0.25">
      <c r="A768" s="45" t="s">
        <v>410</v>
      </c>
      <c r="B768" s="20" t="s">
        <v>1062</v>
      </c>
      <c r="C768" s="40" t="s">
        <v>125</v>
      </c>
      <c r="D768" s="40" t="s">
        <v>147</v>
      </c>
      <c r="E768" s="2">
        <v>240</v>
      </c>
      <c r="F768" s="2">
        <v>903</v>
      </c>
      <c r="G768" s="6">
        <f>G767</f>
        <v>0</v>
      </c>
      <c r="H768" s="6">
        <f>H767</f>
        <v>100</v>
      </c>
    </row>
    <row r="769" spans="1:8" ht="31.5" hidden="1" x14ac:dyDescent="0.25">
      <c r="A769" s="25" t="s">
        <v>138</v>
      </c>
      <c r="B769" s="20" t="s">
        <v>1062</v>
      </c>
      <c r="C769" s="40" t="s">
        <v>125</v>
      </c>
      <c r="D769" s="40" t="s">
        <v>147</v>
      </c>
      <c r="E769" s="2">
        <v>200</v>
      </c>
      <c r="F769" s="2"/>
      <c r="G769" s="6">
        <f t="shared" ref="G769:H769" si="114">G770</f>
        <v>0</v>
      </c>
      <c r="H769" s="6">
        <f t="shared" si="114"/>
        <v>0</v>
      </c>
    </row>
    <row r="770" spans="1:8" ht="47.25" hidden="1" x14ac:dyDescent="0.25">
      <c r="A770" s="25" t="s">
        <v>140</v>
      </c>
      <c r="B770" s="20" t="s">
        <v>1062</v>
      </c>
      <c r="C770" s="40" t="s">
        <v>125</v>
      </c>
      <c r="D770" s="40" t="s">
        <v>147</v>
      </c>
      <c r="E770" s="2">
        <v>240</v>
      </c>
      <c r="F770" s="2"/>
      <c r="G770" s="6">
        <f>'пр.6.1.ведом.22-23'!G544</f>
        <v>0</v>
      </c>
      <c r="H770" s="6">
        <f>'пр.6.1.ведом.22-23'!H544</f>
        <v>0</v>
      </c>
    </row>
    <row r="771" spans="1:8" ht="31.5" hidden="1" x14ac:dyDescent="0.25">
      <c r="A771" s="45" t="s">
        <v>410</v>
      </c>
      <c r="B771" s="20" t="s">
        <v>1062</v>
      </c>
      <c r="C771" s="40" t="s">
        <v>125</v>
      </c>
      <c r="D771" s="40" t="s">
        <v>147</v>
      </c>
      <c r="E771" s="2">
        <v>240</v>
      </c>
      <c r="F771" s="2">
        <v>906</v>
      </c>
      <c r="G771" s="6">
        <f>G770</f>
        <v>0</v>
      </c>
      <c r="H771" s="6">
        <f>H770</f>
        <v>0</v>
      </c>
    </row>
    <row r="772" spans="1:8" ht="31.5" x14ac:dyDescent="0.25">
      <c r="A772" s="25" t="s">
        <v>138</v>
      </c>
      <c r="B772" s="20" t="s">
        <v>1062</v>
      </c>
      <c r="C772" s="40" t="s">
        <v>125</v>
      </c>
      <c r="D772" s="40" t="s">
        <v>147</v>
      </c>
      <c r="E772" s="2">
        <v>200</v>
      </c>
      <c r="F772" s="2"/>
      <c r="G772" s="6">
        <f t="shared" ref="G772:H772" si="115">G773</f>
        <v>100</v>
      </c>
      <c r="H772" s="6">
        <f t="shared" si="115"/>
        <v>0</v>
      </c>
    </row>
    <row r="773" spans="1:8" ht="47.25" x14ac:dyDescent="0.25">
      <c r="A773" s="25" t="s">
        <v>140</v>
      </c>
      <c r="B773" s="20" t="s">
        <v>1062</v>
      </c>
      <c r="C773" s="40" t="s">
        <v>125</v>
      </c>
      <c r="D773" s="40" t="s">
        <v>147</v>
      </c>
      <c r="E773" s="2">
        <v>240</v>
      </c>
      <c r="F773" s="2"/>
      <c r="G773" s="6">
        <f>'пр.6.1.ведом.22-23'!G763</f>
        <v>100</v>
      </c>
      <c r="H773" s="6">
        <f>'пр.6.1.ведом.22-23'!H763</f>
        <v>0</v>
      </c>
    </row>
    <row r="774" spans="1:8" ht="47.25" x14ac:dyDescent="0.25">
      <c r="A774" s="45" t="s">
        <v>487</v>
      </c>
      <c r="B774" s="20" t="s">
        <v>1062</v>
      </c>
      <c r="C774" s="40" t="s">
        <v>125</v>
      </c>
      <c r="D774" s="40" t="s">
        <v>147</v>
      </c>
      <c r="E774" s="2">
        <v>240</v>
      </c>
      <c r="F774" s="2">
        <v>907</v>
      </c>
      <c r="G774" s="6">
        <f>G773</f>
        <v>100</v>
      </c>
      <c r="H774" s="6">
        <f>H773</f>
        <v>0</v>
      </c>
    </row>
    <row r="775" spans="1:8" ht="31.5" hidden="1" x14ac:dyDescent="0.25">
      <c r="A775" s="25" t="s">
        <v>343</v>
      </c>
      <c r="B775" s="20" t="s">
        <v>1067</v>
      </c>
      <c r="C775" s="40" t="s">
        <v>125</v>
      </c>
      <c r="D775" s="40" t="s">
        <v>147</v>
      </c>
      <c r="E775" s="2"/>
      <c r="F775" s="2"/>
      <c r="G775" s="6">
        <f>G776</f>
        <v>0</v>
      </c>
      <c r="H775" s="6">
        <f>H776</f>
        <v>0</v>
      </c>
    </row>
    <row r="776" spans="1:8" ht="31.5" hidden="1" x14ac:dyDescent="0.25">
      <c r="A776" s="25" t="s">
        <v>138</v>
      </c>
      <c r="B776" s="20" t="s">
        <v>1067</v>
      </c>
      <c r="C776" s="40" t="s">
        <v>125</v>
      </c>
      <c r="D776" s="40" t="s">
        <v>147</v>
      </c>
      <c r="E776" s="2">
        <v>200</v>
      </c>
      <c r="F776" s="2"/>
      <c r="G776" s="6">
        <f t="shared" ref="G776:H776" si="116">G777</f>
        <v>0</v>
      </c>
      <c r="H776" s="6">
        <f t="shared" si="116"/>
        <v>0</v>
      </c>
    </row>
    <row r="777" spans="1:8" ht="47.25" hidden="1" x14ac:dyDescent="0.25">
      <c r="A777" s="25" t="s">
        <v>140</v>
      </c>
      <c r="B777" s="20" t="s">
        <v>1067</v>
      </c>
      <c r="C777" s="40" t="s">
        <v>125</v>
      </c>
      <c r="D777" s="40" t="s">
        <v>147</v>
      </c>
      <c r="E777" s="2">
        <v>240</v>
      </c>
      <c r="F777" s="2"/>
      <c r="G777" s="6">
        <v>0</v>
      </c>
      <c r="H777" s="6">
        <v>0</v>
      </c>
    </row>
    <row r="778" spans="1:8" ht="31.5" hidden="1" x14ac:dyDescent="0.25">
      <c r="A778" s="45" t="s">
        <v>410</v>
      </c>
      <c r="B778" s="20" t="s">
        <v>1067</v>
      </c>
      <c r="C778" s="40" t="s">
        <v>125</v>
      </c>
      <c r="D778" s="40" t="s">
        <v>147</v>
      </c>
      <c r="E778" s="2">
        <v>240</v>
      </c>
      <c r="F778" s="2">
        <v>906</v>
      </c>
      <c r="G778" s="6">
        <f>G777</f>
        <v>0</v>
      </c>
      <c r="H778" s="6">
        <f>H777</f>
        <v>0</v>
      </c>
    </row>
    <row r="779" spans="1:8" ht="31.5" x14ac:dyDescent="0.25">
      <c r="A779" s="25" t="s">
        <v>345</v>
      </c>
      <c r="B779" s="20" t="s">
        <v>1063</v>
      </c>
      <c r="C779" s="40" t="s">
        <v>125</v>
      </c>
      <c r="D779" s="40" t="s">
        <v>147</v>
      </c>
      <c r="E779" s="2"/>
      <c r="F779" s="2"/>
      <c r="G779" s="6">
        <f t="shared" ref="G779:H780" si="117">G780</f>
        <v>20</v>
      </c>
      <c r="H779" s="6">
        <f t="shared" si="117"/>
        <v>20</v>
      </c>
    </row>
    <row r="780" spans="1:8" ht="31.5" x14ac:dyDescent="0.25">
      <c r="A780" s="25" t="s">
        <v>138</v>
      </c>
      <c r="B780" s="20" t="s">
        <v>1063</v>
      </c>
      <c r="C780" s="40" t="s">
        <v>125</v>
      </c>
      <c r="D780" s="40" t="s">
        <v>147</v>
      </c>
      <c r="E780" s="2">
        <v>200</v>
      </c>
      <c r="F780" s="2"/>
      <c r="G780" s="6">
        <f t="shared" si="117"/>
        <v>20</v>
      </c>
      <c r="H780" s="6">
        <f t="shared" si="117"/>
        <v>20</v>
      </c>
    </row>
    <row r="781" spans="1:8" ht="47.25" x14ac:dyDescent="0.25">
      <c r="A781" s="25" t="s">
        <v>140</v>
      </c>
      <c r="B781" s="20" t="s">
        <v>1063</v>
      </c>
      <c r="C781" s="40" t="s">
        <v>125</v>
      </c>
      <c r="D781" s="40" t="s">
        <v>147</v>
      </c>
      <c r="E781" s="2">
        <v>240</v>
      </c>
      <c r="F781" s="2"/>
      <c r="G781" s="6">
        <f>'пр.6.1.ведом.22-23'!G264</f>
        <v>20</v>
      </c>
      <c r="H781" s="6">
        <f>'пр.6.1.ведом.22-23'!H264</f>
        <v>20</v>
      </c>
    </row>
    <row r="782" spans="1:8" ht="47.25" x14ac:dyDescent="0.25">
      <c r="A782" s="25" t="s">
        <v>1087</v>
      </c>
      <c r="B782" s="20" t="s">
        <v>1063</v>
      </c>
      <c r="C782" s="40" t="s">
        <v>125</v>
      </c>
      <c r="D782" s="40" t="s">
        <v>147</v>
      </c>
      <c r="E782" s="2">
        <v>240</v>
      </c>
      <c r="F782" s="2">
        <v>903</v>
      </c>
      <c r="G782" s="6">
        <f>G781</f>
        <v>20</v>
      </c>
      <c r="H782" s="6">
        <f>H781</f>
        <v>20</v>
      </c>
    </row>
    <row r="783" spans="1:8" ht="63" hidden="1" x14ac:dyDescent="0.25">
      <c r="A783" s="31" t="s">
        <v>781</v>
      </c>
      <c r="B783" s="20" t="s">
        <v>1064</v>
      </c>
      <c r="C783" s="40" t="s">
        <v>125</v>
      </c>
      <c r="D783" s="40" t="s">
        <v>147</v>
      </c>
      <c r="E783" s="2"/>
      <c r="F783" s="2"/>
      <c r="G783" s="6">
        <f t="shared" ref="G783:H784" si="118">G784</f>
        <v>0</v>
      </c>
      <c r="H783" s="6">
        <f t="shared" si="118"/>
        <v>0</v>
      </c>
    </row>
    <row r="784" spans="1:8" ht="31.5" hidden="1" x14ac:dyDescent="0.25">
      <c r="A784" s="25" t="s">
        <v>138</v>
      </c>
      <c r="B784" s="20" t="s">
        <v>1064</v>
      </c>
      <c r="C784" s="20" t="s">
        <v>125</v>
      </c>
      <c r="D784" s="20" t="s">
        <v>147</v>
      </c>
      <c r="E784" s="20" t="s">
        <v>139</v>
      </c>
      <c r="F784" s="179"/>
      <c r="G784" s="6">
        <f t="shared" si="118"/>
        <v>0</v>
      </c>
      <c r="H784" s="6">
        <f t="shared" si="118"/>
        <v>0</v>
      </c>
    </row>
    <row r="785" spans="1:8" ht="47.25" hidden="1" x14ac:dyDescent="0.25">
      <c r="A785" s="25" t="s">
        <v>140</v>
      </c>
      <c r="B785" s="20" t="s">
        <v>1064</v>
      </c>
      <c r="C785" s="20" t="s">
        <v>125</v>
      </c>
      <c r="D785" s="20" t="s">
        <v>147</v>
      </c>
      <c r="E785" s="20" t="s">
        <v>141</v>
      </c>
      <c r="F785" s="179"/>
      <c r="G785" s="6">
        <f>'пр.6.1.ведом.22-23'!G258</f>
        <v>0</v>
      </c>
      <c r="H785" s="6">
        <f>'пр.6.1.ведом.22-23'!H258</f>
        <v>0</v>
      </c>
    </row>
    <row r="786" spans="1:8" ht="31.5" hidden="1" x14ac:dyDescent="0.25">
      <c r="A786" s="25" t="s">
        <v>410</v>
      </c>
      <c r="B786" s="20" t="s">
        <v>1064</v>
      </c>
      <c r="C786" s="40" t="s">
        <v>125</v>
      </c>
      <c r="D786" s="40" t="s">
        <v>147</v>
      </c>
      <c r="E786" s="2">
        <v>240</v>
      </c>
      <c r="F786" s="2">
        <v>906</v>
      </c>
      <c r="G786" s="6">
        <f>G785</f>
        <v>0</v>
      </c>
      <c r="H786" s="6">
        <f>H785</f>
        <v>0</v>
      </c>
    </row>
    <row r="787" spans="1:8" ht="47.25" hidden="1" x14ac:dyDescent="0.25">
      <c r="A787" s="25" t="s">
        <v>687</v>
      </c>
      <c r="B787" s="20" t="s">
        <v>1065</v>
      </c>
      <c r="C787" s="40" t="s">
        <v>125</v>
      </c>
      <c r="D787" s="40" t="s">
        <v>147</v>
      </c>
      <c r="E787" s="2"/>
      <c r="F787" s="179"/>
      <c r="G787" s="6">
        <f t="shared" ref="G787:H788" si="119">G788</f>
        <v>0</v>
      </c>
      <c r="H787" s="6">
        <f t="shared" si="119"/>
        <v>0</v>
      </c>
    </row>
    <row r="788" spans="1:8" ht="31.5" hidden="1" x14ac:dyDescent="0.25">
      <c r="A788" s="25" t="s">
        <v>138</v>
      </c>
      <c r="B788" s="20" t="s">
        <v>1065</v>
      </c>
      <c r="C788" s="40" t="s">
        <v>125</v>
      </c>
      <c r="D788" s="40" t="s">
        <v>147</v>
      </c>
      <c r="E788" s="2">
        <v>200</v>
      </c>
      <c r="F788" s="179"/>
      <c r="G788" s="6">
        <f t="shared" si="119"/>
        <v>0</v>
      </c>
      <c r="H788" s="6">
        <f t="shared" si="119"/>
        <v>0</v>
      </c>
    </row>
    <row r="789" spans="1:8" ht="47.25" hidden="1" x14ac:dyDescent="0.25">
      <c r="A789" s="25" t="s">
        <v>140</v>
      </c>
      <c r="B789" s="20" t="s">
        <v>1065</v>
      </c>
      <c r="C789" s="40" t="s">
        <v>125</v>
      </c>
      <c r="D789" s="40" t="s">
        <v>147</v>
      </c>
      <c r="E789" s="2">
        <v>240</v>
      </c>
      <c r="F789" s="179"/>
      <c r="G789" s="6">
        <f>'пр.6.1.ведом.22-23'!G261</f>
        <v>0</v>
      </c>
      <c r="H789" s="6">
        <f>'пр.6.1.ведом.22-23'!H261</f>
        <v>0</v>
      </c>
    </row>
    <row r="790" spans="1:8" ht="47.25" hidden="1" x14ac:dyDescent="0.25">
      <c r="A790" s="45" t="s">
        <v>268</v>
      </c>
      <c r="B790" s="20" t="s">
        <v>1065</v>
      </c>
      <c r="C790" s="40" t="s">
        <v>125</v>
      </c>
      <c r="D790" s="40" t="s">
        <v>147</v>
      </c>
      <c r="E790" s="2">
        <v>240</v>
      </c>
      <c r="F790" s="2">
        <v>903</v>
      </c>
      <c r="G790" s="6">
        <f>G789</f>
        <v>0</v>
      </c>
      <c r="H790" s="6">
        <f>H789</f>
        <v>0</v>
      </c>
    </row>
    <row r="791" spans="1:8" ht="31.5" hidden="1" x14ac:dyDescent="0.25">
      <c r="A791" s="31" t="s">
        <v>782</v>
      </c>
      <c r="B791" s="20" t="s">
        <v>1066</v>
      </c>
      <c r="C791" s="20" t="s">
        <v>125</v>
      </c>
      <c r="D791" s="20" t="s">
        <v>147</v>
      </c>
      <c r="E791" s="20"/>
      <c r="F791" s="179"/>
      <c r="G791" s="6">
        <f t="shared" ref="G791:H792" si="120">G792</f>
        <v>0</v>
      </c>
      <c r="H791" s="6">
        <f t="shared" si="120"/>
        <v>0</v>
      </c>
    </row>
    <row r="792" spans="1:8" ht="31.5" hidden="1" x14ac:dyDescent="0.25">
      <c r="A792" s="25" t="s">
        <v>138</v>
      </c>
      <c r="B792" s="20" t="s">
        <v>1066</v>
      </c>
      <c r="C792" s="20" t="s">
        <v>125</v>
      </c>
      <c r="D792" s="20" t="s">
        <v>147</v>
      </c>
      <c r="E792" s="20" t="s">
        <v>139</v>
      </c>
      <c r="F792" s="179"/>
      <c r="G792" s="6">
        <f t="shared" si="120"/>
        <v>0</v>
      </c>
      <c r="H792" s="6">
        <f t="shared" si="120"/>
        <v>0</v>
      </c>
    </row>
    <row r="793" spans="1:8" ht="47.25" hidden="1" x14ac:dyDescent="0.25">
      <c r="A793" s="25" t="s">
        <v>140</v>
      </c>
      <c r="B793" s="20" t="s">
        <v>1066</v>
      </c>
      <c r="C793" s="20" t="s">
        <v>125</v>
      </c>
      <c r="D793" s="20" t="s">
        <v>147</v>
      </c>
      <c r="E793" s="20" t="s">
        <v>141</v>
      </c>
      <c r="F793" s="179"/>
      <c r="G793" s="6">
        <f>'пр.6.1.ведом.22-23'!G267</f>
        <v>0</v>
      </c>
      <c r="H793" s="6">
        <f>'пр.6.1.ведом.22-23'!H267</f>
        <v>0</v>
      </c>
    </row>
    <row r="794" spans="1:8" ht="47.25" hidden="1" x14ac:dyDescent="0.25">
      <c r="A794" s="25" t="s">
        <v>1087</v>
      </c>
      <c r="B794" s="20" t="s">
        <v>1066</v>
      </c>
      <c r="C794" s="20" t="s">
        <v>125</v>
      </c>
      <c r="D794" s="20" t="s">
        <v>147</v>
      </c>
      <c r="E794" s="20" t="s">
        <v>141</v>
      </c>
      <c r="F794" s="2">
        <v>903</v>
      </c>
      <c r="G794" s="6">
        <f>G793</f>
        <v>0</v>
      </c>
      <c r="H794" s="6">
        <f>H793</f>
        <v>0</v>
      </c>
    </row>
    <row r="795" spans="1:8" ht="63" x14ac:dyDescent="0.25">
      <c r="A795" s="41" t="s">
        <v>1369</v>
      </c>
      <c r="B795" s="24" t="s">
        <v>715</v>
      </c>
      <c r="C795" s="7"/>
      <c r="D795" s="7"/>
      <c r="E795" s="3"/>
      <c r="F795" s="3"/>
      <c r="G795" s="4">
        <f>G796+G807+G846</f>
        <v>3815</v>
      </c>
      <c r="H795" s="4">
        <f>H796+H807+H846</f>
        <v>3965.9</v>
      </c>
    </row>
    <row r="796" spans="1:8" ht="63" x14ac:dyDescent="0.25">
      <c r="A796" s="206" t="s">
        <v>856</v>
      </c>
      <c r="B796" s="24" t="s">
        <v>862</v>
      </c>
      <c r="C796" s="7"/>
      <c r="D796" s="7"/>
      <c r="E796" s="3"/>
      <c r="F796" s="3"/>
      <c r="G796" s="4">
        <f>G797</f>
        <v>33</v>
      </c>
      <c r="H796" s="4">
        <f>H797</f>
        <v>33</v>
      </c>
    </row>
    <row r="797" spans="1:8" ht="15.75" x14ac:dyDescent="0.25">
      <c r="A797" s="29" t="s">
        <v>124</v>
      </c>
      <c r="B797" s="20" t="s">
        <v>862</v>
      </c>
      <c r="C797" s="40" t="s">
        <v>125</v>
      </c>
      <c r="D797" s="40"/>
      <c r="E797" s="2"/>
      <c r="F797" s="2"/>
      <c r="G797" s="6">
        <f t="shared" ref="G797:H797" si="121">G798</f>
        <v>33</v>
      </c>
      <c r="H797" s="6">
        <f t="shared" si="121"/>
        <v>33</v>
      </c>
    </row>
    <row r="798" spans="1:8" ht="15.75" x14ac:dyDescent="0.25">
      <c r="A798" s="29" t="s">
        <v>146</v>
      </c>
      <c r="B798" s="20" t="s">
        <v>862</v>
      </c>
      <c r="C798" s="40" t="s">
        <v>125</v>
      </c>
      <c r="D798" s="40" t="s">
        <v>147</v>
      </c>
      <c r="E798" s="2"/>
      <c r="F798" s="2"/>
      <c r="G798" s="6">
        <f>G799+G803</f>
        <v>33</v>
      </c>
      <c r="H798" s="6">
        <f>H799+H803</f>
        <v>33</v>
      </c>
    </row>
    <row r="799" spans="1:8" ht="47.25" x14ac:dyDescent="0.25">
      <c r="A799" s="98" t="s">
        <v>786</v>
      </c>
      <c r="B799" s="20" t="s">
        <v>857</v>
      </c>
      <c r="C799" s="40" t="s">
        <v>125</v>
      </c>
      <c r="D799" s="40" t="s">
        <v>147</v>
      </c>
      <c r="E799" s="2"/>
      <c r="F799" s="2"/>
      <c r="G799" s="6">
        <f t="shared" ref="G799:H800" si="122">G800</f>
        <v>28</v>
      </c>
      <c r="H799" s="6">
        <f t="shared" si="122"/>
        <v>28</v>
      </c>
    </row>
    <row r="800" spans="1:8" ht="31.5" x14ac:dyDescent="0.25">
      <c r="A800" s="25" t="s">
        <v>138</v>
      </c>
      <c r="B800" s="20" t="s">
        <v>857</v>
      </c>
      <c r="C800" s="40" t="s">
        <v>125</v>
      </c>
      <c r="D800" s="40" t="s">
        <v>147</v>
      </c>
      <c r="E800" s="2">
        <v>200</v>
      </c>
      <c r="F800" s="2"/>
      <c r="G800" s="6">
        <f t="shared" si="122"/>
        <v>28</v>
      </c>
      <c r="H800" s="6">
        <f t="shared" si="122"/>
        <v>28</v>
      </c>
    </row>
    <row r="801" spans="1:8" ht="47.25" x14ac:dyDescent="0.25">
      <c r="A801" s="25" t="s">
        <v>140</v>
      </c>
      <c r="B801" s="20" t="s">
        <v>857</v>
      </c>
      <c r="C801" s="40" t="s">
        <v>125</v>
      </c>
      <c r="D801" s="40" t="s">
        <v>147</v>
      </c>
      <c r="E801" s="2">
        <v>240</v>
      </c>
      <c r="F801" s="2"/>
      <c r="G801" s="6">
        <f>'пр.6.1.ведом.22-23'!G150</f>
        <v>28</v>
      </c>
      <c r="H801" s="6">
        <f>'пр.6.1.ведом.22-23'!H150</f>
        <v>28</v>
      </c>
    </row>
    <row r="802" spans="1:8" ht="31.5" x14ac:dyDescent="0.25">
      <c r="A802" s="29" t="s">
        <v>155</v>
      </c>
      <c r="B802" s="20" t="s">
        <v>857</v>
      </c>
      <c r="C802" s="40" t="s">
        <v>125</v>
      </c>
      <c r="D802" s="40" t="s">
        <v>147</v>
      </c>
      <c r="E802" s="2">
        <v>240</v>
      </c>
      <c r="F802" s="2">
        <v>902</v>
      </c>
      <c r="G802" s="6">
        <f>G801</f>
        <v>28</v>
      </c>
      <c r="H802" s="6">
        <f>H801</f>
        <v>28</v>
      </c>
    </row>
    <row r="803" spans="1:8" ht="47.25" x14ac:dyDescent="0.25">
      <c r="A803" s="98" t="s">
        <v>786</v>
      </c>
      <c r="B803" s="20" t="s">
        <v>857</v>
      </c>
      <c r="C803" s="40" t="s">
        <v>125</v>
      </c>
      <c r="D803" s="40" t="s">
        <v>147</v>
      </c>
      <c r="E803" s="2"/>
      <c r="F803" s="2"/>
      <c r="G803" s="6">
        <f>G804</f>
        <v>5</v>
      </c>
      <c r="H803" s="6">
        <f>H804</f>
        <v>5</v>
      </c>
    </row>
    <row r="804" spans="1:8" ht="31.5" x14ac:dyDescent="0.25">
      <c r="A804" s="25" t="s">
        <v>138</v>
      </c>
      <c r="B804" s="20" t="s">
        <v>857</v>
      </c>
      <c r="C804" s="40" t="s">
        <v>125</v>
      </c>
      <c r="D804" s="40" t="s">
        <v>147</v>
      </c>
      <c r="E804" s="2">
        <v>200</v>
      </c>
      <c r="F804" s="2"/>
      <c r="G804" s="6">
        <f>G805</f>
        <v>5</v>
      </c>
      <c r="H804" s="6">
        <f>H805</f>
        <v>5</v>
      </c>
    </row>
    <row r="805" spans="1:8" ht="47.25" x14ac:dyDescent="0.25">
      <c r="A805" s="25" t="s">
        <v>140</v>
      </c>
      <c r="B805" s="20" t="s">
        <v>857</v>
      </c>
      <c r="C805" s="40" t="s">
        <v>125</v>
      </c>
      <c r="D805" s="40" t="s">
        <v>147</v>
      </c>
      <c r="E805" s="2">
        <v>240</v>
      </c>
      <c r="F805" s="2"/>
      <c r="G805" s="6">
        <f>'пр.6.1.ведом.22-23'!G272</f>
        <v>5</v>
      </c>
      <c r="H805" s="6">
        <f>'пр.6.1.ведом.22-23'!H272</f>
        <v>5</v>
      </c>
    </row>
    <row r="806" spans="1:8" ht="47.25" x14ac:dyDescent="0.25">
      <c r="A806" s="45" t="s">
        <v>268</v>
      </c>
      <c r="B806" s="20" t="s">
        <v>857</v>
      </c>
      <c r="C806" s="40" t="s">
        <v>125</v>
      </c>
      <c r="D806" s="40" t="s">
        <v>147</v>
      </c>
      <c r="E806" s="2">
        <v>240</v>
      </c>
      <c r="F806" s="2">
        <v>903</v>
      </c>
      <c r="G806" s="6">
        <f>G805</f>
        <v>5</v>
      </c>
      <c r="H806" s="6">
        <f>H805</f>
        <v>5</v>
      </c>
    </row>
    <row r="807" spans="1:8" ht="63" x14ac:dyDescent="0.25">
      <c r="A807" s="41" t="s">
        <v>900</v>
      </c>
      <c r="B807" s="24" t="s">
        <v>898</v>
      </c>
      <c r="C807" s="40"/>
      <c r="D807" s="40"/>
      <c r="E807" s="2"/>
      <c r="F807" s="2"/>
      <c r="G807" s="4">
        <f>G808+G828+G834+G840</f>
        <v>3767</v>
      </c>
      <c r="H807" s="4">
        <f>H808+H828+H834+H840</f>
        <v>3917.9</v>
      </c>
    </row>
    <row r="808" spans="1:8" ht="15.75" x14ac:dyDescent="0.25">
      <c r="A808" s="29" t="s">
        <v>270</v>
      </c>
      <c r="B808" s="20" t="s">
        <v>898</v>
      </c>
      <c r="C808" s="40" t="s">
        <v>271</v>
      </c>
      <c r="D808" s="40"/>
      <c r="E808" s="2"/>
      <c r="F808" s="2"/>
      <c r="G808" s="6">
        <f>G809+G815+G819</f>
        <v>2234.3000000000002</v>
      </c>
      <c r="H808" s="6">
        <f>H809+H815+H819</f>
        <v>2323.8000000000002</v>
      </c>
    </row>
    <row r="809" spans="1:8" ht="15.75" x14ac:dyDescent="0.25">
      <c r="A809" s="29" t="s">
        <v>411</v>
      </c>
      <c r="B809" s="20" t="s">
        <v>898</v>
      </c>
      <c r="C809" s="40" t="s">
        <v>271</v>
      </c>
      <c r="D809" s="40" t="s">
        <v>125</v>
      </c>
      <c r="E809" s="2"/>
      <c r="F809" s="2"/>
      <c r="G809" s="6">
        <f t="shared" ref="G809:H811" si="123">G810</f>
        <v>570.9</v>
      </c>
      <c r="H809" s="6">
        <f t="shared" si="123"/>
        <v>593.79999999999995</v>
      </c>
    </row>
    <row r="810" spans="1:8" ht="47.25" x14ac:dyDescent="0.25">
      <c r="A810" s="45" t="s">
        <v>790</v>
      </c>
      <c r="B810" s="20" t="s">
        <v>946</v>
      </c>
      <c r="C810" s="40" t="s">
        <v>271</v>
      </c>
      <c r="D810" s="40" t="s">
        <v>125</v>
      </c>
      <c r="E810" s="2"/>
      <c r="F810" s="2"/>
      <c r="G810" s="6">
        <f t="shared" si="123"/>
        <v>570.9</v>
      </c>
      <c r="H810" s="6">
        <f t="shared" si="123"/>
        <v>593.79999999999995</v>
      </c>
    </row>
    <row r="811" spans="1:8" ht="47.25" x14ac:dyDescent="0.25">
      <c r="A811" s="29" t="s">
        <v>279</v>
      </c>
      <c r="B811" s="20" t="s">
        <v>946</v>
      </c>
      <c r="C811" s="40" t="s">
        <v>271</v>
      </c>
      <c r="D811" s="40" t="s">
        <v>125</v>
      </c>
      <c r="E811" s="2">
        <v>600</v>
      </c>
      <c r="F811" s="2"/>
      <c r="G811" s="6">
        <f t="shared" si="123"/>
        <v>570.9</v>
      </c>
      <c r="H811" s="6">
        <f t="shared" si="123"/>
        <v>593.79999999999995</v>
      </c>
    </row>
    <row r="812" spans="1:8" ht="15.75" x14ac:dyDescent="0.25">
      <c r="A812" s="184" t="s">
        <v>281</v>
      </c>
      <c r="B812" s="20" t="s">
        <v>946</v>
      </c>
      <c r="C812" s="40" t="s">
        <v>271</v>
      </c>
      <c r="D812" s="40" t="s">
        <v>125</v>
      </c>
      <c r="E812" s="2">
        <v>610</v>
      </c>
      <c r="F812" s="2"/>
      <c r="G812" s="6">
        <f>'пр.6.1.ведом.22-23'!G608</f>
        <v>570.9</v>
      </c>
      <c r="H812" s="6">
        <f>'пр.6.1.ведом.22-23'!H608</f>
        <v>593.79999999999995</v>
      </c>
    </row>
    <row r="813" spans="1:8" ht="31.5" x14ac:dyDescent="0.25">
      <c r="A813" s="29" t="s">
        <v>410</v>
      </c>
      <c r="B813" s="20" t="s">
        <v>946</v>
      </c>
      <c r="C813" s="40" t="s">
        <v>271</v>
      </c>
      <c r="D813" s="40" t="s">
        <v>125</v>
      </c>
      <c r="E813" s="2">
        <v>610</v>
      </c>
      <c r="F813" s="2">
        <v>906</v>
      </c>
      <c r="G813" s="6">
        <f>G812</f>
        <v>570.9</v>
      </c>
      <c r="H813" s="6">
        <f>H812</f>
        <v>593.79999999999995</v>
      </c>
    </row>
    <row r="814" spans="1:8" ht="15.75" x14ac:dyDescent="0.25">
      <c r="A814" s="45" t="s">
        <v>432</v>
      </c>
      <c r="B814" s="20" t="s">
        <v>898</v>
      </c>
      <c r="C814" s="40" t="s">
        <v>271</v>
      </c>
      <c r="D814" s="40" t="s">
        <v>220</v>
      </c>
      <c r="E814" s="2"/>
      <c r="F814" s="2"/>
      <c r="G814" s="6">
        <f t="shared" ref="G814:H816" si="124">G815</f>
        <v>870.5</v>
      </c>
      <c r="H814" s="6">
        <f t="shared" si="124"/>
        <v>905.3</v>
      </c>
    </row>
    <row r="815" spans="1:8" ht="47.25" x14ac:dyDescent="0.25">
      <c r="A815" s="45" t="s">
        <v>790</v>
      </c>
      <c r="B815" s="20" t="s">
        <v>946</v>
      </c>
      <c r="C815" s="40" t="s">
        <v>271</v>
      </c>
      <c r="D815" s="40" t="s">
        <v>220</v>
      </c>
      <c r="E815" s="2"/>
      <c r="F815" s="2"/>
      <c r="G815" s="6">
        <f t="shared" si="124"/>
        <v>870.5</v>
      </c>
      <c r="H815" s="6">
        <f t="shared" si="124"/>
        <v>905.3</v>
      </c>
    </row>
    <row r="816" spans="1:8" ht="47.25" x14ac:dyDescent="0.25">
      <c r="A816" s="29" t="s">
        <v>279</v>
      </c>
      <c r="B816" s="20" t="s">
        <v>946</v>
      </c>
      <c r="C816" s="40" t="s">
        <v>271</v>
      </c>
      <c r="D816" s="40" t="s">
        <v>220</v>
      </c>
      <c r="E816" s="2">
        <v>600</v>
      </c>
      <c r="F816" s="2"/>
      <c r="G816" s="6">
        <f t="shared" si="124"/>
        <v>870.5</v>
      </c>
      <c r="H816" s="6">
        <f t="shared" si="124"/>
        <v>905.3</v>
      </c>
    </row>
    <row r="817" spans="1:8" ht="15.75" x14ac:dyDescent="0.25">
      <c r="A817" s="184" t="s">
        <v>281</v>
      </c>
      <c r="B817" s="20" t="s">
        <v>946</v>
      </c>
      <c r="C817" s="40" t="s">
        <v>271</v>
      </c>
      <c r="D817" s="40" t="s">
        <v>220</v>
      </c>
      <c r="E817" s="2">
        <v>610</v>
      </c>
      <c r="F817" s="2"/>
      <c r="G817" s="6">
        <f>'пр.6.1.ведом.22-23'!G690</f>
        <v>870.5</v>
      </c>
      <c r="H817" s="6">
        <f>'пр.6.1.ведом.22-23'!H690</f>
        <v>905.3</v>
      </c>
    </row>
    <row r="818" spans="1:8" ht="31.5" x14ac:dyDescent="0.25">
      <c r="A818" s="29" t="s">
        <v>410</v>
      </c>
      <c r="B818" s="20" t="s">
        <v>946</v>
      </c>
      <c r="C818" s="40" t="s">
        <v>271</v>
      </c>
      <c r="D818" s="40" t="s">
        <v>220</v>
      </c>
      <c r="E818" s="2">
        <v>610</v>
      </c>
      <c r="F818" s="2">
        <v>906</v>
      </c>
      <c r="G818" s="6">
        <f>G817</f>
        <v>870.5</v>
      </c>
      <c r="H818" s="6">
        <f>H817</f>
        <v>905.3</v>
      </c>
    </row>
    <row r="819" spans="1:8" ht="15.75" x14ac:dyDescent="0.25">
      <c r="A819" s="45" t="s">
        <v>272</v>
      </c>
      <c r="B819" s="20" t="s">
        <v>898</v>
      </c>
      <c r="C819" s="40" t="s">
        <v>271</v>
      </c>
      <c r="D819" s="40" t="s">
        <v>222</v>
      </c>
      <c r="E819" s="2"/>
      <c r="F819" s="2"/>
      <c r="G819" s="6">
        <f>G824+G820</f>
        <v>792.9</v>
      </c>
      <c r="H819" s="6">
        <f>H824+H820</f>
        <v>824.7</v>
      </c>
    </row>
    <row r="820" spans="1:8" s="202" customFormat="1" ht="47.25" x14ac:dyDescent="0.25">
      <c r="A820" s="98" t="s">
        <v>1014</v>
      </c>
      <c r="B820" s="20" t="s">
        <v>899</v>
      </c>
      <c r="C820" s="40" t="s">
        <v>271</v>
      </c>
      <c r="D820" s="40" t="s">
        <v>222</v>
      </c>
      <c r="E820" s="2"/>
      <c r="F820" s="2"/>
      <c r="G820" s="6">
        <f>G821</f>
        <v>490.2</v>
      </c>
      <c r="H820" s="6">
        <f>H821</f>
        <v>509.8</v>
      </c>
    </row>
    <row r="821" spans="1:8" s="202" customFormat="1" ht="31.5" x14ac:dyDescent="0.25">
      <c r="A821" s="25" t="s">
        <v>138</v>
      </c>
      <c r="B821" s="20" t="s">
        <v>899</v>
      </c>
      <c r="C821" s="40" t="s">
        <v>271</v>
      </c>
      <c r="D821" s="40" t="s">
        <v>222</v>
      </c>
      <c r="E821" s="2">
        <v>200</v>
      </c>
      <c r="F821" s="2"/>
      <c r="G821" s="6">
        <f>G822</f>
        <v>490.2</v>
      </c>
      <c r="H821" s="6">
        <f>H822</f>
        <v>509.8</v>
      </c>
    </row>
    <row r="822" spans="1:8" s="202" customFormat="1" ht="47.25" x14ac:dyDescent="0.25">
      <c r="A822" s="25" t="s">
        <v>140</v>
      </c>
      <c r="B822" s="20" t="s">
        <v>899</v>
      </c>
      <c r="C822" s="40" t="s">
        <v>271</v>
      </c>
      <c r="D822" s="40" t="s">
        <v>222</v>
      </c>
      <c r="E822" s="2">
        <v>240</v>
      </c>
      <c r="F822" s="2"/>
      <c r="G822" s="6">
        <f>'пр.6.1.ведом.22-23'!G336</f>
        <v>490.2</v>
      </c>
      <c r="H822" s="6">
        <f>'пр.6.1.ведом.22-23'!H336</f>
        <v>509.8</v>
      </c>
    </row>
    <row r="823" spans="1:8" s="202" customFormat="1" ht="47.25" x14ac:dyDescent="0.25">
      <c r="A823" s="45" t="s">
        <v>268</v>
      </c>
      <c r="B823" s="20" t="s">
        <v>899</v>
      </c>
      <c r="C823" s="40" t="s">
        <v>271</v>
      </c>
      <c r="D823" s="40" t="s">
        <v>222</v>
      </c>
      <c r="E823" s="2">
        <v>240</v>
      </c>
      <c r="F823" s="2">
        <v>903</v>
      </c>
      <c r="G823" s="6">
        <f>'пр.6.1.ведом.22-23'!G336</f>
        <v>490.2</v>
      </c>
      <c r="H823" s="6">
        <f>'пр.6.1.ведом.22-23'!H336</f>
        <v>509.8</v>
      </c>
    </row>
    <row r="824" spans="1:8" ht="47.25" x14ac:dyDescent="0.25">
      <c r="A824" s="45" t="s">
        <v>790</v>
      </c>
      <c r="B824" s="20" t="s">
        <v>946</v>
      </c>
      <c r="C824" s="40" t="s">
        <v>271</v>
      </c>
      <c r="D824" s="40" t="s">
        <v>222</v>
      </c>
      <c r="E824" s="2"/>
      <c r="F824" s="2"/>
      <c r="G824" s="6">
        <f>G825</f>
        <v>302.7</v>
      </c>
      <c r="H824" s="6">
        <f>H825</f>
        <v>314.89999999999998</v>
      </c>
    </row>
    <row r="825" spans="1:8" ht="47.25" x14ac:dyDescent="0.25">
      <c r="A825" s="29" t="s">
        <v>279</v>
      </c>
      <c r="B825" s="20" t="s">
        <v>946</v>
      </c>
      <c r="C825" s="40" t="s">
        <v>271</v>
      </c>
      <c r="D825" s="40" t="s">
        <v>222</v>
      </c>
      <c r="E825" s="2">
        <v>600</v>
      </c>
      <c r="F825" s="2"/>
      <c r="G825" s="6">
        <f>G826</f>
        <v>302.7</v>
      </c>
      <c r="H825" s="6">
        <f>H826</f>
        <v>314.89999999999998</v>
      </c>
    </row>
    <row r="826" spans="1:8" ht="15.75" x14ac:dyDescent="0.25">
      <c r="A826" s="184" t="s">
        <v>281</v>
      </c>
      <c r="B826" s="20" t="s">
        <v>946</v>
      </c>
      <c r="C826" s="40" t="s">
        <v>271</v>
      </c>
      <c r="D826" s="40" t="s">
        <v>222</v>
      </c>
      <c r="E826" s="2">
        <v>610</v>
      </c>
      <c r="F826" s="2"/>
      <c r="G826" s="6">
        <f>'пр.6.1.ведом.22-23'!G719</f>
        <v>302.7</v>
      </c>
      <c r="H826" s="6">
        <f>'пр.6.1.ведом.22-23'!H719</f>
        <v>314.89999999999998</v>
      </c>
    </row>
    <row r="827" spans="1:8" ht="31.5" x14ac:dyDescent="0.25">
      <c r="A827" s="29" t="s">
        <v>410</v>
      </c>
      <c r="B827" s="20" t="s">
        <v>946</v>
      </c>
      <c r="C827" s="40" t="s">
        <v>271</v>
      </c>
      <c r="D827" s="40" t="s">
        <v>222</v>
      </c>
      <c r="E827" s="2">
        <v>610</v>
      </c>
      <c r="F827" s="2">
        <v>906</v>
      </c>
      <c r="G827" s="6">
        <f>G826</f>
        <v>302.7</v>
      </c>
      <c r="H827" s="6">
        <f>H826</f>
        <v>314.89999999999998</v>
      </c>
    </row>
    <row r="828" spans="1:8" ht="15.75" x14ac:dyDescent="0.25">
      <c r="A828" s="25" t="s">
        <v>305</v>
      </c>
      <c r="B828" s="20" t="s">
        <v>898</v>
      </c>
      <c r="C828" s="40" t="s">
        <v>306</v>
      </c>
      <c r="D828" s="40"/>
      <c r="E828" s="2"/>
      <c r="F828" s="2"/>
      <c r="G828" s="6">
        <f t="shared" ref="G828:H831" si="125">G829</f>
        <v>878.7</v>
      </c>
      <c r="H828" s="6">
        <f t="shared" si="125"/>
        <v>913.9</v>
      </c>
    </row>
    <row r="829" spans="1:8" ht="15.75" x14ac:dyDescent="0.25">
      <c r="A829" s="25" t="s">
        <v>307</v>
      </c>
      <c r="B829" s="20" t="s">
        <v>898</v>
      </c>
      <c r="C829" s="40" t="s">
        <v>306</v>
      </c>
      <c r="D829" s="40" t="s">
        <v>125</v>
      </c>
      <c r="E829" s="2"/>
      <c r="F829" s="2"/>
      <c r="G829" s="6">
        <f t="shared" si="125"/>
        <v>878.7</v>
      </c>
      <c r="H829" s="6">
        <f t="shared" si="125"/>
        <v>913.9</v>
      </c>
    </row>
    <row r="830" spans="1:8" ht="32.25" customHeight="1" x14ac:dyDescent="0.25">
      <c r="A830" s="45" t="s">
        <v>788</v>
      </c>
      <c r="B830" s="20" t="s">
        <v>899</v>
      </c>
      <c r="C830" s="40" t="s">
        <v>306</v>
      </c>
      <c r="D830" s="40" t="s">
        <v>125</v>
      </c>
      <c r="E830" s="2"/>
      <c r="F830" s="2"/>
      <c r="G830" s="6">
        <f t="shared" si="125"/>
        <v>878.7</v>
      </c>
      <c r="H830" s="6">
        <f t="shared" si="125"/>
        <v>913.9</v>
      </c>
    </row>
    <row r="831" spans="1:8" ht="31.5" x14ac:dyDescent="0.25">
      <c r="A831" s="25" t="s">
        <v>138</v>
      </c>
      <c r="B831" s="20" t="s">
        <v>899</v>
      </c>
      <c r="C831" s="40" t="s">
        <v>306</v>
      </c>
      <c r="D831" s="40" t="s">
        <v>125</v>
      </c>
      <c r="E831" s="2">
        <v>200</v>
      </c>
      <c r="F831" s="2"/>
      <c r="G831" s="6">
        <f t="shared" si="125"/>
        <v>878.7</v>
      </c>
      <c r="H831" s="6">
        <f t="shared" si="125"/>
        <v>913.9</v>
      </c>
    </row>
    <row r="832" spans="1:8" ht="47.25" x14ac:dyDescent="0.25">
      <c r="A832" s="25" t="s">
        <v>140</v>
      </c>
      <c r="B832" s="20" t="s">
        <v>899</v>
      </c>
      <c r="C832" s="40" t="s">
        <v>306</v>
      </c>
      <c r="D832" s="40" t="s">
        <v>125</v>
      </c>
      <c r="E832" s="2">
        <v>240</v>
      </c>
      <c r="F832" s="2"/>
      <c r="G832" s="6">
        <f>'пр.6.1.ведом.22-23'!G410</f>
        <v>878.7</v>
      </c>
      <c r="H832" s="6">
        <f>'пр.6.1.ведом.22-23'!H410</f>
        <v>913.9</v>
      </c>
    </row>
    <row r="833" spans="1:8" ht="47.25" x14ac:dyDescent="0.25">
      <c r="A833" s="45" t="s">
        <v>268</v>
      </c>
      <c r="B833" s="20" t="s">
        <v>899</v>
      </c>
      <c r="C833" s="40" t="s">
        <v>306</v>
      </c>
      <c r="D833" s="40" t="s">
        <v>125</v>
      </c>
      <c r="E833" s="2">
        <v>240</v>
      </c>
      <c r="F833" s="2">
        <v>903</v>
      </c>
      <c r="G833" s="6">
        <f>G832</f>
        <v>878.7</v>
      </c>
      <c r="H833" s="6">
        <f>H832</f>
        <v>913.9</v>
      </c>
    </row>
    <row r="834" spans="1:8" ht="15.75" x14ac:dyDescent="0.25">
      <c r="A834" s="25" t="s">
        <v>497</v>
      </c>
      <c r="B834" s="20" t="s">
        <v>898</v>
      </c>
      <c r="C834" s="40" t="s">
        <v>498</v>
      </c>
      <c r="D834" s="40"/>
      <c r="E834" s="2"/>
      <c r="F834" s="2"/>
      <c r="G834" s="6">
        <f t="shared" ref="G834:H837" si="126">G835</f>
        <v>579.1</v>
      </c>
      <c r="H834" s="6">
        <f t="shared" si="126"/>
        <v>602.29999999999995</v>
      </c>
    </row>
    <row r="835" spans="1:8" ht="15.75" x14ac:dyDescent="0.25">
      <c r="A835" s="25" t="s">
        <v>1089</v>
      </c>
      <c r="B835" s="20" t="s">
        <v>898</v>
      </c>
      <c r="C835" s="40" t="s">
        <v>498</v>
      </c>
      <c r="D835" s="40" t="s">
        <v>125</v>
      </c>
      <c r="E835" s="2"/>
      <c r="F835" s="2"/>
      <c r="G835" s="6">
        <f t="shared" si="126"/>
        <v>579.1</v>
      </c>
      <c r="H835" s="6">
        <f t="shared" si="126"/>
        <v>602.29999999999995</v>
      </c>
    </row>
    <row r="836" spans="1:8" ht="47.25" x14ac:dyDescent="0.25">
      <c r="A836" s="45" t="s">
        <v>790</v>
      </c>
      <c r="B836" s="20" t="s">
        <v>946</v>
      </c>
      <c r="C836" s="40" t="s">
        <v>498</v>
      </c>
      <c r="D836" s="40" t="s">
        <v>125</v>
      </c>
      <c r="E836" s="2"/>
      <c r="F836" s="2"/>
      <c r="G836" s="6">
        <f t="shared" si="126"/>
        <v>579.1</v>
      </c>
      <c r="H836" s="6">
        <f t="shared" si="126"/>
        <v>602.29999999999995</v>
      </c>
    </row>
    <row r="837" spans="1:8" ht="47.25" x14ac:dyDescent="0.25">
      <c r="A837" s="29" t="s">
        <v>279</v>
      </c>
      <c r="B837" s="20" t="s">
        <v>946</v>
      </c>
      <c r="C837" s="40" t="s">
        <v>498</v>
      </c>
      <c r="D837" s="40" t="s">
        <v>125</v>
      </c>
      <c r="E837" s="2">
        <v>600</v>
      </c>
      <c r="F837" s="2"/>
      <c r="G837" s="6">
        <f t="shared" si="126"/>
        <v>579.1</v>
      </c>
      <c r="H837" s="6">
        <f t="shared" si="126"/>
        <v>602.29999999999995</v>
      </c>
    </row>
    <row r="838" spans="1:8" ht="15.75" x14ac:dyDescent="0.25">
      <c r="A838" s="184" t="s">
        <v>281</v>
      </c>
      <c r="B838" s="20" t="s">
        <v>946</v>
      </c>
      <c r="C838" s="40" t="s">
        <v>498</v>
      </c>
      <c r="D838" s="40" t="s">
        <v>125</v>
      </c>
      <c r="E838" s="2">
        <v>610</v>
      </c>
      <c r="F838" s="2"/>
      <c r="G838" s="6">
        <f>'пр.6.1.ведом.22-23'!G802</f>
        <v>579.1</v>
      </c>
      <c r="H838" s="6">
        <f>'пр.6.1.ведом.22-23'!H802</f>
        <v>602.29999999999995</v>
      </c>
    </row>
    <row r="839" spans="1:8" ht="47.25" x14ac:dyDescent="0.25">
      <c r="A839" s="45" t="s">
        <v>487</v>
      </c>
      <c r="B839" s="20" t="s">
        <v>946</v>
      </c>
      <c r="C839" s="40" t="s">
        <v>498</v>
      </c>
      <c r="D839" s="40" t="s">
        <v>125</v>
      </c>
      <c r="E839" s="2">
        <v>610</v>
      </c>
      <c r="F839" s="2">
        <v>907</v>
      </c>
      <c r="G839" s="6">
        <f>G838</f>
        <v>579.1</v>
      </c>
      <c r="H839" s="6">
        <f>H838</f>
        <v>602.29999999999995</v>
      </c>
    </row>
    <row r="840" spans="1:8" ht="15.75" x14ac:dyDescent="0.25">
      <c r="A840" s="29" t="s">
        <v>589</v>
      </c>
      <c r="B840" s="20" t="s">
        <v>898</v>
      </c>
      <c r="C840" s="40" t="s">
        <v>245</v>
      </c>
      <c r="D840" s="40"/>
      <c r="E840" s="2"/>
      <c r="F840" s="2"/>
      <c r="G840" s="6">
        <f t="shared" ref="G840:H843" si="127">G841</f>
        <v>74.900000000000006</v>
      </c>
      <c r="H840" s="6">
        <f t="shared" si="127"/>
        <v>77.900000000000006</v>
      </c>
    </row>
    <row r="841" spans="1:8" ht="15.75" x14ac:dyDescent="0.25">
      <c r="A841" s="29" t="s">
        <v>590</v>
      </c>
      <c r="B841" s="20" t="s">
        <v>898</v>
      </c>
      <c r="C841" s="40" t="s">
        <v>245</v>
      </c>
      <c r="D841" s="40" t="s">
        <v>220</v>
      </c>
      <c r="E841" s="2"/>
      <c r="F841" s="2"/>
      <c r="G841" s="6">
        <f t="shared" si="127"/>
        <v>74.900000000000006</v>
      </c>
      <c r="H841" s="6">
        <f t="shared" si="127"/>
        <v>77.900000000000006</v>
      </c>
    </row>
    <row r="842" spans="1:8" ht="47.25" x14ac:dyDescent="0.25">
      <c r="A842" s="45" t="s">
        <v>788</v>
      </c>
      <c r="B842" s="20" t="s">
        <v>899</v>
      </c>
      <c r="C842" s="40" t="s">
        <v>245</v>
      </c>
      <c r="D842" s="40" t="s">
        <v>220</v>
      </c>
      <c r="E842" s="2"/>
      <c r="F842" s="2"/>
      <c r="G842" s="6">
        <f t="shared" si="127"/>
        <v>74.900000000000006</v>
      </c>
      <c r="H842" s="6">
        <f t="shared" si="127"/>
        <v>77.900000000000006</v>
      </c>
    </row>
    <row r="843" spans="1:8" ht="31.5" x14ac:dyDescent="0.25">
      <c r="A843" s="25" t="s">
        <v>138</v>
      </c>
      <c r="B843" s="20" t="s">
        <v>899</v>
      </c>
      <c r="C843" s="40" t="s">
        <v>245</v>
      </c>
      <c r="D843" s="40" t="s">
        <v>220</v>
      </c>
      <c r="E843" s="2">
        <v>200</v>
      </c>
      <c r="F843" s="2"/>
      <c r="G843" s="6">
        <f t="shared" si="127"/>
        <v>74.900000000000006</v>
      </c>
      <c r="H843" s="6">
        <f t="shared" si="127"/>
        <v>77.900000000000006</v>
      </c>
    </row>
    <row r="844" spans="1:8" ht="47.25" x14ac:dyDescent="0.25">
      <c r="A844" s="25" t="s">
        <v>140</v>
      </c>
      <c r="B844" s="20" t="s">
        <v>899</v>
      </c>
      <c r="C844" s="40" t="s">
        <v>245</v>
      </c>
      <c r="D844" s="40" t="s">
        <v>220</v>
      </c>
      <c r="E844" s="2">
        <v>240</v>
      </c>
      <c r="F844" s="2"/>
      <c r="G844" s="6">
        <f>'пр.6.1.ведом.22-23'!G487</f>
        <v>74.900000000000006</v>
      </c>
      <c r="H844" s="6">
        <f>'пр.6.1.ведом.22-23'!H487</f>
        <v>77.900000000000006</v>
      </c>
    </row>
    <row r="845" spans="1:8" ht="47.25" x14ac:dyDescent="0.25">
      <c r="A845" s="45" t="s">
        <v>268</v>
      </c>
      <c r="B845" s="20" t="s">
        <v>899</v>
      </c>
      <c r="C845" s="40" t="s">
        <v>245</v>
      </c>
      <c r="D845" s="40" t="s">
        <v>220</v>
      </c>
      <c r="E845" s="2">
        <v>240</v>
      </c>
      <c r="F845" s="2">
        <v>903</v>
      </c>
      <c r="G845" s="6">
        <f>G840</f>
        <v>74.900000000000006</v>
      </c>
      <c r="H845" s="6">
        <f>H840</f>
        <v>77.900000000000006</v>
      </c>
    </row>
    <row r="846" spans="1:8" ht="47.25" x14ac:dyDescent="0.25">
      <c r="A846" s="207" t="s">
        <v>1033</v>
      </c>
      <c r="B846" s="24" t="s">
        <v>863</v>
      </c>
      <c r="C846" s="7"/>
      <c r="D846" s="7"/>
      <c r="E846" s="3"/>
      <c r="F846" s="3"/>
      <c r="G846" s="4">
        <f t="shared" ref="G846:H848" si="128">G847</f>
        <v>15</v>
      </c>
      <c r="H846" s="4">
        <f t="shared" si="128"/>
        <v>15</v>
      </c>
    </row>
    <row r="847" spans="1:8" ht="15.75" x14ac:dyDescent="0.25">
      <c r="A847" s="219" t="s">
        <v>124</v>
      </c>
      <c r="B847" s="20" t="s">
        <v>863</v>
      </c>
      <c r="C847" s="40" t="s">
        <v>125</v>
      </c>
      <c r="D847" s="40"/>
      <c r="E847" s="2"/>
      <c r="F847" s="2"/>
      <c r="G847" s="6">
        <f t="shared" si="128"/>
        <v>15</v>
      </c>
      <c r="H847" s="6">
        <f t="shared" si="128"/>
        <v>15</v>
      </c>
    </row>
    <row r="848" spans="1:8" ht="15.75" x14ac:dyDescent="0.25">
      <c r="A848" s="219" t="s">
        <v>146</v>
      </c>
      <c r="B848" s="20" t="s">
        <v>863</v>
      </c>
      <c r="C848" s="40" t="s">
        <v>125</v>
      </c>
      <c r="D848" s="40" t="s">
        <v>147</v>
      </c>
      <c r="E848" s="2"/>
      <c r="F848" s="2"/>
      <c r="G848" s="6">
        <f t="shared" si="128"/>
        <v>15</v>
      </c>
      <c r="H848" s="6">
        <f t="shared" si="128"/>
        <v>15</v>
      </c>
    </row>
    <row r="849" spans="1:8" ht="56.25" customHeight="1" x14ac:dyDescent="0.25">
      <c r="A849" s="251" t="s">
        <v>1015</v>
      </c>
      <c r="B849" s="20" t="s">
        <v>858</v>
      </c>
      <c r="C849" s="40" t="s">
        <v>125</v>
      </c>
      <c r="D849" s="40" t="s">
        <v>147</v>
      </c>
      <c r="E849" s="2"/>
      <c r="F849" s="2"/>
      <c r="G849" s="6">
        <f t="shared" ref="G849:H850" si="129">G850</f>
        <v>15</v>
      </c>
      <c r="H849" s="6">
        <f t="shared" si="129"/>
        <v>15</v>
      </c>
    </row>
    <row r="850" spans="1:8" ht="31.5" x14ac:dyDescent="0.25">
      <c r="A850" s="25" t="s">
        <v>138</v>
      </c>
      <c r="B850" s="20" t="s">
        <v>858</v>
      </c>
      <c r="C850" s="40" t="s">
        <v>125</v>
      </c>
      <c r="D850" s="40" t="s">
        <v>147</v>
      </c>
      <c r="E850" s="2">
        <v>200</v>
      </c>
      <c r="F850" s="2"/>
      <c r="G850" s="6">
        <f t="shared" si="129"/>
        <v>15</v>
      </c>
      <c r="H850" s="6">
        <f t="shared" si="129"/>
        <v>15</v>
      </c>
    </row>
    <row r="851" spans="1:8" ht="47.25" x14ac:dyDescent="0.25">
      <c r="A851" s="25" t="s">
        <v>140</v>
      </c>
      <c r="B851" s="20" t="s">
        <v>858</v>
      </c>
      <c r="C851" s="40" t="s">
        <v>125</v>
      </c>
      <c r="D851" s="40" t="s">
        <v>147</v>
      </c>
      <c r="E851" s="2">
        <v>240</v>
      </c>
      <c r="F851" s="2"/>
      <c r="G851" s="6">
        <f>'пр.6.1.ведом.22-23'!G154</f>
        <v>15</v>
      </c>
      <c r="H851" s="6">
        <f>'пр.6.1.ведом.22-23'!H154</f>
        <v>15</v>
      </c>
    </row>
    <row r="852" spans="1:8" ht="31.5" x14ac:dyDescent="0.25">
      <c r="A852" s="29" t="s">
        <v>155</v>
      </c>
      <c r="B852" s="20" t="s">
        <v>858</v>
      </c>
      <c r="C852" s="40" t="s">
        <v>125</v>
      </c>
      <c r="D852" s="40" t="s">
        <v>147</v>
      </c>
      <c r="E852" s="2">
        <v>240</v>
      </c>
      <c r="F852" s="2">
        <v>902</v>
      </c>
      <c r="G852" s="6">
        <f>G851</f>
        <v>15</v>
      </c>
      <c r="H852" s="6">
        <f>H851</f>
        <v>15</v>
      </c>
    </row>
    <row r="853" spans="1:8" ht="78.75" x14ac:dyDescent="0.25">
      <c r="A853" s="23" t="s">
        <v>1579</v>
      </c>
      <c r="B853" s="24" t="s">
        <v>721</v>
      </c>
      <c r="C853" s="7"/>
      <c r="D853" s="7"/>
      <c r="E853" s="3"/>
      <c r="F853" s="3"/>
      <c r="G853" s="4">
        <f>G854</f>
        <v>500</v>
      </c>
      <c r="H853" s="4">
        <f>H854</f>
        <v>500</v>
      </c>
    </row>
    <row r="854" spans="1:8" ht="31.5" x14ac:dyDescent="0.25">
      <c r="A854" s="23" t="s">
        <v>1077</v>
      </c>
      <c r="B854" s="24" t="s">
        <v>1098</v>
      </c>
      <c r="C854" s="7"/>
      <c r="D854" s="7"/>
      <c r="E854" s="3"/>
      <c r="F854" s="3"/>
      <c r="G854" s="4">
        <f>G855</f>
        <v>500</v>
      </c>
      <c r="H854" s="4">
        <f>H855</f>
        <v>500</v>
      </c>
    </row>
    <row r="855" spans="1:8" ht="15.75" x14ac:dyDescent="0.25">
      <c r="A855" s="25" t="s">
        <v>397</v>
      </c>
      <c r="B855" s="20" t="s">
        <v>845</v>
      </c>
      <c r="C855" s="40" t="s">
        <v>241</v>
      </c>
      <c r="D855" s="40"/>
      <c r="E855" s="2"/>
      <c r="F855" s="2"/>
      <c r="G855" s="6">
        <f t="shared" ref="G855:H858" si="130">G856</f>
        <v>500</v>
      </c>
      <c r="H855" s="6">
        <f t="shared" si="130"/>
        <v>500</v>
      </c>
    </row>
    <row r="856" spans="1:8" ht="15.75" x14ac:dyDescent="0.25">
      <c r="A856" s="25" t="s">
        <v>548</v>
      </c>
      <c r="B856" s="20" t="s">
        <v>845</v>
      </c>
      <c r="C856" s="40" t="s">
        <v>241</v>
      </c>
      <c r="D856" s="40" t="s">
        <v>222</v>
      </c>
      <c r="E856" s="2"/>
      <c r="F856" s="2"/>
      <c r="G856" s="6">
        <f t="shared" si="130"/>
        <v>500</v>
      </c>
      <c r="H856" s="6">
        <f t="shared" si="130"/>
        <v>500</v>
      </c>
    </row>
    <row r="857" spans="1:8" ht="63" x14ac:dyDescent="0.25">
      <c r="A857" s="80" t="s">
        <v>701</v>
      </c>
      <c r="B857" s="20" t="s">
        <v>845</v>
      </c>
      <c r="C857" s="40" t="s">
        <v>241</v>
      </c>
      <c r="D857" s="40" t="s">
        <v>222</v>
      </c>
      <c r="E857" s="2"/>
      <c r="F857" s="2"/>
      <c r="G857" s="6">
        <f t="shared" si="130"/>
        <v>500</v>
      </c>
      <c r="H857" s="6">
        <f t="shared" si="130"/>
        <v>500</v>
      </c>
    </row>
    <row r="858" spans="1:8" ht="31.5" x14ac:dyDescent="0.25">
      <c r="A858" s="25" t="s">
        <v>138</v>
      </c>
      <c r="B858" s="20" t="s">
        <v>845</v>
      </c>
      <c r="C858" s="40" t="s">
        <v>241</v>
      </c>
      <c r="D858" s="40" t="s">
        <v>222</v>
      </c>
      <c r="E858" s="2">
        <v>200</v>
      </c>
      <c r="F858" s="2"/>
      <c r="G858" s="6">
        <f t="shared" si="130"/>
        <v>500</v>
      </c>
      <c r="H858" s="6">
        <f t="shared" si="130"/>
        <v>500</v>
      </c>
    </row>
    <row r="859" spans="1:8" ht="47.25" x14ac:dyDescent="0.25">
      <c r="A859" s="25" t="s">
        <v>140</v>
      </c>
      <c r="B859" s="20" t="s">
        <v>845</v>
      </c>
      <c r="C859" s="40" t="s">
        <v>241</v>
      </c>
      <c r="D859" s="40" t="s">
        <v>222</v>
      </c>
      <c r="E859" s="2">
        <v>240</v>
      </c>
      <c r="F859" s="2"/>
      <c r="G859" s="6">
        <f>'пр.6.1.ведом.22-23'!G1002</f>
        <v>500</v>
      </c>
      <c r="H859" s="6">
        <f>'пр.6.1.ведом.22-23'!H1002</f>
        <v>500</v>
      </c>
    </row>
    <row r="860" spans="1:8" ht="47.25" x14ac:dyDescent="0.25">
      <c r="A860" s="45" t="s">
        <v>631</v>
      </c>
      <c r="B860" s="20" t="s">
        <v>845</v>
      </c>
      <c r="C860" s="40" t="s">
        <v>241</v>
      </c>
      <c r="D860" s="40" t="s">
        <v>222</v>
      </c>
      <c r="E860" s="2">
        <v>240</v>
      </c>
      <c r="F860" s="2">
        <v>908</v>
      </c>
      <c r="G860" s="6">
        <f>G859</f>
        <v>500</v>
      </c>
      <c r="H860" s="6">
        <f>H859</f>
        <v>500</v>
      </c>
    </row>
    <row r="861" spans="1:8" ht="78.75" hidden="1" x14ac:dyDescent="0.25">
      <c r="A861" s="58" t="s">
        <v>1371</v>
      </c>
      <c r="B861" s="24" t="s">
        <v>792</v>
      </c>
      <c r="C861" s="7"/>
      <c r="D861" s="7"/>
      <c r="E861" s="3"/>
      <c r="F861" s="3"/>
      <c r="G861" s="4">
        <f>G863</f>
        <v>0</v>
      </c>
      <c r="H861" s="4">
        <f>H863</f>
        <v>0</v>
      </c>
    </row>
    <row r="862" spans="1:8" ht="31.5" hidden="1" x14ac:dyDescent="0.25">
      <c r="A862" s="23" t="s">
        <v>940</v>
      </c>
      <c r="B862" s="24" t="s">
        <v>1030</v>
      </c>
      <c r="C862" s="7"/>
      <c r="D862" s="7"/>
      <c r="E862" s="3"/>
      <c r="F862" s="3"/>
      <c r="G862" s="4">
        <f t="shared" ref="G862:H866" si="131">G863</f>
        <v>0</v>
      </c>
      <c r="H862" s="4">
        <f t="shared" si="131"/>
        <v>0</v>
      </c>
    </row>
    <row r="863" spans="1:8" ht="15.75" hidden="1" x14ac:dyDescent="0.25">
      <c r="A863" s="45" t="s">
        <v>124</v>
      </c>
      <c r="B863" s="20" t="s">
        <v>1030</v>
      </c>
      <c r="C863" s="40" t="s">
        <v>125</v>
      </c>
      <c r="D863" s="40"/>
      <c r="E863" s="2"/>
      <c r="F863" s="2"/>
      <c r="G863" s="6">
        <f t="shared" si="131"/>
        <v>0</v>
      </c>
      <c r="H863" s="6">
        <f t="shared" si="131"/>
        <v>0</v>
      </c>
    </row>
    <row r="864" spans="1:8" ht="15.75" hidden="1" x14ac:dyDescent="0.25">
      <c r="A864" s="45" t="s">
        <v>146</v>
      </c>
      <c r="B864" s="20" t="s">
        <v>1030</v>
      </c>
      <c r="C864" s="40" t="s">
        <v>125</v>
      </c>
      <c r="D864" s="40" t="s">
        <v>147</v>
      </c>
      <c r="E864" s="2"/>
      <c r="F864" s="2"/>
      <c r="G864" s="6">
        <f t="shared" si="131"/>
        <v>0</v>
      </c>
      <c r="H864" s="6">
        <f t="shared" si="131"/>
        <v>0</v>
      </c>
    </row>
    <row r="865" spans="1:10" ht="31.5" hidden="1" x14ac:dyDescent="0.25">
      <c r="A865" s="45" t="s">
        <v>800</v>
      </c>
      <c r="B865" s="20" t="s">
        <v>1031</v>
      </c>
      <c r="C865" s="40" t="s">
        <v>125</v>
      </c>
      <c r="D865" s="40" t="s">
        <v>147</v>
      </c>
      <c r="E865" s="2"/>
      <c r="F865" s="2"/>
      <c r="G865" s="6">
        <f t="shared" si="131"/>
        <v>0</v>
      </c>
      <c r="H865" s="6">
        <f t="shared" si="131"/>
        <v>0</v>
      </c>
    </row>
    <row r="866" spans="1:10" ht="31.5" hidden="1" x14ac:dyDescent="0.25">
      <c r="A866" s="45" t="s">
        <v>138</v>
      </c>
      <c r="B866" s="20" t="s">
        <v>1031</v>
      </c>
      <c r="C866" s="40" t="s">
        <v>125</v>
      </c>
      <c r="D866" s="40" t="s">
        <v>147</v>
      </c>
      <c r="E866" s="2">
        <v>200</v>
      </c>
      <c r="F866" s="2"/>
      <c r="G866" s="6">
        <f t="shared" si="131"/>
        <v>0</v>
      </c>
      <c r="H866" s="6">
        <f t="shared" si="131"/>
        <v>0</v>
      </c>
    </row>
    <row r="867" spans="1:10" ht="47.25" hidden="1" x14ac:dyDescent="0.25">
      <c r="A867" s="45" t="s">
        <v>140</v>
      </c>
      <c r="B867" s="20" t="s">
        <v>1031</v>
      </c>
      <c r="C867" s="40" t="s">
        <v>125</v>
      </c>
      <c r="D867" s="40" t="s">
        <v>147</v>
      </c>
      <c r="E867" s="2">
        <v>240</v>
      </c>
      <c r="F867" s="2"/>
      <c r="G867" s="6">
        <f>'пр.6.1.ведом.22-23'!G520</f>
        <v>0</v>
      </c>
      <c r="H867" s="6">
        <f>'пр.6.1.ведом.22-23'!H520</f>
        <v>0</v>
      </c>
    </row>
    <row r="868" spans="1:10" ht="47.25" hidden="1" x14ac:dyDescent="0.25">
      <c r="A868" s="45" t="s">
        <v>1402</v>
      </c>
      <c r="B868" s="20" t="s">
        <v>1031</v>
      </c>
      <c r="C868" s="40" t="s">
        <v>125</v>
      </c>
      <c r="D868" s="40" t="s">
        <v>147</v>
      </c>
      <c r="E868" s="2">
        <v>240</v>
      </c>
      <c r="F868" s="2">
        <v>905</v>
      </c>
      <c r="G868" s="6">
        <f>G867</f>
        <v>0</v>
      </c>
      <c r="H868" s="6">
        <f>H867</f>
        <v>0</v>
      </c>
    </row>
    <row r="869" spans="1:10" ht="94.5" x14ac:dyDescent="0.25">
      <c r="A869" s="41" t="s">
        <v>1382</v>
      </c>
      <c r="B869" s="24" t="s">
        <v>827</v>
      </c>
      <c r="C869" s="7"/>
      <c r="D869" s="7"/>
      <c r="E869" s="3"/>
      <c r="F869" s="3"/>
      <c r="G869" s="4">
        <f>G871</f>
        <v>45</v>
      </c>
      <c r="H869" s="4">
        <f>H871</f>
        <v>50</v>
      </c>
    </row>
    <row r="870" spans="1:10" ht="47.25" x14ac:dyDescent="0.25">
      <c r="A870" s="208" t="s">
        <v>864</v>
      </c>
      <c r="B870" s="24" t="s">
        <v>1086</v>
      </c>
      <c r="C870" s="7"/>
      <c r="D870" s="7"/>
      <c r="E870" s="3"/>
      <c r="F870" s="3"/>
      <c r="G870" s="4">
        <f t="shared" ref="G870:H874" si="132">G871</f>
        <v>45</v>
      </c>
      <c r="H870" s="4">
        <f t="shared" si="132"/>
        <v>50</v>
      </c>
    </row>
    <row r="871" spans="1:10" ht="15.75" x14ac:dyDescent="0.25">
      <c r="A871" s="45" t="s">
        <v>124</v>
      </c>
      <c r="B871" s="20" t="s">
        <v>1086</v>
      </c>
      <c r="C871" s="40" t="s">
        <v>125</v>
      </c>
      <c r="D871" s="40"/>
      <c r="E871" s="2"/>
      <c r="F871" s="2"/>
      <c r="G871" s="6">
        <f t="shared" si="132"/>
        <v>45</v>
      </c>
      <c r="H871" s="6">
        <f t="shared" si="132"/>
        <v>50</v>
      </c>
    </row>
    <row r="872" spans="1:10" ht="15.75" x14ac:dyDescent="0.25">
      <c r="A872" s="45" t="s">
        <v>146</v>
      </c>
      <c r="B872" s="20" t="s">
        <v>1086</v>
      </c>
      <c r="C872" s="40" t="s">
        <v>125</v>
      </c>
      <c r="D872" s="40" t="s">
        <v>147</v>
      </c>
      <c r="E872" s="2"/>
      <c r="F872" s="2"/>
      <c r="G872" s="6">
        <f t="shared" si="132"/>
        <v>45</v>
      </c>
      <c r="H872" s="6">
        <f t="shared" si="132"/>
        <v>50</v>
      </c>
    </row>
    <row r="873" spans="1:10" ht="47.25" x14ac:dyDescent="0.25">
      <c r="A873" s="97" t="s">
        <v>178</v>
      </c>
      <c r="B873" s="20" t="s">
        <v>865</v>
      </c>
      <c r="C873" s="40" t="s">
        <v>125</v>
      </c>
      <c r="D873" s="40" t="s">
        <v>147</v>
      </c>
      <c r="E873" s="2"/>
      <c r="F873" s="2"/>
      <c r="G873" s="6">
        <f t="shared" si="132"/>
        <v>45</v>
      </c>
      <c r="H873" s="6">
        <f t="shared" si="132"/>
        <v>50</v>
      </c>
    </row>
    <row r="874" spans="1:10" ht="31.5" x14ac:dyDescent="0.25">
      <c r="A874" s="45" t="s">
        <v>138</v>
      </c>
      <c r="B874" s="20" t="s">
        <v>865</v>
      </c>
      <c r="C874" s="40" t="s">
        <v>125</v>
      </c>
      <c r="D874" s="40" t="s">
        <v>147</v>
      </c>
      <c r="E874" s="2">
        <v>200</v>
      </c>
      <c r="F874" s="2"/>
      <c r="G874" s="6">
        <f t="shared" si="132"/>
        <v>45</v>
      </c>
      <c r="H874" s="6">
        <f t="shared" si="132"/>
        <v>50</v>
      </c>
    </row>
    <row r="875" spans="1:10" ht="47.25" x14ac:dyDescent="0.25">
      <c r="A875" s="45" t="s">
        <v>140</v>
      </c>
      <c r="B875" s="20" t="s">
        <v>865</v>
      </c>
      <c r="C875" s="40" t="s">
        <v>125</v>
      </c>
      <c r="D875" s="40" t="s">
        <v>147</v>
      </c>
      <c r="E875" s="2">
        <v>240</v>
      </c>
      <c r="F875" s="2"/>
      <c r="G875" s="6">
        <f>'пр.6.1.ведом.22-23'!G159</f>
        <v>45</v>
      </c>
      <c r="H875" s="6">
        <f>'пр.6.1.ведом.22-23'!H159</f>
        <v>50</v>
      </c>
    </row>
    <row r="876" spans="1:10" ht="31.5" x14ac:dyDescent="0.25">
      <c r="A876" s="29" t="s">
        <v>155</v>
      </c>
      <c r="B876" s="20" t="s">
        <v>865</v>
      </c>
      <c r="C876" s="40" t="s">
        <v>125</v>
      </c>
      <c r="D876" s="40" t="s">
        <v>147</v>
      </c>
      <c r="E876" s="2">
        <v>240</v>
      </c>
      <c r="F876" s="2">
        <v>902</v>
      </c>
      <c r="G876" s="6">
        <f>G869</f>
        <v>45</v>
      </c>
      <c r="H876" s="6">
        <f>H869</f>
        <v>50</v>
      </c>
      <c r="J876" s="22"/>
    </row>
    <row r="877" spans="1:10" ht="78.75" x14ac:dyDescent="0.25">
      <c r="A877" s="41" t="s">
        <v>1391</v>
      </c>
      <c r="B877" s="24" t="s">
        <v>828</v>
      </c>
      <c r="C877" s="7"/>
      <c r="D877" s="7"/>
      <c r="E877" s="3"/>
      <c r="F877" s="3"/>
      <c r="G877" s="4">
        <f>G879</f>
        <v>80</v>
      </c>
      <c r="H877" s="4">
        <f>H879</f>
        <v>90</v>
      </c>
    </row>
    <row r="878" spans="1:10" ht="31.5" x14ac:dyDescent="0.25">
      <c r="A878" s="58" t="s">
        <v>866</v>
      </c>
      <c r="B878" s="24" t="s">
        <v>874</v>
      </c>
      <c r="C878" s="7"/>
      <c r="D878" s="7"/>
      <c r="E878" s="3"/>
      <c r="F878" s="3"/>
      <c r="G878" s="4">
        <f t="shared" ref="G878:H882" si="133">G879</f>
        <v>80</v>
      </c>
      <c r="H878" s="4">
        <f t="shared" si="133"/>
        <v>90</v>
      </c>
    </row>
    <row r="879" spans="1:10" ht="15.75" x14ac:dyDescent="0.25">
      <c r="A879" s="45" t="s">
        <v>124</v>
      </c>
      <c r="B879" s="20" t="s">
        <v>874</v>
      </c>
      <c r="C879" s="40" t="s">
        <v>125</v>
      </c>
      <c r="D879" s="40"/>
      <c r="E879" s="2"/>
      <c r="F879" s="2"/>
      <c r="G879" s="6">
        <f t="shared" si="133"/>
        <v>80</v>
      </c>
      <c r="H879" s="6">
        <f t="shared" si="133"/>
        <v>90</v>
      </c>
    </row>
    <row r="880" spans="1:10" ht="15.75" x14ac:dyDescent="0.25">
      <c r="A880" s="45" t="s">
        <v>146</v>
      </c>
      <c r="B880" s="20" t="s">
        <v>874</v>
      </c>
      <c r="C880" s="40" t="s">
        <v>125</v>
      </c>
      <c r="D880" s="40" t="s">
        <v>147</v>
      </c>
      <c r="E880" s="2"/>
      <c r="F880" s="2"/>
      <c r="G880" s="6">
        <f t="shared" si="133"/>
        <v>80</v>
      </c>
      <c r="H880" s="6">
        <f t="shared" si="133"/>
        <v>90</v>
      </c>
    </row>
    <row r="881" spans="1:8" ht="31.5" x14ac:dyDescent="0.25">
      <c r="A881" s="45" t="s">
        <v>182</v>
      </c>
      <c r="B881" s="20" t="s">
        <v>867</v>
      </c>
      <c r="C881" s="40" t="s">
        <v>125</v>
      </c>
      <c r="D881" s="40" t="s">
        <v>147</v>
      </c>
      <c r="E881" s="2"/>
      <c r="F881" s="2"/>
      <c r="G881" s="6">
        <f t="shared" si="133"/>
        <v>80</v>
      </c>
      <c r="H881" s="6">
        <f t="shared" si="133"/>
        <v>90</v>
      </c>
    </row>
    <row r="882" spans="1:8" ht="31.5" x14ac:dyDescent="0.25">
      <c r="A882" s="45" t="s">
        <v>138</v>
      </c>
      <c r="B882" s="20" t="s">
        <v>867</v>
      </c>
      <c r="C882" s="40" t="s">
        <v>125</v>
      </c>
      <c r="D882" s="40" t="s">
        <v>147</v>
      </c>
      <c r="E882" s="2">
        <v>200</v>
      </c>
      <c r="F882" s="2"/>
      <c r="G882" s="6">
        <f t="shared" si="133"/>
        <v>80</v>
      </c>
      <c r="H882" s="6">
        <f t="shared" si="133"/>
        <v>90</v>
      </c>
    </row>
    <row r="883" spans="1:8" ht="47.25" x14ac:dyDescent="0.25">
      <c r="A883" s="45" t="s">
        <v>140</v>
      </c>
      <c r="B883" s="20" t="s">
        <v>867</v>
      </c>
      <c r="C883" s="40" t="s">
        <v>125</v>
      </c>
      <c r="D883" s="40" t="s">
        <v>147</v>
      </c>
      <c r="E883" s="2">
        <v>240</v>
      </c>
      <c r="F883" s="2"/>
      <c r="G883" s="6">
        <f>'пр.6.1.ведом.22-23'!G164</f>
        <v>80</v>
      </c>
      <c r="H883" s="6">
        <f>'пр.6.1.ведом.22-23'!H164</f>
        <v>90</v>
      </c>
    </row>
    <row r="884" spans="1:8" ht="31.5" x14ac:dyDescent="0.25">
      <c r="A884" s="29" t="s">
        <v>155</v>
      </c>
      <c r="B884" s="20" t="s">
        <v>867</v>
      </c>
      <c r="C884" s="40" t="s">
        <v>125</v>
      </c>
      <c r="D884" s="40" t="s">
        <v>147</v>
      </c>
      <c r="E884" s="2">
        <v>240</v>
      </c>
      <c r="F884" s="2">
        <v>902</v>
      </c>
      <c r="G884" s="6">
        <f>G877</f>
        <v>80</v>
      </c>
      <c r="H884" s="6">
        <f>H877</f>
        <v>90</v>
      </c>
    </row>
    <row r="885" spans="1:8" s="202" customFormat="1" ht="47.25" x14ac:dyDescent="0.25">
      <c r="A885" s="23" t="s">
        <v>1577</v>
      </c>
      <c r="B885" s="24" t="s">
        <v>1155</v>
      </c>
      <c r="C885" s="40"/>
      <c r="D885" s="40"/>
      <c r="E885" s="2"/>
      <c r="F885" s="2"/>
      <c r="G885" s="4">
        <f t="shared" ref="G885:H891" si="134">G886</f>
        <v>204</v>
      </c>
      <c r="H885" s="4">
        <f t="shared" si="134"/>
        <v>215</v>
      </c>
    </row>
    <row r="886" spans="1:8" s="202" customFormat="1" ht="31.5" x14ac:dyDescent="0.25">
      <c r="A886" s="23" t="s">
        <v>1581</v>
      </c>
      <c r="B886" s="24" t="s">
        <v>1157</v>
      </c>
      <c r="C886" s="40"/>
      <c r="D886" s="40"/>
      <c r="E886" s="2"/>
      <c r="F886" s="2"/>
      <c r="G886" s="4">
        <f t="shared" si="134"/>
        <v>204</v>
      </c>
      <c r="H886" s="4">
        <f t="shared" si="134"/>
        <v>215</v>
      </c>
    </row>
    <row r="887" spans="1:8" s="202" customFormat="1" ht="15.75" x14ac:dyDescent="0.25">
      <c r="A887" s="29" t="s">
        <v>397</v>
      </c>
      <c r="B887" s="20" t="s">
        <v>1157</v>
      </c>
      <c r="C887" s="40" t="s">
        <v>241</v>
      </c>
      <c r="D887" s="40"/>
      <c r="E887" s="2"/>
      <c r="F887" s="2"/>
      <c r="G887" s="6">
        <f t="shared" si="134"/>
        <v>204</v>
      </c>
      <c r="H887" s="6">
        <f t="shared" si="134"/>
        <v>215</v>
      </c>
    </row>
    <row r="888" spans="1:8" s="202" customFormat="1" ht="15.75" x14ac:dyDescent="0.25">
      <c r="A888" s="29" t="s">
        <v>524</v>
      </c>
      <c r="B888" s="20" t="s">
        <v>1157</v>
      </c>
      <c r="C888" s="40" t="s">
        <v>241</v>
      </c>
      <c r="D888" s="40" t="s">
        <v>220</v>
      </c>
      <c r="E888" s="2"/>
      <c r="F888" s="2"/>
      <c r="G888" s="6">
        <f t="shared" si="134"/>
        <v>204</v>
      </c>
      <c r="H888" s="6">
        <f t="shared" si="134"/>
        <v>215</v>
      </c>
    </row>
    <row r="889" spans="1:8" s="202" customFormat="1" ht="31.5" x14ac:dyDescent="0.25">
      <c r="A889" s="29" t="s">
        <v>1159</v>
      </c>
      <c r="B889" s="20" t="s">
        <v>1158</v>
      </c>
      <c r="C889" s="40" t="s">
        <v>241</v>
      </c>
      <c r="D889" s="40" t="s">
        <v>220</v>
      </c>
      <c r="E889" s="2"/>
      <c r="F889" s="2"/>
      <c r="G889" s="6">
        <f t="shared" si="134"/>
        <v>204</v>
      </c>
      <c r="H889" s="6">
        <f t="shared" si="134"/>
        <v>215</v>
      </c>
    </row>
    <row r="890" spans="1:8" s="202" customFormat="1" ht="31.5" x14ac:dyDescent="0.25">
      <c r="A890" s="45" t="s">
        <v>138</v>
      </c>
      <c r="B890" s="20" t="s">
        <v>1158</v>
      </c>
      <c r="C890" s="40" t="s">
        <v>241</v>
      </c>
      <c r="D890" s="40" t="s">
        <v>220</v>
      </c>
      <c r="E890" s="2">
        <v>200</v>
      </c>
      <c r="F890" s="2"/>
      <c r="G890" s="6">
        <f t="shared" si="134"/>
        <v>204</v>
      </c>
      <c r="H890" s="6">
        <f t="shared" si="134"/>
        <v>215</v>
      </c>
    </row>
    <row r="891" spans="1:8" s="202" customFormat="1" ht="47.25" x14ac:dyDescent="0.25">
      <c r="A891" s="45" t="s">
        <v>140</v>
      </c>
      <c r="B891" s="20" t="s">
        <v>1158</v>
      </c>
      <c r="C891" s="40" t="s">
        <v>241</v>
      </c>
      <c r="D891" s="40" t="s">
        <v>220</v>
      </c>
      <c r="E891" s="2">
        <v>240</v>
      </c>
      <c r="F891" s="2"/>
      <c r="G891" s="6">
        <f t="shared" si="134"/>
        <v>204</v>
      </c>
      <c r="H891" s="6">
        <f t="shared" si="134"/>
        <v>215</v>
      </c>
    </row>
    <row r="892" spans="1:8" s="202" customFormat="1" ht="47.25" x14ac:dyDescent="0.25">
      <c r="A892" s="45" t="s">
        <v>631</v>
      </c>
      <c r="B892" s="20" t="s">
        <v>1158</v>
      </c>
      <c r="C892" s="40" t="s">
        <v>241</v>
      </c>
      <c r="D892" s="40" t="s">
        <v>220</v>
      </c>
      <c r="E892" s="2">
        <v>240</v>
      </c>
      <c r="F892" s="2">
        <v>908</v>
      </c>
      <c r="G892" s="6">
        <f>'пр.6.1.ведом.22-23'!G952</f>
        <v>204</v>
      </c>
      <c r="H892" s="6">
        <f>'пр.6.1.ведом.22-23'!H952</f>
        <v>215</v>
      </c>
    </row>
    <row r="893" spans="1:8" ht="15.75" x14ac:dyDescent="0.25">
      <c r="A893" s="72" t="s">
        <v>665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473762.89999999991</v>
      </c>
      <c r="H893" s="120">
        <f>H877+H869+H861+H853+H795+H761+H696+H644+H597+H464+H406+H398+H356+H344+H140+H30+H9+H711+H885</f>
        <v>498816.15</v>
      </c>
    </row>
    <row r="895" spans="1:8" x14ac:dyDescent="0.25">
      <c r="G895" s="22">
        <f>'пр.6.1.ведом.22-23'!G1151</f>
        <v>473762.89999999991</v>
      </c>
      <c r="H895" s="22">
        <f>'пр.6.1.ведом.22-23'!H1151</f>
        <v>498816.15</v>
      </c>
    </row>
    <row r="897" spans="7:8" x14ac:dyDescent="0.25">
      <c r="G897" s="22">
        <f>G895-G893</f>
        <v>0</v>
      </c>
      <c r="H897" s="22">
        <f>H895-H893</f>
        <v>0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topLeftCell="A26" zoomScaleNormal="100" zoomScaleSheetLayoutView="100" workbookViewId="0">
      <selection activeCell="H5" sqref="H5:I5"/>
    </sheetView>
  </sheetViews>
  <sheetFormatPr defaultRowHeight="15" x14ac:dyDescent="0.25"/>
  <cols>
    <col min="1" max="1" width="44.28515625" customWidth="1"/>
    <col min="2" max="2" width="15.5703125" style="202" customWidth="1"/>
    <col min="3" max="3" width="7.140625" customWidth="1"/>
    <col min="4" max="4" width="6.28515625" customWidth="1"/>
    <col min="5" max="5" width="7.28515625" style="202" customWidth="1"/>
    <col min="6" max="6" width="10.140625" customWidth="1"/>
    <col min="7" max="7" width="12.5703125" style="22" customWidth="1"/>
    <col min="8" max="8" width="13.140625" customWidth="1"/>
  </cols>
  <sheetData>
    <row r="1" spans="1:9" ht="18.75" customHeight="1" x14ac:dyDescent="0.25">
      <c r="A1" s="480"/>
      <c r="B1" s="480"/>
      <c r="C1" s="480"/>
      <c r="D1" s="62"/>
      <c r="E1" s="62"/>
      <c r="F1" s="481"/>
      <c r="G1" s="481"/>
      <c r="H1" s="493" t="s">
        <v>624</v>
      </c>
      <c r="I1" s="493"/>
    </row>
    <row r="2" spans="1:9" ht="18.75" customHeight="1" x14ac:dyDescent="0.25">
      <c r="A2" s="480"/>
      <c r="B2" s="480"/>
      <c r="C2" s="480"/>
      <c r="D2" s="62"/>
      <c r="E2" s="62"/>
      <c r="F2" s="418"/>
      <c r="G2" s="418"/>
      <c r="H2" s="496" t="s">
        <v>1641</v>
      </c>
      <c r="I2" s="496"/>
    </row>
    <row r="3" spans="1:9" s="202" customFormat="1" ht="18.75" customHeight="1" x14ac:dyDescent="0.3">
      <c r="A3" s="446"/>
      <c r="B3" s="446"/>
      <c r="C3" s="446"/>
      <c r="D3" s="62"/>
      <c r="E3" s="62"/>
      <c r="F3" s="418"/>
      <c r="G3" s="462" t="s">
        <v>1656</v>
      </c>
      <c r="H3" s="462"/>
      <c r="I3" s="462"/>
    </row>
    <row r="4" spans="1:9" ht="15.75" x14ac:dyDescent="0.25">
      <c r="A4" s="62"/>
      <c r="B4" s="62"/>
      <c r="C4" s="62"/>
      <c r="D4" s="62"/>
      <c r="E4" s="62"/>
      <c r="F4" s="418"/>
      <c r="G4" s="418"/>
      <c r="H4" s="496" t="s">
        <v>1642</v>
      </c>
      <c r="I4" s="496"/>
    </row>
    <row r="5" spans="1:9" s="202" customFormat="1" ht="15.75" x14ac:dyDescent="0.25">
      <c r="A5" s="62"/>
      <c r="B5" s="62"/>
      <c r="C5" s="62"/>
      <c r="D5" s="62"/>
      <c r="E5" s="62"/>
      <c r="F5" s="62"/>
      <c r="G5" s="267"/>
      <c r="H5" s="491" t="s">
        <v>1645</v>
      </c>
      <c r="I5" s="491"/>
    </row>
    <row r="6" spans="1:9" s="202" customFormat="1" ht="15.75" x14ac:dyDescent="0.25">
      <c r="A6" s="62"/>
      <c r="B6" s="62"/>
      <c r="C6" s="62"/>
      <c r="D6" s="62"/>
      <c r="E6" s="62"/>
      <c r="F6" s="62"/>
      <c r="G6" s="267"/>
    </row>
    <row r="7" spans="1:9" ht="14.25" customHeight="1" x14ac:dyDescent="0.25">
      <c r="A7" s="466" t="s">
        <v>1607</v>
      </c>
      <c r="B7" s="466"/>
      <c r="C7" s="466"/>
      <c r="D7" s="466"/>
      <c r="E7" s="466"/>
      <c r="F7" s="466"/>
      <c r="G7" s="466"/>
      <c r="H7" s="466"/>
      <c r="I7" s="466"/>
    </row>
    <row r="8" spans="1:9" ht="14.25" customHeight="1" x14ac:dyDescent="0.25">
      <c r="A8" s="466"/>
      <c r="B8" s="466"/>
      <c r="C8" s="466"/>
      <c r="D8" s="466"/>
      <c r="E8" s="466"/>
      <c r="F8" s="466"/>
      <c r="G8" s="466"/>
      <c r="H8" s="466"/>
      <c r="I8" s="466"/>
    </row>
    <row r="9" spans="1:9" ht="16.5" x14ac:dyDescent="0.25">
      <c r="A9" s="233"/>
      <c r="B9" s="233"/>
      <c r="C9" s="233"/>
      <c r="D9" s="233"/>
      <c r="E9" s="233"/>
      <c r="F9" s="233"/>
      <c r="G9" s="383"/>
    </row>
    <row r="10" spans="1:9" ht="70.7" customHeight="1" x14ac:dyDescent="0.25">
      <c r="A10" s="66" t="s">
        <v>600</v>
      </c>
      <c r="B10" s="66" t="s">
        <v>1103</v>
      </c>
      <c r="C10" s="66" t="s">
        <v>1101</v>
      </c>
      <c r="D10" s="66" t="s">
        <v>120</v>
      </c>
      <c r="E10" s="66" t="s">
        <v>1102</v>
      </c>
      <c r="F10" s="66" t="s">
        <v>118</v>
      </c>
      <c r="G10" s="384" t="s">
        <v>1602</v>
      </c>
      <c r="H10" s="384" t="s">
        <v>1615</v>
      </c>
      <c r="I10" s="415" t="s">
        <v>1604</v>
      </c>
    </row>
    <row r="11" spans="1:9" s="202" customFormat="1" ht="33.4" customHeight="1" x14ac:dyDescent="0.25">
      <c r="A11" s="25" t="s">
        <v>253</v>
      </c>
      <c r="B11" s="20" t="s">
        <v>891</v>
      </c>
      <c r="C11" s="66"/>
      <c r="D11" s="66"/>
      <c r="E11" s="66"/>
      <c r="F11" s="66"/>
      <c r="G11" s="384">
        <f t="shared" ref="G11:H14" si="0">G12</f>
        <v>9815.2999999999993</v>
      </c>
      <c r="H11" s="384">
        <f t="shared" si="0"/>
        <v>2663.7150000000001</v>
      </c>
      <c r="I11" s="416">
        <f>H11/G11*100</f>
        <v>27.138396177396519</v>
      </c>
    </row>
    <row r="12" spans="1:9" s="202" customFormat="1" ht="18.399999999999999" customHeight="1" x14ac:dyDescent="0.25">
      <c r="A12" s="25" t="s">
        <v>250</v>
      </c>
      <c r="B12" s="20" t="s">
        <v>891</v>
      </c>
      <c r="C12" s="66">
        <v>10</v>
      </c>
      <c r="D12" s="66"/>
      <c r="E12" s="66"/>
      <c r="F12" s="66"/>
      <c r="G12" s="384">
        <f t="shared" si="0"/>
        <v>9815.2999999999993</v>
      </c>
      <c r="H12" s="384">
        <f t="shared" si="0"/>
        <v>2663.7150000000001</v>
      </c>
      <c r="I12" s="416">
        <f t="shared" ref="I12:I47" si="1">H12/G12*100</f>
        <v>27.138396177396519</v>
      </c>
    </row>
    <row r="13" spans="1:9" s="202" customFormat="1" ht="18.399999999999999" customHeight="1" x14ac:dyDescent="0.25">
      <c r="A13" s="25" t="s">
        <v>252</v>
      </c>
      <c r="B13" s="20" t="s">
        <v>891</v>
      </c>
      <c r="C13" s="66">
        <v>10</v>
      </c>
      <c r="D13" s="40" t="s">
        <v>125</v>
      </c>
      <c r="E13" s="66"/>
      <c r="F13" s="66"/>
      <c r="G13" s="384">
        <f t="shared" si="0"/>
        <v>9815.2999999999993</v>
      </c>
      <c r="H13" s="384">
        <f t="shared" si="0"/>
        <v>2663.7150000000001</v>
      </c>
      <c r="I13" s="416">
        <f t="shared" si="1"/>
        <v>27.138396177396519</v>
      </c>
    </row>
    <row r="14" spans="1:9" s="202" customFormat="1" ht="28.15" customHeight="1" x14ac:dyDescent="0.25">
      <c r="A14" s="29" t="s">
        <v>255</v>
      </c>
      <c r="B14" s="20" t="s">
        <v>891</v>
      </c>
      <c r="C14" s="66">
        <v>10</v>
      </c>
      <c r="D14" s="40" t="s">
        <v>125</v>
      </c>
      <c r="E14" s="66">
        <v>300</v>
      </c>
      <c r="F14" s="66"/>
      <c r="G14" s="384">
        <f t="shared" si="0"/>
        <v>9815.2999999999993</v>
      </c>
      <c r="H14" s="384">
        <f t="shared" si="0"/>
        <v>2663.7150000000001</v>
      </c>
      <c r="I14" s="416">
        <f t="shared" si="1"/>
        <v>27.138396177396519</v>
      </c>
    </row>
    <row r="15" spans="1:9" s="202" customFormat="1" ht="34.700000000000003" customHeight="1" x14ac:dyDescent="0.25">
      <c r="A15" s="25" t="s">
        <v>355</v>
      </c>
      <c r="B15" s="20" t="s">
        <v>891</v>
      </c>
      <c r="C15" s="66">
        <v>10</v>
      </c>
      <c r="D15" s="40" t="s">
        <v>125</v>
      </c>
      <c r="E15" s="66">
        <v>310</v>
      </c>
      <c r="F15" s="66"/>
      <c r="G15" s="384">
        <f>'Пр.4 ведом.21'!G213</f>
        <v>9815.2999999999993</v>
      </c>
      <c r="H15" s="384">
        <f>'Пр.4 ведом.21'!H213</f>
        <v>2663.7150000000001</v>
      </c>
      <c r="I15" s="416">
        <f t="shared" si="1"/>
        <v>27.138396177396519</v>
      </c>
    </row>
    <row r="16" spans="1:9" s="202" customFormat="1" ht="37.35" customHeight="1" x14ac:dyDescent="0.25">
      <c r="A16" s="343" t="s">
        <v>155</v>
      </c>
      <c r="B16" s="20" t="s">
        <v>891</v>
      </c>
      <c r="C16" s="66">
        <v>10</v>
      </c>
      <c r="D16" s="40" t="s">
        <v>125</v>
      </c>
      <c r="E16" s="66">
        <v>310</v>
      </c>
      <c r="F16" s="66">
        <v>902</v>
      </c>
      <c r="G16" s="384">
        <f>G11</f>
        <v>9815.2999999999993</v>
      </c>
      <c r="H16" s="384">
        <f>H11</f>
        <v>2663.7150000000001</v>
      </c>
      <c r="I16" s="416">
        <f t="shared" si="1"/>
        <v>27.138396177396519</v>
      </c>
    </row>
    <row r="17" spans="1:9" s="202" customFormat="1" ht="63" hidden="1" x14ac:dyDescent="0.25">
      <c r="A17" s="226" t="s">
        <v>1044</v>
      </c>
      <c r="B17" s="20" t="s">
        <v>1058</v>
      </c>
      <c r="C17" s="40"/>
      <c r="D17" s="40"/>
      <c r="E17" s="40"/>
      <c r="F17" s="5"/>
      <c r="G17" s="6">
        <f t="shared" ref="G17:H21" si="2">G18</f>
        <v>0</v>
      </c>
      <c r="H17" s="6">
        <f t="shared" si="2"/>
        <v>0</v>
      </c>
      <c r="I17" s="416" t="e">
        <f t="shared" si="1"/>
        <v>#DIV/0!</v>
      </c>
    </row>
    <row r="18" spans="1:9" s="202" customFormat="1" ht="15.75" hidden="1" x14ac:dyDescent="0.25">
      <c r="A18" s="45" t="s">
        <v>270</v>
      </c>
      <c r="B18" s="20" t="s">
        <v>1058</v>
      </c>
      <c r="C18" s="40" t="s">
        <v>271</v>
      </c>
      <c r="D18" s="40"/>
      <c r="E18" s="196"/>
      <c r="F18" s="5"/>
      <c r="G18" s="6">
        <f t="shared" si="2"/>
        <v>0</v>
      </c>
      <c r="H18" s="6">
        <f t="shared" si="2"/>
        <v>0</v>
      </c>
      <c r="I18" s="416" t="e">
        <f t="shared" si="1"/>
        <v>#DIV/0!</v>
      </c>
    </row>
    <row r="19" spans="1:9" s="202" customFormat="1" ht="31.5" hidden="1" x14ac:dyDescent="0.25">
      <c r="A19" s="45" t="s">
        <v>473</v>
      </c>
      <c r="B19" s="20" t="s">
        <v>1058</v>
      </c>
      <c r="C19" s="40" t="s">
        <v>271</v>
      </c>
      <c r="D19" s="40" t="s">
        <v>271</v>
      </c>
      <c r="E19" s="196"/>
      <c r="F19" s="5"/>
      <c r="G19" s="6">
        <f t="shared" si="2"/>
        <v>0</v>
      </c>
      <c r="H19" s="6">
        <f t="shared" si="2"/>
        <v>0</v>
      </c>
      <c r="I19" s="416" t="e">
        <f t="shared" si="1"/>
        <v>#DIV/0!</v>
      </c>
    </row>
    <row r="20" spans="1:9" ht="31.5" hidden="1" x14ac:dyDescent="0.25">
      <c r="A20" s="29" t="s">
        <v>255</v>
      </c>
      <c r="B20" s="20" t="s">
        <v>1058</v>
      </c>
      <c r="C20" s="40" t="s">
        <v>271</v>
      </c>
      <c r="D20" s="40" t="s">
        <v>271</v>
      </c>
      <c r="E20" s="40" t="s">
        <v>256</v>
      </c>
      <c r="F20" s="5"/>
      <c r="G20" s="6">
        <f t="shared" si="2"/>
        <v>0</v>
      </c>
      <c r="H20" s="6">
        <f t="shared" si="2"/>
        <v>0</v>
      </c>
      <c r="I20" s="416" t="e">
        <f t="shared" si="1"/>
        <v>#DIV/0!</v>
      </c>
    </row>
    <row r="21" spans="1:9" ht="38.1" hidden="1" customHeight="1" x14ac:dyDescent="0.25">
      <c r="A21" s="29" t="s">
        <v>1211</v>
      </c>
      <c r="B21" s="20" t="s">
        <v>1058</v>
      </c>
      <c r="C21" s="40" t="s">
        <v>271</v>
      </c>
      <c r="D21" s="40" t="s">
        <v>271</v>
      </c>
      <c r="E21" s="40" t="s">
        <v>1210</v>
      </c>
      <c r="F21" s="5"/>
      <c r="G21" s="6">
        <f t="shared" si="2"/>
        <v>0</v>
      </c>
      <c r="H21" s="6">
        <f t="shared" si="2"/>
        <v>0</v>
      </c>
      <c r="I21" s="416" t="e">
        <f t="shared" si="1"/>
        <v>#DIV/0!</v>
      </c>
    </row>
    <row r="22" spans="1:9" s="202" customFormat="1" ht="46.9" hidden="1" customHeight="1" x14ac:dyDescent="0.25">
      <c r="A22" s="45" t="s">
        <v>666</v>
      </c>
      <c r="B22" s="20" t="s">
        <v>1058</v>
      </c>
      <c r="C22" s="40" t="s">
        <v>271</v>
      </c>
      <c r="D22" s="40" t="s">
        <v>271</v>
      </c>
      <c r="E22" s="40" t="s">
        <v>1210</v>
      </c>
      <c r="F22" s="5">
        <v>903</v>
      </c>
      <c r="G22" s="6"/>
      <c r="H22" s="6"/>
      <c r="I22" s="416" t="e">
        <f t="shared" si="1"/>
        <v>#DIV/0!</v>
      </c>
    </row>
    <row r="23" spans="1:9" s="202" customFormat="1" ht="18.399999999999999" customHeight="1" x14ac:dyDescent="0.25">
      <c r="A23" s="25" t="s">
        <v>1046</v>
      </c>
      <c r="B23" s="20" t="s">
        <v>918</v>
      </c>
      <c r="C23" s="40"/>
      <c r="D23" s="40"/>
      <c r="E23" s="40"/>
      <c r="F23" s="5"/>
      <c r="G23" s="6">
        <f t="shared" ref="G23:H27" si="3">G24</f>
        <v>420</v>
      </c>
      <c r="H23" s="6">
        <f t="shared" si="3"/>
        <v>40</v>
      </c>
      <c r="I23" s="416">
        <f t="shared" si="1"/>
        <v>9.5238095238095237</v>
      </c>
    </row>
    <row r="24" spans="1:9" s="202" customFormat="1" ht="20.25" customHeight="1" x14ac:dyDescent="0.25">
      <c r="A24" s="25" t="s">
        <v>1095</v>
      </c>
      <c r="B24" s="20" t="s">
        <v>918</v>
      </c>
      <c r="C24" s="40" t="s">
        <v>251</v>
      </c>
      <c r="D24" s="40"/>
      <c r="E24" s="40"/>
      <c r="F24" s="5"/>
      <c r="G24" s="6">
        <f t="shared" si="3"/>
        <v>420</v>
      </c>
      <c r="H24" s="6">
        <f t="shared" si="3"/>
        <v>40</v>
      </c>
      <c r="I24" s="416">
        <f t="shared" si="1"/>
        <v>9.5238095238095237</v>
      </c>
    </row>
    <row r="25" spans="1:9" s="202" customFormat="1" ht="19.7" customHeight="1" x14ac:dyDescent="0.25">
      <c r="A25" s="29" t="s">
        <v>259</v>
      </c>
      <c r="B25" s="20" t="s">
        <v>918</v>
      </c>
      <c r="C25" s="40" t="s">
        <v>251</v>
      </c>
      <c r="D25" s="40" t="s">
        <v>222</v>
      </c>
      <c r="E25" s="40"/>
      <c r="F25" s="5"/>
      <c r="G25" s="6">
        <f t="shared" si="3"/>
        <v>420</v>
      </c>
      <c r="H25" s="6">
        <f t="shared" si="3"/>
        <v>40</v>
      </c>
      <c r="I25" s="416">
        <f t="shared" si="1"/>
        <v>9.5238095238095237</v>
      </c>
    </row>
    <row r="26" spans="1:9" s="202" customFormat="1" ht="33.75" customHeight="1" x14ac:dyDescent="0.25">
      <c r="A26" s="25" t="s">
        <v>255</v>
      </c>
      <c r="B26" s="20" t="s">
        <v>918</v>
      </c>
      <c r="C26" s="40" t="s">
        <v>251</v>
      </c>
      <c r="D26" s="40" t="s">
        <v>222</v>
      </c>
      <c r="E26" s="40" t="s">
        <v>256</v>
      </c>
      <c r="F26" s="5"/>
      <c r="G26" s="6">
        <f t="shared" si="3"/>
        <v>420</v>
      </c>
      <c r="H26" s="6">
        <f t="shared" si="3"/>
        <v>40</v>
      </c>
      <c r="I26" s="416">
        <f t="shared" si="1"/>
        <v>9.5238095238095237</v>
      </c>
    </row>
    <row r="27" spans="1:9" s="202" customFormat="1" ht="31.9" customHeight="1" x14ac:dyDescent="0.25">
      <c r="A27" s="25" t="s">
        <v>355</v>
      </c>
      <c r="B27" s="20" t="s">
        <v>918</v>
      </c>
      <c r="C27" s="40" t="s">
        <v>251</v>
      </c>
      <c r="D27" s="40" t="s">
        <v>222</v>
      </c>
      <c r="E27" s="40" t="s">
        <v>356</v>
      </c>
      <c r="F27" s="5"/>
      <c r="G27" s="6">
        <f t="shared" si="3"/>
        <v>420</v>
      </c>
      <c r="H27" s="6">
        <f t="shared" si="3"/>
        <v>40</v>
      </c>
      <c r="I27" s="416">
        <f t="shared" si="1"/>
        <v>9.5238095238095237</v>
      </c>
    </row>
    <row r="28" spans="1:9" s="202" customFormat="1" ht="55.7" customHeight="1" x14ac:dyDescent="0.25">
      <c r="A28" s="45" t="s">
        <v>666</v>
      </c>
      <c r="B28" s="20" t="s">
        <v>918</v>
      </c>
      <c r="C28" s="40" t="s">
        <v>251</v>
      </c>
      <c r="D28" s="40" t="s">
        <v>222</v>
      </c>
      <c r="E28" s="40" t="s">
        <v>356</v>
      </c>
      <c r="F28" s="5">
        <v>903</v>
      </c>
      <c r="G28" s="6">
        <f>'Пр.4 ведом.21'!G459</f>
        <v>420</v>
      </c>
      <c r="H28" s="6">
        <f>'Пр.4 ведом.21'!H459</f>
        <v>40</v>
      </c>
      <c r="I28" s="416">
        <f t="shared" si="1"/>
        <v>9.5238095238095237</v>
      </c>
    </row>
    <row r="29" spans="1:9" s="202" customFormat="1" ht="61.15" customHeight="1" x14ac:dyDescent="0.25">
      <c r="A29" s="98" t="s">
        <v>1049</v>
      </c>
      <c r="B29" s="20" t="s">
        <v>920</v>
      </c>
      <c r="C29" s="40"/>
      <c r="D29" s="40"/>
      <c r="E29" s="40"/>
      <c r="F29" s="5"/>
      <c r="G29" s="6">
        <f t="shared" ref="G29:H33" si="4">G30</f>
        <v>630</v>
      </c>
      <c r="H29" s="6">
        <f t="shared" si="4"/>
        <v>128.893</v>
      </c>
      <c r="I29" s="416">
        <f t="shared" si="1"/>
        <v>20.459206349206347</v>
      </c>
    </row>
    <row r="30" spans="1:9" ht="15.75" x14ac:dyDescent="0.25">
      <c r="A30" s="80" t="s">
        <v>250</v>
      </c>
      <c r="B30" s="20" t="s">
        <v>920</v>
      </c>
      <c r="C30" s="9" t="s">
        <v>251</v>
      </c>
      <c r="D30" s="9"/>
      <c r="E30" s="9"/>
      <c r="F30" s="9"/>
      <c r="G30" s="10">
        <f t="shared" si="4"/>
        <v>630</v>
      </c>
      <c r="H30" s="10">
        <f t="shared" si="4"/>
        <v>128.893</v>
      </c>
      <c r="I30" s="416">
        <f t="shared" si="1"/>
        <v>20.459206349206347</v>
      </c>
    </row>
    <row r="31" spans="1:9" ht="19.149999999999999" customHeight="1" x14ac:dyDescent="0.25">
      <c r="A31" s="29" t="s">
        <v>259</v>
      </c>
      <c r="B31" s="20" t="s">
        <v>920</v>
      </c>
      <c r="C31" s="40" t="s">
        <v>251</v>
      </c>
      <c r="D31" s="40" t="s">
        <v>222</v>
      </c>
      <c r="E31" s="40"/>
      <c r="F31" s="5"/>
      <c r="G31" s="6">
        <f t="shared" si="4"/>
        <v>630</v>
      </c>
      <c r="H31" s="6">
        <f t="shared" si="4"/>
        <v>128.893</v>
      </c>
      <c r="I31" s="416">
        <f t="shared" si="1"/>
        <v>20.459206349206347</v>
      </c>
    </row>
    <row r="32" spans="1:9" ht="31.5" x14ac:dyDescent="0.25">
      <c r="A32" s="29" t="s">
        <v>255</v>
      </c>
      <c r="B32" s="20" t="s">
        <v>920</v>
      </c>
      <c r="C32" s="40" t="s">
        <v>251</v>
      </c>
      <c r="D32" s="40" t="s">
        <v>222</v>
      </c>
      <c r="E32" s="40" t="s">
        <v>256</v>
      </c>
      <c r="F32" s="5"/>
      <c r="G32" s="6">
        <f t="shared" si="4"/>
        <v>630</v>
      </c>
      <c r="H32" s="6">
        <f t="shared" si="4"/>
        <v>128.893</v>
      </c>
      <c r="I32" s="416">
        <f t="shared" si="1"/>
        <v>20.459206349206347</v>
      </c>
    </row>
    <row r="33" spans="1:9" ht="31.5" x14ac:dyDescent="0.25">
      <c r="A33" s="29" t="s">
        <v>355</v>
      </c>
      <c r="B33" s="20" t="s">
        <v>920</v>
      </c>
      <c r="C33" s="40" t="s">
        <v>251</v>
      </c>
      <c r="D33" s="40" t="s">
        <v>222</v>
      </c>
      <c r="E33" s="81" t="s">
        <v>356</v>
      </c>
      <c r="F33" s="5"/>
      <c r="G33" s="6">
        <f t="shared" si="4"/>
        <v>630</v>
      </c>
      <c r="H33" s="6">
        <f t="shared" si="4"/>
        <v>128.893</v>
      </c>
      <c r="I33" s="416">
        <f t="shared" si="1"/>
        <v>20.459206349206347</v>
      </c>
    </row>
    <row r="34" spans="1:9" s="202" customFormat="1" ht="46.9" customHeight="1" x14ac:dyDescent="0.25">
      <c r="A34" s="45" t="s">
        <v>666</v>
      </c>
      <c r="B34" s="20" t="s">
        <v>920</v>
      </c>
      <c r="C34" s="40" t="s">
        <v>251</v>
      </c>
      <c r="D34" s="40" t="s">
        <v>222</v>
      </c>
      <c r="E34" s="81" t="s">
        <v>356</v>
      </c>
      <c r="F34" s="5">
        <v>903</v>
      </c>
      <c r="G34" s="6">
        <f>'Пр.4 ведом.21'!G449</f>
        <v>630</v>
      </c>
      <c r="H34" s="6">
        <f>'Пр.4 ведом.21'!H449</f>
        <v>128.893</v>
      </c>
      <c r="I34" s="416">
        <f t="shared" si="1"/>
        <v>20.459206349206347</v>
      </c>
    </row>
    <row r="35" spans="1:9" ht="31.5" x14ac:dyDescent="0.25">
      <c r="A35" s="25" t="s">
        <v>1008</v>
      </c>
      <c r="B35" s="20" t="s">
        <v>921</v>
      </c>
      <c r="C35" s="40"/>
      <c r="D35" s="40"/>
      <c r="E35" s="40"/>
      <c r="F35" s="5"/>
      <c r="G35" s="6">
        <f t="shared" ref="G35:H39" si="5">G36</f>
        <v>257</v>
      </c>
      <c r="H35" s="6">
        <f t="shared" si="5"/>
        <v>40</v>
      </c>
      <c r="I35" s="416">
        <f t="shared" si="1"/>
        <v>15.56420233463035</v>
      </c>
    </row>
    <row r="36" spans="1:9" s="202" customFormat="1" ht="15.75" x14ac:dyDescent="0.25">
      <c r="A36" s="80" t="s">
        <v>250</v>
      </c>
      <c r="B36" s="20" t="s">
        <v>921</v>
      </c>
      <c r="C36" s="40" t="s">
        <v>251</v>
      </c>
      <c r="D36" s="40"/>
      <c r="E36" s="40"/>
      <c r="F36" s="5"/>
      <c r="G36" s="6">
        <f t="shared" si="5"/>
        <v>257</v>
      </c>
      <c r="H36" s="6">
        <f t="shared" si="5"/>
        <v>40</v>
      </c>
      <c r="I36" s="416">
        <f t="shared" si="1"/>
        <v>15.56420233463035</v>
      </c>
    </row>
    <row r="37" spans="1:9" ht="17.649999999999999" customHeight="1" x14ac:dyDescent="0.25">
      <c r="A37" s="29" t="s">
        <v>259</v>
      </c>
      <c r="B37" s="20" t="s">
        <v>921</v>
      </c>
      <c r="C37" s="40" t="s">
        <v>251</v>
      </c>
      <c r="D37" s="40" t="s">
        <v>222</v>
      </c>
      <c r="E37" s="40"/>
      <c r="F37" s="5"/>
      <c r="G37" s="6">
        <f t="shared" si="5"/>
        <v>257</v>
      </c>
      <c r="H37" s="6">
        <f t="shared" si="5"/>
        <v>40</v>
      </c>
      <c r="I37" s="416">
        <f t="shared" si="1"/>
        <v>15.56420233463035</v>
      </c>
    </row>
    <row r="38" spans="1:9" ht="31.5" x14ac:dyDescent="0.25">
      <c r="A38" s="29" t="s">
        <v>255</v>
      </c>
      <c r="B38" s="20" t="s">
        <v>921</v>
      </c>
      <c r="C38" s="40" t="s">
        <v>251</v>
      </c>
      <c r="D38" s="40" t="s">
        <v>222</v>
      </c>
      <c r="E38" s="40" t="s">
        <v>256</v>
      </c>
      <c r="F38" s="5"/>
      <c r="G38" s="6">
        <f t="shared" si="5"/>
        <v>257</v>
      </c>
      <c r="H38" s="6">
        <f t="shared" si="5"/>
        <v>40</v>
      </c>
      <c r="I38" s="416">
        <f t="shared" si="1"/>
        <v>15.56420233463035</v>
      </c>
    </row>
    <row r="39" spans="1:9" ht="31.5" x14ac:dyDescent="0.25">
      <c r="A39" s="29" t="s">
        <v>355</v>
      </c>
      <c r="B39" s="20" t="s">
        <v>921</v>
      </c>
      <c r="C39" s="40" t="s">
        <v>251</v>
      </c>
      <c r="D39" s="40" t="s">
        <v>222</v>
      </c>
      <c r="E39" s="40" t="s">
        <v>356</v>
      </c>
      <c r="F39" s="5"/>
      <c r="G39" s="6">
        <f t="shared" si="5"/>
        <v>257</v>
      </c>
      <c r="H39" s="6">
        <f t="shared" si="5"/>
        <v>40</v>
      </c>
      <c r="I39" s="416">
        <f t="shared" si="1"/>
        <v>15.56420233463035</v>
      </c>
    </row>
    <row r="40" spans="1:9" s="202" customFormat="1" ht="57.2" customHeight="1" x14ac:dyDescent="0.25">
      <c r="A40" s="45" t="s">
        <v>666</v>
      </c>
      <c r="B40" s="20" t="s">
        <v>921</v>
      </c>
      <c r="C40" s="40" t="s">
        <v>251</v>
      </c>
      <c r="D40" s="40" t="s">
        <v>222</v>
      </c>
      <c r="E40" s="40" t="s">
        <v>356</v>
      </c>
      <c r="F40" s="5">
        <v>903</v>
      </c>
      <c r="G40" s="6">
        <f>'Пр.4 ведом.21'!G455</f>
        <v>257</v>
      </c>
      <c r="H40" s="6">
        <f>'Пр.4 ведом.21'!H455</f>
        <v>40</v>
      </c>
      <c r="I40" s="416">
        <f t="shared" si="1"/>
        <v>15.56420233463035</v>
      </c>
    </row>
    <row r="41" spans="1:9" s="202" customFormat="1" ht="63" hidden="1" x14ac:dyDescent="0.25">
      <c r="A41" s="25" t="s">
        <v>1050</v>
      </c>
      <c r="B41" s="20" t="s">
        <v>922</v>
      </c>
      <c r="C41" s="40"/>
      <c r="D41" s="40"/>
      <c r="E41" s="40"/>
      <c r="F41" s="5"/>
      <c r="G41" s="6">
        <f t="shared" ref="G41:H44" si="6">G42</f>
        <v>0</v>
      </c>
      <c r="H41" s="6">
        <f t="shared" si="6"/>
        <v>0</v>
      </c>
      <c r="I41" s="416" t="e">
        <f t="shared" si="1"/>
        <v>#DIV/0!</v>
      </c>
    </row>
    <row r="42" spans="1:9" s="202" customFormat="1" ht="15.75" hidden="1" x14ac:dyDescent="0.25">
      <c r="A42" s="80" t="s">
        <v>250</v>
      </c>
      <c r="B42" s="20" t="s">
        <v>922</v>
      </c>
      <c r="C42" s="40" t="s">
        <v>251</v>
      </c>
      <c r="D42" s="40"/>
      <c r="E42" s="40"/>
      <c r="F42" s="5"/>
      <c r="G42" s="6">
        <f t="shared" si="6"/>
        <v>0</v>
      </c>
      <c r="H42" s="6">
        <f t="shared" si="6"/>
        <v>0</v>
      </c>
      <c r="I42" s="416" t="e">
        <f t="shared" si="1"/>
        <v>#DIV/0!</v>
      </c>
    </row>
    <row r="43" spans="1:9" ht="15.75" hidden="1" x14ac:dyDescent="0.25">
      <c r="A43" s="29" t="s">
        <v>259</v>
      </c>
      <c r="B43" s="20" t="s">
        <v>922</v>
      </c>
      <c r="C43" s="40" t="s">
        <v>251</v>
      </c>
      <c r="D43" s="40" t="s">
        <v>222</v>
      </c>
      <c r="E43" s="40"/>
      <c r="F43" s="5">
        <v>903</v>
      </c>
      <c r="G43" s="6">
        <f t="shared" si="6"/>
        <v>0</v>
      </c>
      <c r="H43" s="6">
        <f t="shared" si="6"/>
        <v>0</v>
      </c>
      <c r="I43" s="416" t="e">
        <f t="shared" si="1"/>
        <v>#DIV/0!</v>
      </c>
    </row>
    <row r="44" spans="1:9" ht="31.5" hidden="1" x14ac:dyDescent="0.25">
      <c r="A44" s="29" t="s">
        <v>255</v>
      </c>
      <c r="B44" s="20" t="s">
        <v>922</v>
      </c>
      <c r="C44" s="40" t="s">
        <v>251</v>
      </c>
      <c r="D44" s="40" t="s">
        <v>222</v>
      </c>
      <c r="E44" s="40" t="s">
        <v>256</v>
      </c>
      <c r="F44" s="5">
        <v>903</v>
      </c>
      <c r="G44" s="6">
        <f t="shared" si="6"/>
        <v>0</v>
      </c>
      <c r="H44" s="6">
        <f t="shared" si="6"/>
        <v>0</v>
      </c>
      <c r="I44" s="416" t="e">
        <f t="shared" si="1"/>
        <v>#DIV/0!</v>
      </c>
    </row>
    <row r="45" spans="1:9" ht="31.5" hidden="1" x14ac:dyDescent="0.25">
      <c r="A45" s="29" t="s">
        <v>355</v>
      </c>
      <c r="B45" s="20" t="s">
        <v>922</v>
      </c>
      <c r="C45" s="40" t="s">
        <v>251</v>
      </c>
      <c r="D45" s="40" t="s">
        <v>222</v>
      </c>
      <c r="E45" s="40" t="s">
        <v>356</v>
      </c>
      <c r="F45" s="5">
        <v>903</v>
      </c>
      <c r="G45" s="6"/>
      <c r="H45" s="6"/>
      <c r="I45" s="416" t="e">
        <f t="shared" si="1"/>
        <v>#DIV/0!</v>
      </c>
    </row>
    <row r="46" spans="1:9" s="202" customFormat="1" ht="47.25" hidden="1" x14ac:dyDescent="0.25">
      <c r="A46" s="45" t="s">
        <v>666</v>
      </c>
      <c r="B46" s="20" t="s">
        <v>922</v>
      </c>
      <c r="C46" s="40" t="s">
        <v>251</v>
      </c>
      <c r="D46" s="40" t="s">
        <v>222</v>
      </c>
      <c r="E46" s="40" t="s">
        <v>356</v>
      </c>
      <c r="F46" s="5">
        <v>903</v>
      </c>
      <c r="G46" s="6"/>
      <c r="H46" s="6"/>
      <c r="I46" s="416" t="e">
        <f t="shared" si="1"/>
        <v>#DIV/0!</v>
      </c>
    </row>
    <row r="47" spans="1:9" ht="15.75" x14ac:dyDescent="0.25">
      <c r="A47" s="41" t="s">
        <v>665</v>
      </c>
      <c r="B47" s="234"/>
      <c r="C47" s="234"/>
      <c r="D47" s="234"/>
      <c r="E47" s="234"/>
      <c r="F47" s="41"/>
      <c r="G47" s="59">
        <f>G17+G23+G29+G35+G41+G11</f>
        <v>11122.3</v>
      </c>
      <c r="H47" s="59">
        <f>H17+H23+H29+H35+H41+H11</f>
        <v>2872.6080000000002</v>
      </c>
      <c r="I47" s="441">
        <f t="shared" si="1"/>
        <v>25.827463744009787</v>
      </c>
    </row>
  </sheetData>
  <mergeCells count="8">
    <mergeCell ref="A1:C2"/>
    <mergeCell ref="F1:G1"/>
    <mergeCell ref="A7:I8"/>
    <mergeCell ref="H5:I5"/>
    <mergeCell ref="G3:I3"/>
    <mergeCell ref="H2:I2"/>
    <mergeCell ref="H1:I1"/>
    <mergeCell ref="H4:I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27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80"/>
      <c r="B1" s="480"/>
      <c r="C1" s="480"/>
      <c r="D1" s="62"/>
      <c r="E1" s="62"/>
      <c r="F1" s="203"/>
      <c r="G1" s="483" t="s">
        <v>1096</v>
      </c>
      <c r="H1" s="483"/>
      <c r="I1" s="203"/>
    </row>
    <row r="2" spans="1:9" ht="15.75" x14ac:dyDescent="0.25">
      <c r="A2" s="480"/>
      <c r="B2" s="480"/>
      <c r="C2" s="480"/>
      <c r="D2" s="62"/>
      <c r="E2" s="62"/>
      <c r="F2" s="203"/>
      <c r="G2" s="483" t="s">
        <v>0</v>
      </c>
      <c r="H2" s="483"/>
      <c r="I2" s="203"/>
    </row>
    <row r="3" spans="1:9" ht="15.75" x14ac:dyDescent="0.25">
      <c r="A3" s="62"/>
      <c r="B3" s="62"/>
      <c r="C3" s="62"/>
      <c r="D3" s="62"/>
      <c r="E3" s="62"/>
      <c r="F3" s="62"/>
      <c r="G3" s="482" t="s">
        <v>1560</v>
      </c>
      <c r="H3" s="482"/>
      <c r="I3" s="203"/>
    </row>
    <row r="4" spans="1:9" s="202" customFormat="1" ht="15.75" x14ac:dyDescent="0.25">
      <c r="A4" s="62"/>
      <c r="B4" s="62"/>
      <c r="C4" s="62"/>
      <c r="D4" s="62"/>
      <c r="E4" s="62"/>
      <c r="F4" s="62"/>
      <c r="G4" s="62"/>
      <c r="H4" s="129"/>
      <c r="I4" s="203"/>
    </row>
    <row r="5" spans="1:9" ht="39.200000000000003" customHeight="1" x14ac:dyDescent="0.25">
      <c r="A5" s="466" t="s">
        <v>1474</v>
      </c>
      <c r="B5" s="466"/>
      <c r="C5" s="466"/>
      <c r="D5" s="466"/>
      <c r="E5" s="466"/>
      <c r="F5" s="466"/>
      <c r="G5" s="466"/>
      <c r="H5" s="466"/>
      <c r="I5" s="203"/>
    </row>
    <row r="6" spans="1:9" ht="16.5" x14ac:dyDescent="0.25">
      <c r="A6" s="233"/>
      <c r="B6" s="233"/>
      <c r="C6" s="233"/>
      <c r="D6" s="233"/>
      <c r="E6" s="233"/>
      <c r="F6" s="233"/>
      <c r="G6" s="233"/>
      <c r="H6" s="203"/>
      <c r="I6" s="203"/>
    </row>
    <row r="7" spans="1:9" ht="15.75" x14ac:dyDescent="0.25">
      <c r="A7" s="62"/>
      <c r="B7" s="62"/>
      <c r="C7" s="62"/>
      <c r="D7" s="62"/>
      <c r="E7" s="62"/>
      <c r="F7" s="64"/>
      <c r="G7" s="203"/>
      <c r="H7" s="65" t="s">
        <v>1</v>
      </c>
      <c r="I7" s="203"/>
    </row>
    <row r="8" spans="1:9" ht="47.25" x14ac:dyDescent="0.25">
      <c r="A8" s="66" t="s">
        <v>600</v>
      </c>
      <c r="B8" s="66" t="s">
        <v>1103</v>
      </c>
      <c r="C8" s="66" t="s">
        <v>1101</v>
      </c>
      <c r="D8" s="66" t="s">
        <v>120</v>
      </c>
      <c r="E8" s="66" t="s">
        <v>1102</v>
      </c>
      <c r="F8" s="66" t="s">
        <v>118</v>
      </c>
      <c r="G8" s="66" t="s">
        <v>1037</v>
      </c>
      <c r="H8" s="66" t="s">
        <v>1305</v>
      </c>
      <c r="I8" s="203"/>
    </row>
    <row r="9" spans="1:9" ht="68.25" hidden="1" customHeight="1" x14ac:dyDescent="0.25">
      <c r="A9" s="226" t="s">
        <v>1044</v>
      </c>
      <c r="B9" s="20" t="s">
        <v>1058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03"/>
    </row>
    <row r="10" spans="1:9" ht="15.75" hidden="1" x14ac:dyDescent="0.25">
      <c r="A10" s="45" t="s">
        <v>270</v>
      </c>
      <c r="B10" s="20" t="s">
        <v>1058</v>
      </c>
      <c r="C10" s="40" t="s">
        <v>271</v>
      </c>
      <c r="D10" s="40"/>
      <c r="E10" s="196"/>
      <c r="F10" s="5"/>
      <c r="G10" s="6">
        <f t="shared" si="0"/>
        <v>0</v>
      </c>
      <c r="H10" s="6">
        <f t="shared" si="0"/>
        <v>0</v>
      </c>
      <c r="I10" s="203"/>
    </row>
    <row r="11" spans="1:9" ht="31.5" hidden="1" x14ac:dyDescent="0.25">
      <c r="A11" s="45" t="s">
        <v>473</v>
      </c>
      <c r="B11" s="20" t="s">
        <v>1058</v>
      </c>
      <c r="C11" s="40" t="s">
        <v>271</v>
      </c>
      <c r="D11" s="40" t="s">
        <v>271</v>
      </c>
      <c r="E11" s="196"/>
      <c r="F11" s="5"/>
      <c r="G11" s="6">
        <f t="shared" si="0"/>
        <v>0</v>
      </c>
      <c r="H11" s="6">
        <f t="shared" si="0"/>
        <v>0</v>
      </c>
      <c r="I11" s="203"/>
    </row>
    <row r="12" spans="1:9" ht="31.5" hidden="1" x14ac:dyDescent="0.25">
      <c r="A12" s="29" t="s">
        <v>255</v>
      </c>
      <c r="B12" s="20" t="s">
        <v>1058</v>
      </c>
      <c r="C12" s="40" t="s">
        <v>271</v>
      </c>
      <c r="D12" s="40" t="s">
        <v>271</v>
      </c>
      <c r="E12" s="40" t="s">
        <v>256</v>
      </c>
      <c r="F12" s="5"/>
      <c r="G12" s="6">
        <f t="shared" si="0"/>
        <v>0</v>
      </c>
      <c r="H12" s="6">
        <f t="shared" si="0"/>
        <v>0</v>
      </c>
      <c r="I12" s="203"/>
    </row>
    <row r="13" spans="1:9" ht="31.5" hidden="1" x14ac:dyDescent="0.25">
      <c r="A13" s="29" t="s">
        <v>355</v>
      </c>
      <c r="B13" s="20" t="s">
        <v>1058</v>
      </c>
      <c r="C13" s="40" t="s">
        <v>271</v>
      </c>
      <c r="D13" s="40" t="s">
        <v>271</v>
      </c>
      <c r="E13" s="40" t="s">
        <v>356</v>
      </c>
      <c r="F13" s="5"/>
      <c r="G13" s="6">
        <f t="shared" si="0"/>
        <v>0</v>
      </c>
      <c r="H13" s="6">
        <f t="shared" si="0"/>
        <v>0</v>
      </c>
      <c r="I13" s="203"/>
    </row>
    <row r="14" spans="1:9" ht="47.25" hidden="1" x14ac:dyDescent="0.25">
      <c r="A14" s="45" t="s">
        <v>666</v>
      </c>
      <c r="B14" s="20" t="s">
        <v>1058</v>
      </c>
      <c r="C14" s="40" t="s">
        <v>271</v>
      </c>
      <c r="D14" s="40" t="s">
        <v>271</v>
      </c>
      <c r="E14" s="40" t="s">
        <v>356</v>
      </c>
      <c r="F14" s="5">
        <v>903</v>
      </c>
      <c r="G14" s="6"/>
      <c r="H14" s="6"/>
      <c r="I14" s="203"/>
    </row>
    <row r="15" spans="1:9" s="202" customFormat="1" ht="31.5" x14ac:dyDescent="0.25">
      <c r="A15" s="25" t="s">
        <v>253</v>
      </c>
      <c r="B15" s="20" t="s">
        <v>891</v>
      </c>
      <c r="C15" s="66"/>
      <c r="D15" s="66"/>
      <c r="E15" s="66"/>
      <c r="F15" s="66"/>
      <c r="G15" s="344">
        <f t="shared" ref="G15:H18" si="1">G16</f>
        <v>9815.2999999999993</v>
      </c>
      <c r="H15" s="344">
        <f t="shared" si="1"/>
        <v>9815.2999999999993</v>
      </c>
      <c r="I15" s="203"/>
    </row>
    <row r="16" spans="1:9" s="202" customFormat="1" ht="15.75" x14ac:dyDescent="0.25">
      <c r="A16" s="25" t="s">
        <v>250</v>
      </c>
      <c r="B16" s="20" t="s">
        <v>891</v>
      </c>
      <c r="C16" s="66">
        <v>10</v>
      </c>
      <c r="D16" s="66"/>
      <c r="E16" s="66"/>
      <c r="F16" s="66"/>
      <c r="G16" s="344">
        <f t="shared" si="1"/>
        <v>9815.2999999999993</v>
      </c>
      <c r="H16" s="344">
        <f t="shared" si="1"/>
        <v>9815.2999999999993</v>
      </c>
      <c r="I16" s="203"/>
    </row>
    <row r="17" spans="1:9" s="202" customFormat="1" ht="15.75" x14ac:dyDescent="0.25">
      <c r="A17" s="25" t="s">
        <v>252</v>
      </c>
      <c r="B17" s="20" t="s">
        <v>891</v>
      </c>
      <c r="C17" s="66">
        <v>10</v>
      </c>
      <c r="D17" s="40" t="s">
        <v>125</v>
      </c>
      <c r="E17" s="66"/>
      <c r="F17" s="66"/>
      <c r="G17" s="344">
        <f t="shared" si="1"/>
        <v>9815.2999999999993</v>
      </c>
      <c r="H17" s="344">
        <f t="shared" si="1"/>
        <v>9815.2999999999993</v>
      </c>
      <c r="I17" s="203"/>
    </row>
    <row r="18" spans="1:9" s="202" customFormat="1" ht="31.5" x14ac:dyDescent="0.25">
      <c r="A18" s="29" t="s">
        <v>255</v>
      </c>
      <c r="B18" s="20" t="s">
        <v>891</v>
      </c>
      <c r="C18" s="66">
        <v>10</v>
      </c>
      <c r="D18" s="40" t="s">
        <v>125</v>
      </c>
      <c r="E18" s="66">
        <v>300</v>
      </c>
      <c r="F18" s="66"/>
      <c r="G18" s="344">
        <f t="shared" si="1"/>
        <v>9815.2999999999993</v>
      </c>
      <c r="H18" s="344">
        <f t="shared" si="1"/>
        <v>9815.2999999999993</v>
      </c>
      <c r="I18" s="203"/>
    </row>
    <row r="19" spans="1:9" s="202" customFormat="1" ht="31.5" x14ac:dyDescent="0.25">
      <c r="A19" s="25" t="s">
        <v>355</v>
      </c>
      <c r="B19" s="20" t="s">
        <v>891</v>
      </c>
      <c r="C19" s="66">
        <v>10</v>
      </c>
      <c r="D19" s="40" t="s">
        <v>125</v>
      </c>
      <c r="E19" s="66">
        <v>310</v>
      </c>
      <c r="F19" s="66"/>
      <c r="G19" s="344">
        <f>'пр.6.1.ведом.22-23'!G224</f>
        <v>9815.2999999999993</v>
      </c>
      <c r="H19" s="344">
        <f>'пр.6.1.ведом.22-23'!H224</f>
        <v>9815.2999999999993</v>
      </c>
      <c r="I19" s="203"/>
    </row>
    <row r="20" spans="1:9" s="202" customFormat="1" ht="31.5" x14ac:dyDescent="0.25">
      <c r="A20" s="343" t="s">
        <v>155</v>
      </c>
      <c r="B20" s="20" t="s">
        <v>891</v>
      </c>
      <c r="C20" s="66">
        <v>10</v>
      </c>
      <c r="D20" s="40" t="s">
        <v>125</v>
      </c>
      <c r="E20" s="66">
        <v>310</v>
      </c>
      <c r="F20" s="66">
        <v>902</v>
      </c>
      <c r="G20" s="344">
        <f>G15</f>
        <v>9815.2999999999993</v>
      </c>
      <c r="H20" s="6">
        <f>'пр.6.1.ведом.22-23'!H224</f>
        <v>9815.2999999999993</v>
      </c>
      <c r="I20" s="203"/>
    </row>
    <row r="21" spans="1:9" ht="31.5" x14ac:dyDescent="0.25">
      <c r="A21" s="25" t="s">
        <v>1046</v>
      </c>
      <c r="B21" s="20" t="s">
        <v>918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203"/>
    </row>
    <row r="22" spans="1:9" ht="15.75" x14ac:dyDescent="0.25">
      <c r="A22" s="25" t="s">
        <v>1095</v>
      </c>
      <c r="B22" s="20" t="s">
        <v>918</v>
      </c>
      <c r="C22" s="40" t="s">
        <v>251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203"/>
    </row>
    <row r="23" spans="1:9" ht="15.75" x14ac:dyDescent="0.25">
      <c r="A23" s="29" t="s">
        <v>259</v>
      </c>
      <c r="B23" s="20" t="s">
        <v>918</v>
      </c>
      <c r="C23" s="40" t="s">
        <v>251</v>
      </c>
      <c r="D23" s="40" t="s">
        <v>222</v>
      </c>
      <c r="E23" s="40"/>
      <c r="F23" s="5"/>
      <c r="G23" s="6">
        <f t="shared" si="2"/>
        <v>420</v>
      </c>
      <c r="H23" s="6">
        <f t="shared" si="2"/>
        <v>450</v>
      </c>
      <c r="I23" s="203"/>
    </row>
    <row r="24" spans="1:9" ht="31.5" x14ac:dyDescent="0.25">
      <c r="A24" s="25" t="s">
        <v>255</v>
      </c>
      <c r="B24" s="20" t="s">
        <v>918</v>
      </c>
      <c r="C24" s="40" t="s">
        <v>251</v>
      </c>
      <c r="D24" s="40" t="s">
        <v>222</v>
      </c>
      <c r="E24" s="40" t="s">
        <v>256</v>
      </c>
      <c r="F24" s="5"/>
      <c r="G24" s="6">
        <f t="shared" si="2"/>
        <v>420</v>
      </c>
      <c r="H24" s="6">
        <f t="shared" si="2"/>
        <v>450</v>
      </c>
      <c r="I24" s="203"/>
    </row>
    <row r="25" spans="1:9" ht="31.5" x14ac:dyDescent="0.25">
      <c r="A25" s="25" t="s">
        <v>355</v>
      </c>
      <c r="B25" s="20" t="s">
        <v>918</v>
      </c>
      <c r="C25" s="40" t="s">
        <v>251</v>
      </c>
      <c r="D25" s="40" t="s">
        <v>222</v>
      </c>
      <c r="E25" s="40" t="s">
        <v>356</v>
      </c>
      <c r="F25" s="5"/>
      <c r="G25" s="6">
        <f t="shared" si="2"/>
        <v>420</v>
      </c>
      <c r="H25" s="6">
        <f t="shared" si="2"/>
        <v>450</v>
      </c>
      <c r="I25" s="203"/>
    </row>
    <row r="26" spans="1:9" ht="47.25" x14ac:dyDescent="0.25">
      <c r="A26" s="45" t="s">
        <v>666</v>
      </c>
      <c r="B26" s="20" t="s">
        <v>918</v>
      </c>
      <c r="C26" s="40" t="s">
        <v>251</v>
      </c>
      <c r="D26" s="40" t="s">
        <v>222</v>
      </c>
      <c r="E26" s="40" t="s">
        <v>356</v>
      </c>
      <c r="F26" s="5">
        <v>903</v>
      </c>
      <c r="G26" s="6">
        <f>'пр.6.1.ведом.22-23'!G467</f>
        <v>420</v>
      </c>
      <c r="H26" s="6">
        <f>'пр.6.1.ведом.22-23'!H467</f>
        <v>450</v>
      </c>
      <c r="I26" s="203"/>
    </row>
    <row r="27" spans="1:9" ht="63" x14ac:dyDescent="0.25">
      <c r="A27" s="98" t="s">
        <v>1049</v>
      </c>
      <c r="B27" s="20" t="s">
        <v>920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203"/>
    </row>
    <row r="28" spans="1:9" ht="15.75" x14ac:dyDescent="0.25">
      <c r="A28" s="80" t="s">
        <v>250</v>
      </c>
      <c r="B28" s="20" t="s">
        <v>920</v>
      </c>
      <c r="C28" s="9" t="s">
        <v>251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203"/>
    </row>
    <row r="29" spans="1:9" ht="15.75" x14ac:dyDescent="0.25">
      <c r="A29" s="29" t="s">
        <v>259</v>
      </c>
      <c r="B29" s="20" t="s">
        <v>920</v>
      </c>
      <c r="C29" s="40" t="s">
        <v>251</v>
      </c>
      <c r="D29" s="40" t="s">
        <v>222</v>
      </c>
      <c r="E29" s="40"/>
      <c r="F29" s="5"/>
      <c r="G29" s="6">
        <f t="shared" si="3"/>
        <v>630</v>
      </c>
      <c r="H29" s="6">
        <f t="shared" si="3"/>
        <v>630</v>
      </c>
      <c r="I29" s="203"/>
    </row>
    <row r="30" spans="1:9" ht="31.5" x14ac:dyDescent="0.25">
      <c r="A30" s="29" t="s">
        <v>255</v>
      </c>
      <c r="B30" s="20" t="s">
        <v>920</v>
      </c>
      <c r="C30" s="40" t="s">
        <v>251</v>
      </c>
      <c r="D30" s="40" t="s">
        <v>222</v>
      </c>
      <c r="E30" s="40" t="s">
        <v>256</v>
      </c>
      <c r="F30" s="5"/>
      <c r="G30" s="6">
        <f t="shared" si="3"/>
        <v>630</v>
      </c>
      <c r="H30" s="6">
        <f t="shared" si="3"/>
        <v>630</v>
      </c>
      <c r="I30" s="203"/>
    </row>
    <row r="31" spans="1:9" ht="31.5" x14ac:dyDescent="0.25">
      <c r="A31" s="29" t="s">
        <v>355</v>
      </c>
      <c r="B31" s="20" t="s">
        <v>920</v>
      </c>
      <c r="C31" s="40" t="s">
        <v>251</v>
      </c>
      <c r="D31" s="40" t="s">
        <v>222</v>
      </c>
      <c r="E31" s="81" t="s">
        <v>356</v>
      </c>
      <c r="F31" s="5"/>
      <c r="G31" s="6">
        <f t="shared" si="3"/>
        <v>630</v>
      </c>
      <c r="H31" s="6">
        <f t="shared" si="3"/>
        <v>630</v>
      </c>
      <c r="I31" s="203"/>
    </row>
    <row r="32" spans="1:9" ht="47.25" x14ac:dyDescent="0.25">
      <c r="A32" s="45" t="s">
        <v>666</v>
      </c>
      <c r="B32" s="20" t="s">
        <v>920</v>
      </c>
      <c r="C32" s="40" t="s">
        <v>251</v>
      </c>
      <c r="D32" s="40" t="s">
        <v>222</v>
      </c>
      <c r="E32" s="81" t="s">
        <v>356</v>
      </c>
      <c r="F32" s="5">
        <v>903</v>
      </c>
      <c r="G32" s="6">
        <f>'пр.6.1.ведом.22-23'!G457</f>
        <v>630</v>
      </c>
      <c r="H32" s="6">
        <f>'пр.6.1.ведом.22-23'!H457</f>
        <v>630</v>
      </c>
      <c r="I32" s="203"/>
    </row>
    <row r="33" spans="1:9" ht="31.5" x14ac:dyDescent="0.25">
      <c r="A33" s="25" t="s">
        <v>1008</v>
      </c>
      <c r="B33" s="20" t="s">
        <v>921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203"/>
    </row>
    <row r="34" spans="1:9" ht="15.75" x14ac:dyDescent="0.25">
      <c r="A34" s="80" t="s">
        <v>250</v>
      </c>
      <c r="B34" s="20" t="s">
        <v>921</v>
      </c>
      <c r="C34" s="40" t="s">
        <v>251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203"/>
    </row>
    <row r="35" spans="1:9" ht="15.75" x14ac:dyDescent="0.25">
      <c r="A35" s="29" t="s">
        <v>259</v>
      </c>
      <c r="B35" s="20" t="s">
        <v>921</v>
      </c>
      <c r="C35" s="40" t="s">
        <v>251</v>
      </c>
      <c r="D35" s="40" t="s">
        <v>222</v>
      </c>
      <c r="E35" s="40"/>
      <c r="F35" s="5"/>
      <c r="G35" s="6">
        <f t="shared" si="4"/>
        <v>257</v>
      </c>
      <c r="H35" s="6">
        <f t="shared" si="4"/>
        <v>257</v>
      </c>
      <c r="I35" s="203"/>
    </row>
    <row r="36" spans="1:9" ht="31.5" x14ac:dyDescent="0.25">
      <c r="A36" s="29" t="s">
        <v>255</v>
      </c>
      <c r="B36" s="20" t="s">
        <v>921</v>
      </c>
      <c r="C36" s="40" t="s">
        <v>251</v>
      </c>
      <c r="D36" s="40" t="s">
        <v>222</v>
      </c>
      <c r="E36" s="40" t="s">
        <v>256</v>
      </c>
      <c r="F36" s="5"/>
      <c r="G36" s="6">
        <f t="shared" si="4"/>
        <v>257</v>
      </c>
      <c r="H36" s="6">
        <f t="shared" si="4"/>
        <v>257</v>
      </c>
      <c r="I36" s="203"/>
    </row>
    <row r="37" spans="1:9" ht="31.5" x14ac:dyDescent="0.25">
      <c r="A37" s="29" t="s">
        <v>355</v>
      </c>
      <c r="B37" s="20" t="s">
        <v>921</v>
      </c>
      <c r="C37" s="40" t="s">
        <v>251</v>
      </c>
      <c r="D37" s="40" t="s">
        <v>222</v>
      </c>
      <c r="E37" s="40" t="s">
        <v>356</v>
      </c>
      <c r="F37" s="5"/>
      <c r="G37" s="6">
        <f t="shared" si="4"/>
        <v>257</v>
      </c>
      <c r="H37" s="6">
        <f t="shared" si="4"/>
        <v>257</v>
      </c>
      <c r="I37" s="203"/>
    </row>
    <row r="38" spans="1:9" ht="47.25" x14ac:dyDescent="0.25">
      <c r="A38" s="45" t="s">
        <v>666</v>
      </c>
      <c r="B38" s="20" t="s">
        <v>921</v>
      </c>
      <c r="C38" s="40" t="s">
        <v>251</v>
      </c>
      <c r="D38" s="40" t="s">
        <v>222</v>
      </c>
      <c r="E38" s="40" t="s">
        <v>356</v>
      </c>
      <c r="F38" s="5">
        <v>903</v>
      </c>
      <c r="G38" s="6">
        <f>'пр.6.1.ведом.22-23'!G463</f>
        <v>257</v>
      </c>
      <c r="H38" s="6">
        <f>'пр.6.1.ведом.22-23'!H463</f>
        <v>257</v>
      </c>
      <c r="I38" s="203"/>
    </row>
    <row r="39" spans="1:9" ht="63" hidden="1" x14ac:dyDescent="0.25">
      <c r="A39" s="25" t="s">
        <v>1050</v>
      </c>
      <c r="B39" s="20" t="s">
        <v>922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203"/>
    </row>
    <row r="40" spans="1:9" ht="15.75" hidden="1" x14ac:dyDescent="0.25">
      <c r="A40" s="80" t="s">
        <v>250</v>
      </c>
      <c r="B40" s="20" t="s">
        <v>922</v>
      </c>
      <c r="C40" s="40" t="s">
        <v>251</v>
      </c>
      <c r="D40" s="40"/>
      <c r="E40" s="40"/>
      <c r="F40" s="5"/>
      <c r="G40" s="6">
        <f t="shared" si="5"/>
        <v>0</v>
      </c>
      <c r="H40" s="6">
        <f t="shared" si="5"/>
        <v>0</v>
      </c>
      <c r="I40" s="203"/>
    </row>
    <row r="41" spans="1:9" ht="15.75" hidden="1" x14ac:dyDescent="0.25">
      <c r="A41" s="29" t="s">
        <v>259</v>
      </c>
      <c r="B41" s="20" t="s">
        <v>922</v>
      </c>
      <c r="C41" s="40" t="s">
        <v>251</v>
      </c>
      <c r="D41" s="40" t="s">
        <v>222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203"/>
    </row>
    <row r="42" spans="1:9" ht="31.5" hidden="1" x14ac:dyDescent="0.25">
      <c r="A42" s="29" t="s">
        <v>255</v>
      </c>
      <c r="B42" s="20" t="s">
        <v>922</v>
      </c>
      <c r="C42" s="40" t="s">
        <v>251</v>
      </c>
      <c r="D42" s="40" t="s">
        <v>222</v>
      </c>
      <c r="E42" s="40" t="s">
        <v>256</v>
      </c>
      <c r="F42" s="5">
        <v>903</v>
      </c>
      <c r="G42" s="6">
        <f t="shared" si="5"/>
        <v>0</v>
      </c>
      <c r="H42" s="6">
        <f t="shared" si="5"/>
        <v>0</v>
      </c>
      <c r="I42" s="203"/>
    </row>
    <row r="43" spans="1:9" ht="31.5" hidden="1" x14ac:dyDescent="0.25">
      <c r="A43" s="29" t="s">
        <v>355</v>
      </c>
      <c r="B43" s="20" t="s">
        <v>922</v>
      </c>
      <c r="C43" s="40" t="s">
        <v>251</v>
      </c>
      <c r="D43" s="40" t="s">
        <v>222</v>
      </c>
      <c r="E43" s="40" t="s">
        <v>356</v>
      </c>
      <c r="F43" s="5">
        <v>903</v>
      </c>
      <c r="G43" s="6"/>
      <c r="H43" s="6"/>
      <c r="I43" s="203"/>
    </row>
    <row r="44" spans="1:9" ht="47.25" hidden="1" x14ac:dyDescent="0.25">
      <c r="A44" s="45" t="s">
        <v>666</v>
      </c>
      <c r="B44" s="20" t="s">
        <v>922</v>
      </c>
      <c r="C44" s="40" t="s">
        <v>251</v>
      </c>
      <c r="D44" s="40" t="s">
        <v>222</v>
      </c>
      <c r="E44" s="40" t="s">
        <v>356</v>
      </c>
      <c r="F44" s="5">
        <v>903</v>
      </c>
      <c r="G44" s="6"/>
      <c r="H44" s="6"/>
      <c r="I44" s="203"/>
    </row>
    <row r="45" spans="1:9" ht="15.75" x14ac:dyDescent="0.25">
      <c r="A45" s="41" t="s">
        <v>665</v>
      </c>
      <c r="B45" s="234"/>
      <c r="C45" s="234"/>
      <c r="D45" s="234"/>
      <c r="E45" s="234"/>
      <c r="F45" s="41"/>
      <c r="G45" s="59">
        <f>G9+G21+G27+G33+G39+G15</f>
        <v>11122.3</v>
      </c>
      <c r="H45" s="59">
        <f>H9+H21+H27+H33+H39+H15</f>
        <v>11152.3</v>
      </c>
      <c r="I45" s="203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93" zoomScaleNormal="100" zoomScaleSheetLayoutView="93" workbookViewId="0">
      <selection activeCell="B19" sqref="B19"/>
    </sheetView>
  </sheetViews>
  <sheetFormatPr defaultRowHeight="15" x14ac:dyDescent="0.25"/>
  <cols>
    <col min="1" max="1" width="34" customWidth="1"/>
    <col min="2" max="2" width="51.7109375" customWidth="1"/>
    <col min="3" max="3" width="17.140625" customWidth="1"/>
    <col min="4" max="4" width="16.42578125" customWidth="1"/>
    <col min="5" max="5" width="8.85546875" hidden="1" customWidth="1"/>
  </cols>
  <sheetData>
    <row r="1" spans="1:5" ht="15.75" x14ac:dyDescent="0.25">
      <c r="A1" s="12"/>
      <c r="C1" s="490" t="s">
        <v>1661</v>
      </c>
      <c r="D1" s="490"/>
    </row>
    <row r="2" spans="1:5" s="202" customFormat="1" ht="15.75" x14ac:dyDescent="0.25">
      <c r="A2" s="12"/>
      <c r="C2" s="491" t="s">
        <v>1660</v>
      </c>
      <c r="D2" s="491"/>
    </row>
    <row r="3" spans="1:5" ht="15.75" x14ac:dyDescent="0.25">
      <c r="A3" s="12"/>
      <c r="B3" s="12"/>
      <c r="C3" s="491" t="s">
        <v>1659</v>
      </c>
      <c r="D3" s="491"/>
    </row>
    <row r="4" spans="1:5" ht="15.75" x14ac:dyDescent="0.25">
      <c r="A4" s="12"/>
      <c r="B4" s="12"/>
      <c r="C4" s="491" t="s">
        <v>1658</v>
      </c>
      <c r="D4" s="491"/>
    </row>
    <row r="5" spans="1:5" s="202" customFormat="1" ht="15.75" x14ac:dyDescent="0.25">
      <c r="A5" s="12"/>
      <c r="B5" s="12"/>
      <c r="C5" s="491" t="s">
        <v>1657</v>
      </c>
      <c r="D5" s="491"/>
    </row>
    <row r="6" spans="1:5" s="202" customFormat="1" ht="15.75" x14ac:dyDescent="0.25">
      <c r="A6" s="12"/>
      <c r="B6" s="12"/>
      <c r="C6" s="396"/>
      <c r="E6" s="417"/>
    </row>
    <row r="7" spans="1:5" ht="16.5" x14ac:dyDescent="0.25">
      <c r="A7" s="484" t="s">
        <v>1608</v>
      </c>
      <c r="B7" s="484"/>
      <c r="C7" s="484"/>
      <c r="D7" s="484"/>
      <c r="E7" s="484"/>
    </row>
    <row r="8" spans="1:5" ht="16.5" x14ac:dyDescent="0.25">
      <c r="A8" s="484" t="s">
        <v>1609</v>
      </c>
      <c r="B8" s="484"/>
      <c r="C8" s="484"/>
      <c r="D8" s="484"/>
      <c r="E8" s="484"/>
    </row>
    <row r="9" spans="1:5" ht="15.75" x14ac:dyDescent="0.25">
      <c r="A9" s="82"/>
      <c r="B9" s="82"/>
    </row>
    <row r="10" spans="1:5" ht="15.75" x14ac:dyDescent="0.25">
      <c r="A10" s="12"/>
      <c r="B10" s="12"/>
      <c r="C10" s="83" t="s">
        <v>1</v>
      </c>
    </row>
    <row r="11" spans="1:5" ht="55.15" customHeight="1" x14ac:dyDescent="0.25">
      <c r="A11" s="79" t="s">
        <v>668</v>
      </c>
      <c r="B11" s="79" t="s">
        <v>669</v>
      </c>
      <c r="C11" s="66" t="s">
        <v>1602</v>
      </c>
      <c r="D11" s="66" t="s">
        <v>1615</v>
      </c>
      <c r="E11" s="420" t="s">
        <v>1604</v>
      </c>
    </row>
    <row r="12" spans="1:5" ht="33" x14ac:dyDescent="0.25">
      <c r="A12" s="84" t="s">
        <v>670</v>
      </c>
      <c r="B12" s="85" t="s">
        <v>671</v>
      </c>
      <c r="C12" s="391">
        <f>C13-C15</f>
        <v>6728.4300000000512</v>
      </c>
      <c r="D12" s="391">
        <f>D13-D15</f>
        <v>-22517.299130000029</v>
      </c>
      <c r="E12" s="415"/>
    </row>
    <row r="13" spans="1:5" ht="33" customHeight="1" x14ac:dyDescent="0.25">
      <c r="A13" s="86" t="s">
        <v>672</v>
      </c>
      <c r="B13" s="87" t="s">
        <v>673</v>
      </c>
      <c r="C13" s="392">
        <f>C14</f>
        <v>41672.199999999997</v>
      </c>
      <c r="D13" s="392">
        <f>D14</f>
        <v>41672.199999999997</v>
      </c>
      <c r="E13" s="415"/>
    </row>
    <row r="14" spans="1:5" ht="31.5" x14ac:dyDescent="0.25">
      <c r="A14" s="88" t="s">
        <v>674</v>
      </c>
      <c r="B14" s="89" t="s">
        <v>675</v>
      </c>
      <c r="C14" s="393">
        <v>41672.199999999997</v>
      </c>
      <c r="D14" s="393">
        <v>41672.199999999997</v>
      </c>
      <c r="E14" s="415"/>
    </row>
    <row r="15" spans="1:5" ht="28.5" customHeight="1" x14ac:dyDescent="0.25">
      <c r="A15" s="86" t="s">
        <v>676</v>
      </c>
      <c r="B15" s="87" t="s">
        <v>677</v>
      </c>
      <c r="C15" s="391">
        <f>C16</f>
        <v>34943.769999999946</v>
      </c>
      <c r="D15" s="391">
        <f>D16</f>
        <v>64189.499130000026</v>
      </c>
      <c r="E15" s="415"/>
    </row>
    <row r="16" spans="1:5" ht="31.5" x14ac:dyDescent="0.25">
      <c r="A16" s="88" t="s">
        <v>678</v>
      </c>
      <c r="B16" s="89" t="s">
        <v>679</v>
      </c>
      <c r="C16" s="393">
        <f>C14+C22</f>
        <v>34943.769999999946</v>
      </c>
      <c r="D16" s="393">
        <f>D14+D22</f>
        <v>64189.499130000026</v>
      </c>
      <c r="E16" s="415"/>
    </row>
    <row r="17" spans="1:5" ht="16.5" x14ac:dyDescent="0.25">
      <c r="A17" s="86" t="s">
        <v>665</v>
      </c>
      <c r="B17" s="89"/>
      <c r="C17" s="394">
        <f>C14-C16</f>
        <v>6728.4300000000512</v>
      </c>
      <c r="D17" s="394">
        <f>D14-D16</f>
        <v>-22517.299130000029</v>
      </c>
      <c r="E17" s="415">
        <f t="shared" ref="E17" si="0">D17/C17*100</f>
        <v>-334.65903828976235</v>
      </c>
    </row>
    <row r="19" spans="1:5" ht="15.75" x14ac:dyDescent="0.25">
      <c r="B19" s="498" t="s">
        <v>1662</v>
      </c>
    </row>
    <row r="20" spans="1:5" x14ac:dyDescent="0.25">
      <c r="B20" t="s">
        <v>680</v>
      </c>
      <c r="C20">
        <f>пр.1дох.21!C169</f>
        <v>800229.3</v>
      </c>
      <c r="D20" s="202">
        <f>пр.1дох.21!D169</f>
        <v>189595.92913</v>
      </c>
    </row>
    <row r="21" spans="1:5" x14ac:dyDescent="0.25">
      <c r="B21" t="s">
        <v>681</v>
      </c>
      <c r="C21" s="22">
        <f>'Пр.4 ведом.21'!G1066</f>
        <v>806957.7300000001</v>
      </c>
      <c r="D21" s="22">
        <f>'Пр.4 ведом.21'!H1066</f>
        <v>167078.62999999998</v>
      </c>
    </row>
    <row r="22" spans="1:5" x14ac:dyDescent="0.25">
      <c r="B22" t="s">
        <v>682</v>
      </c>
      <c r="C22" s="270">
        <f t="shared" ref="C22:D22" si="1">C20-C21</f>
        <v>-6728.4300000000512</v>
      </c>
      <c r="D22" s="270">
        <f t="shared" si="1"/>
        <v>22517.299130000029</v>
      </c>
    </row>
    <row r="24" spans="1:5" x14ac:dyDescent="0.25">
      <c r="D24" s="22"/>
    </row>
  </sheetData>
  <mergeCells count="7">
    <mergeCell ref="C2:D2"/>
    <mergeCell ref="C1:D1"/>
    <mergeCell ref="A7:E7"/>
    <mergeCell ref="A8:E8"/>
    <mergeCell ref="C5:D5"/>
    <mergeCell ref="C4:D4"/>
    <mergeCell ref="C3:D3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02"/>
      <c r="D1" s="198" t="s">
        <v>1096</v>
      </c>
    </row>
    <row r="2" spans="1:4" ht="15.75" x14ac:dyDescent="0.25">
      <c r="A2" s="12"/>
      <c r="B2" s="12"/>
      <c r="D2" s="198" t="s">
        <v>0</v>
      </c>
    </row>
    <row r="3" spans="1:4" ht="15.75" x14ac:dyDescent="0.25">
      <c r="A3" s="12"/>
      <c r="B3" s="12"/>
      <c r="C3" s="202"/>
    </row>
    <row r="4" spans="1:4" ht="16.5" x14ac:dyDescent="0.25">
      <c r="A4" s="484" t="s">
        <v>667</v>
      </c>
      <c r="B4" s="484"/>
      <c r="C4" s="484"/>
      <c r="D4" s="484"/>
    </row>
    <row r="5" spans="1:4" ht="16.5" x14ac:dyDescent="0.25">
      <c r="A5" s="484" t="s">
        <v>1351</v>
      </c>
      <c r="B5" s="484"/>
      <c r="C5" s="484"/>
      <c r="D5" s="484"/>
    </row>
    <row r="6" spans="1:4" ht="15.75" x14ac:dyDescent="0.25">
      <c r="A6" s="82"/>
      <c r="B6" s="82"/>
      <c r="C6" s="202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668</v>
      </c>
      <c r="B8" s="79" t="s">
        <v>669</v>
      </c>
      <c r="C8" s="178" t="s">
        <v>1037</v>
      </c>
      <c r="D8" s="178" t="s">
        <v>1305</v>
      </c>
    </row>
    <row r="9" spans="1:4" ht="44.45" customHeight="1" x14ac:dyDescent="0.25">
      <c r="A9" s="84" t="s">
        <v>670</v>
      </c>
      <c r="B9" s="85" t="s">
        <v>671</v>
      </c>
      <c r="C9" s="228">
        <f>C10-C12</f>
        <v>389.99999999988358</v>
      </c>
      <c r="D9" s="228">
        <f>D10-D12</f>
        <v>390</v>
      </c>
    </row>
    <row r="10" spans="1:4" ht="33.75" customHeight="1" x14ac:dyDescent="0.25">
      <c r="A10" s="86" t="s">
        <v>672</v>
      </c>
      <c r="B10" s="87" t="s">
        <v>673</v>
      </c>
      <c r="C10" s="299">
        <f>C11</f>
        <v>389.99999999988358</v>
      </c>
      <c r="D10" s="228">
        <f>D11</f>
        <v>390</v>
      </c>
    </row>
    <row r="11" spans="1:4" ht="36.75" customHeight="1" x14ac:dyDescent="0.25">
      <c r="A11" s="88" t="s">
        <v>674</v>
      </c>
      <c r="B11" s="89" t="s">
        <v>675</v>
      </c>
      <c r="C11" s="283">
        <f>C19*(-1)</f>
        <v>389.99999999988358</v>
      </c>
      <c r="D11" s="229">
        <f>D19*(-1)</f>
        <v>390</v>
      </c>
    </row>
    <row r="12" spans="1:4" ht="33" customHeight="1" x14ac:dyDescent="0.25">
      <c r="A12" s="86" t="s">
        <v>676</v>
      </c>
      <c r="B12" s="87" t="s">
        <v>677</v>
      </c>
      <c r="C12" s="228">
        <f>C13</f>
        <v>0</v>
      </c>
      <c r="D12" s="228">
        <f t="shared" ref="D12:D13" si="0">C12</f>
        <v>0</v>
      </c>
    </row>
    <row r="13" spans="1:4" ht="30.75" customHeight="1" x14ac:dyDescent="0.25">
      <c r="A13" s="88" t="s">
        <v>678</v>
      </c>
      <c r="B13" s="89" t="s">
        <v>679</v>
      </c>
      <c r="C13" s="283">
        <f>C11+C19</f>
        <v>0</v>
      </c>
      <c r="D13" s="229">
        <f t="shared" si="0"/>
        <v>0</v>
      </c>
    </row>
    <row r="14" spans="1:4" ht="16.5" x14ac:dyDescent="0.25">
      <c r="A14" s="86" t="s">
        <v>665</v>
      </c>
      <c r="B14" s="89"/>
      <c r="C14" s="284">
        <f>C11-C13</f>
        <v>389.99999999988358</v>
      </c>
      <c r="D14" s="284">
        <f>D11-D13</f>
        <v>390</v>
      </c>
    </row>
    <row r="15" spans="1:4" x14ac:dyDescent="0.25">
      <c r="A15" s="202"/>
      <c r="B15" s="202"/>
      <c r="C15" s="202"/>
    </row>
    <row r="16" spans="1:4" x14ac:dyDescent="0.25">
      <c r="A16" s="202"/>
      <c r="B16" s="202"/>
      <c r="C16" s="202"/>
    </row>
    <row r="17" spans="1:4" x14ac:dyDescent="0.25">
      <c r="A17" s="202"/>
      <c r="B17" s="202" t="s">
        <v>680</v>
      </c>
      <c r="C17" s="298">
        <f>'Пр.1.1. дох.22-23'!C155</f>
        <v>736280.6</v>
      </c>
      <c r="D17" s="298">
        <f>'Пр.1.1. дох.22-23'!D155</f>
        <v>777267.39999999991</v>
      </c>
    </row>
    <row r="18" spans="1:4" x14ac:dyDescent="0.25">
      <c r="A18" s="202"/>
      <c r="B18" s="202" t="s">
        <v>681</v>
      </c>
      <c r="C18" s="298">
        <f>'пр.6.1.ведом.22-23'!G1094</f>
        <v>736670.59999999986</v>
      </c>
      <c r="D18" s="298">
        <f>'пр.6.1.ведом.22-23'!H1094</f>
        <v>777657.39999999991</v>
      </c>
    </row>
    <row r="19" spans="1:4" x14ac:dyDescent="0.25">
      <c r="A19" s="202"/>
      <c r="B19" s="202" t="s">
        <v>682</v>
      </c>
      <c r="C19" s="298">
        <f t="shared" ref="C19:D19" si="1">C17-C18</f>
        <v>-389.99999999988358</v>
      </c>
      <c r="D19" s="298">
        <f t="shared" si="1"/>
        <v>-390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zoomScale="80" zoomScaleNormal="100" zoomScaleSheetLayoutView="80" workbookViewId="0"/>
  </sheetViews>
  <sheetFormatPr defaultRowHeight="15" x14ac:dyDescent="0.25"/>
  <cols>
    <col min="1" max="1" width="25" customWidth="1"/>
    <col min="2" max="2" width="71.7109375" customWidth="1"/>
    <col min="3" max="3" width="16" style="22" customWidth="1"/>
    <col min="4" max="4" width="17.28515625" style="22" customWidth="1"/>
    <col min="5" max="5" width="12.5703125" customWidth="1"/>
    <col min="6" max="6" width="10.85546875" customWidth="1"/>
    <col min="7" max="7" width="9" customWidth="1"/>
    <col min="8" max="8" width="10.28515625" customWidth="1"/>
    <col min="9" max="9" width="10.28515625" style="202" customWidth="1"/>
    <col min="10" max="10" width="11.140625" customWidth="1"/>
    <col min="11" max="11" width="9" customWidth="1"/>
  </cols>
  <sheetData>
    <row r="1" spans="1:11" ht="15.75" x14ac:dyDescent="0.25">
      <c r="A1" s="128"/>
      <c r="B1" s="128"/>
      <c r="C1" s="462" t="s">
        <v>1559</v>
      </c>
      <c r="D1" s="462"/>
    </row>
    <row r="2" spans="1:11" ht="15.75" x14ac:dyDescent="0.25">
      <c r="A2" s="128"/>
      <c r="B2" s="128"/>
      <c r="C2" s="462" t="s">
        <v>1558</v>
      </c>
      <c r="D2" s="462"/>
    </row>
    <row r="3" spans="1:11" ht="15.75" x14ac:dyDescent="0.25">
      <c r="A3" s="128"/>
      <c r="B3" s="130"/>
      <c r="C3" s="462" t="s">
        <v>1557</v>
      </c>
      <c r="D3" s="462"/>
    </row>
    <row r="4" spans="1:11" ht="15.75" x14ac:dyDescent="0.25">
      <c r="A4" s="450" t="s">
        <v>1147</v>
      </c>
      <c r="B4" s="450"/>
      <c r="C4" s="450"/>
      <c r="D4" s="450"/>
    </row>
    <row r="5" spans="1:11" ht="15.75" x14ac:dyDescent="0.25">
      <c r="A5" s="450" t="s">
        <v>1354</v>
      </c>
      <c r="B5" s="450"/>
      <c r="C5" s="450"/>
      <c r="D5" s="450"/>
    </row>
    <row r="6" spans="1:11" ht="15.75" x14ac:dyDescent="0.25">
      <c r="A6" s="450" t="s">
        <v>1328</v>
      </c>
      <c r="B6" s="450"/>
      <c r="C6" s="450"/>
      <c r="D6" s="450"/>
    </row>
    <row r="7" spans="1:11" ht="15.75" x14ac:dyDescent="0.25">
      <c r="A7" s="131"/>
      <c r="B7" s="131"/>
      <c r="C7" s="358"/>
      <c r="D7" s="267" t="s">
        <v>706</v>
      </c>
    </row>
    <row r="8" spans="1:11" ht="33" customHeight="1" x14ac:dyDescent="0.25">
      <c r="A8" s="132" t="s">
        <v>2</v>
      </c>
      <c r="B8" s="133" t="s">
        <v>3</v>
      </c>
      <c r="C8" s="359" t="s">
        <v>1037</v>
      </c>
      <c r="D8" s="10" t="s">
        <v>1305</v>
      </c>
      <c r="H8" s="463" t="s">
        <v>1458</v>
      </c>
      <c r="I8" s="463"/>
      <c r="J8" s="463"/>
      <c r="K8" s="463"/>
    </row>
    <row r="9" spans="1:11" ht="18.75" x14ac:dyDescent="0.25">
      <c r="A9" s="134" t="s">
        <v>5</v>
      </c>
      <c r="B9" s="135" t="s">
        <v>6</v>
      </c>
      <c r="C9" s="320">
        <f>C10+C16+C21+C31+C39+C42+C48+C55+C58+C63+C71</f>
        <v>293404.7</v>
      </c>
      <c r="D9" s="320">
        <f>D10+D16+D21+D31+D39+D42+D48+D55+D58+D63+D71</f>
        <v>303294.5</v>
      </c>
      <c r="E9" s="22">
        <f>C10+C16+C21+C31+C39</f>
        <v>243348</v>
      </c>
      <c r="F9" s="22">
        <f>D10+D16+D21+D31+D39</f>
        <v>253104</v>
      </c>
    </row>
    <row r="10" spans="1:11" ht="18.75" x14ac:dyDescent="0.25">
      <c r="A10" s="136" t="s">
        <v>7</v>
      </c>
      <c r="B10" s="135" t="s">
        <v>8</v>
      </c>
      <c r="C10" s="320">
        <f t="shared" ref="C10:D10" si="0">C11</f>
        <v>222889</v>
      </c>
      <c r="D10" s="320">
        <f t="shared" si="0"/>
        <v>231597</v>
      </c>
      <c r="E10">
        <f>(C9+C76)*2.5%</f>
        <v>12478.692500000001</v>
      </c>
      <c r="F10" s="202">
        <f>(D9+D76)*5%</f>
        <v>25451.875</v>
      </c>
      <c r="I10" s="316">
        <f>SUM(I16:I55)</f>
        <v>335.19999999999982</v>
      </c>
      <c r="J10" s="315"/>
      <c r="K10" s="316">
        <f>SUM(K16:K52)</f>
        <v>392.09999999999945</v>
      </c>
    </row>
    <row r="11" spans="1:11" ht="18.75" x14ac:dyDescent="0.25">
      <c r="A11" s="137" t="s">
        <v>9</v>
      </c>
      <c r="B11" s="138" t="s">
        <v>10</v>
      </c>
      <c r="C11" s="320">
        <f t="shared" ref="C11:D11" si="1">SUM(C12:C15)</f>
        <v>222889</v>
      </c>
      <c r="D11" s="320">
        <f t="shared" si="1"/>
        <v>231597</v>
      </c>
    </row>
    <row r="12" spans="1:11" ht="64.5" customHeight="1" x14ac:dyDescent="0.25">
      <c r="A12" s="201" t="s">
        <v>11</v>
      </c>
      <c r="B12" s="139" t="s">
        <v>12</v>
      </c>
      <c r="C12" s="329">
        <v>220139</v>
      </c>
      <c r="D12" s="329">
        <v>228667</v>
      </c>
    </row>
    <row r="13" spans="1:11" ht="110.25" x14ac:dyDescent="0.25">
      <c r="A13" s="201" t="s">
        <v>13</v>
      </c>
      <c r="B13" s="140" t="s">
        <v>14</v>
      </c>
      <c r="C13" s="329">
        <v>916</v>
      </c>
      <c r="D13" s="329">
        <v>978</v>
      </c>
    </row>
    <row r="14" spans="1:11" ht="47.25" x14ac:dyDescent="0.25">
      <c r="A14" s="201" t="s">
        <v>15</v>
      </c>
      <c r="B14" s="140" t="s">
        <v>16</v>
      </c>
      <c r="C14" s="329">
        <v>1257</v>
      </c>
      <c r="D14" s="329">
        <v>1343</v>
      </c>
    </row>
    <row r="15" spans="1:11" ht="78.75" x14ac:dyDescent="0.25">
      <c r="A15" s="201" t="s">
        <v>17</v>
      </c>
      <c r="B15" s="140" t="s">
        <v>18</v>
      </c>
      <c r="C15" s="329">
        <v>577</v>
      </c>
      <c r="D15" s="329">
        <v>609</v>
      </c>
    </row>
    <row r="16" spans="1:11" ht="31.5" x14ac:dyDescent="0.25">
      <c r="A16" s="141" t="s">
        <v>19</v>
      </c>
      <c r="B16" s="142" t="s">
        <v>20</v>
      </c>
      <c r="C16" s="320">
        <f t="shared" ref="C16:D16" si="2">C17</f>
        <v>2319</v>
      </c>
      <c r="D16" s="320">
        <f t="shared" si="2"/>
        <v>2319</v>
      </c>
      <c r="H16" s="316">
        <v>3288</v>
      </c>
      <c r="I16" s="316">
        <f>H16-C16</f>
        <v>969</v>
      </c>
      <c r="J16" s="316">
        <v>3345</v>
      </c>
      <c r="K16" s="316">
        <f>J16-D16</f>
        <v>1026</v>
      </c>
    </row>
    <row r="17" spans="1:11" ht="31.5" x14ac:dyDescent="0.25">
      <c r="A17" s="182" t="s">
        <v>21</v>
      </c>
      <c r="B17" s="183" t="s">
        <v>22</v>
      </c>
      <c r="C17" s="320">
        <f t="shared" ref="C17:D17" si="3">SUM(C18:C20)</f>
        <v>2319</v>
      </c>
      <c r="D17" s="320">
        <f t="shared" si="3"/>
        <v>2319</v>
      </c>
      <c r="K17" s="315"/>
    </row>
    <row r="18" spans="1:11" ht="63" x14ac:dyDescent="0.25">
      <c r="A18" s="143" t="s">
        <v>23</v>
      </c>
      <c r="B18" s="140" t="s">
        <v>24</v>
      </c>
      <c r="C18" s="329">
        <f>1382.2-205.4</f>
        <v>1176.8</v>
      </c>
      <c r="D18" s="329">
        <f>1382.2-205.4</f>
        <v>1176.8</v>
      </c>
      <c r="K18" s="315"/>
    </row>
    <row r="19" spans="1:11" ht="78.75" x14ac:dyDescent="0.25">
      <c r="A19" s="236" t="s">
        <v>25</v>
      </c>
      <c r="B19" s="140" t="s">
        <v>26</v>
      </c>
      <c r="C19" s="329">
        <v>6.9</v>
      </c>
      <c r="D19" s="329">
        <v>6.9</v>
      </c>
      <c r="K19" s="315"/>
    </row>
    <row r="20" spans="1:11" ht="63" x14ac:dyDescent="0.25">
      <c r="A20" s="236" t="s">
        <v>27</v>
      </c>
      <c r="B20" s="140" t="s">
        <v>28</v>
      </c>
      <c r="C20" s="329">
        <f>1800.3-665</f>
        <v>1135.3</v>
      </c>
      <c r="D20" s="329">
        <f>1800.3-665</f>
        <v>1135.3</v>
      </c>
      <c r="K20" s="315"/>
    </row>
    <row r="21" spans="1:11" ht="18.75" x14ac:dyDescent="0.25">
      <c r="A21" s="137" t="s">
        <v>29</v>
      </c>
      <c r="B21" s="138" t="s">
        <v>30</v>
      </c>
      <c r="C21" s="320">
        <f>SUM(C22+C27+C29)</f>
        <v>14911</v>
      </c>
      <c r="D21" s="320">
        <f>SUM(D22+D27+D29)</f>
        <v>15831</v>
      </c>
      <c r="K21" s="315"/>
    </row>
    <row r="22" spans="1:11" ht="31.5" x14ac:dyDescent="0.25">
      <c r="A22" s="134" t="s">
        <v>31</v>
      </c>
      <c r="B22" s="138" t="s">
        <v>32</v>
      </c>
      <c r="C22" s="320">
        <f>C23+C25</f>
        <v>14519</v>
      </c>
      <c r="D22" s="320">
        <f>D23+D25</f>
        <v>15414</v>
      </c>
      <c r="H22" s="316">
        <v>14519</v>
      </c>
      <c r="I22" s="316">
        <f>H22-C22</f>
        <v>0</v>
      </c>
      <c r="J22" s="316">
        <v>15413.9</v>
      </c>
      <c r="K22" s="316">
        <f>J22-D22</f>
        <v>-0.1000000000003638</v>
      </c>
    </row>
    <row r="23" spans="1:11" s="202" customFormat="1" ht="31.5" x14ac:dyDescent="0.25">
      <c r="A23" s="134" t="s">
        <v>1126</v>
      </c>
      <c r="B23" s="206" t="s">
        <v>34</v>
      </c>
      <c r="C23" s="320">
        <f>C24</f>
        <v>7259.5</v>
      </c>
      <c r="D23" s="320">
        <f>D24</f>
        <v>7707</v>
      </c>
      <c r="K23" s="315"/>
    </row>
    <row r="24" spans="1:11" ht="31.5" x14ac:dyDescent="0.25">
      <c r="A24" s="132" t="s">
        <v>33</v>
      </c>
      <c r="B24" s="144" t="s">
        <v>34</v>
      </c>
      <c r="C24" s="329">
        <v>7259.5</v>
      </c>
      <c r="D24" s="329">
        <v>7707</v>
      </c>
      <c r="K24" s="315"/>
    </row>
    <row r="25" spans="1:11" s="202" customFormat="1" ht="47.25" x14ac:dyDescent="0.25">
      <c r="A25" s="134" t="s">
        <v>1125</v>
      </c>
      <c r="B25" s="239" t="s">
        <v>1124</v>
      </c>
      <c r="C25" s="320">
        <f>C26</f>
        <v>7259.5</v>
      </c>
      <c r="D25" s="320">
        <f>D26</f>
        <v>7707</v>
      </c>
      <c r="K25" s="315"/>
    </row>
    <row r="26" spans="1:11" ht="63" x14ac:dyDescent="0.25">
      <c r="A26" s="132" t="s">
        <v>35</v>
      </c>
      <c r="B26" s="144" t="s">
        <v>36</v>
      </c>
      <c r="C26" s="329">
        <f>C24</f>
        <v>7259.5</v>
      </c>
      <c r="D26" s="329">
        <f>D24</f>
        <v>7707</v>
      </c>
      <c r="K26" s="315"/>
    </row>
    <row r="27" spans="1:11" ht="31.5" hidden="1" x14ac:dyDescent="0.25">
      <c r="A27" s="134" t="s">
        <v>37</v>
      </c>
      <c r="B27" s="138" t="s">
        <v>38</v>
      </c>
      <c r="C27" s="320">
        <f t="shared" ref="C27:D27" si="4">SUM(C28:C28)</f>
        <v>0</v>
      </c>
      <c r="D27" s="320">
        <f t="shared" si="4"/>
        <v>0</v>
      </c>
      <c r="K27" s="315"/>
    </row>
    <row r="28" spans="1:11" ht="21.75" hidden="1" customHeight="1" x14ac:dyDescent="0.25">
      <c r="A28" s="201" t="s">
        <v>39</v>
      </c>
      <c r="B28" s="223" t="s">
        <v>38</v>
      </c>
      <c r="C28" s="329">
        <v>0</v>
      </c>
      <c r="D28" s="329">
        <v>0</v>
      </c>
      <c r="E28" s="220"/>
      <c r="K28" s="315"/>
    </row>
    <row r="29" spans="1:11" s="202" customFormat="1" ht="36" customHeight="1" x14ac:dyDescent="0.25">
      <c r="A29" s="134" t="s">
        <v>1139</v>
      </c>
      <c r="B29" s="145" t="s">
        <v>1127</v>
      </c>
      <c r="C29" s="320">
        <f>C30</f>
        <v>392</v>
      </c>
      <c r="D29" s="329">
        <f>D30</f>
        <v>417</v>
      </c>
      <c r="K29" s="315"/>
    </row>
    <row r="30" spans="1:11" ht="31.5" x14ac:dyDescent="0.25">
      <c r="A30" s="132" t="s">
        <v>40</v>
      </c>
      <c r="B30" s="231" t="s">
        <v>41</v>
      </c>
      <c r="C30" s="329">
        <v>392</v>
      </c>
      <c r="D30" s="329">
        <v>417</v>
      </c>
      <c r="K30" s="315"/>
    </row>
    <row r="31" spans="1:11" ht="18.75" x14ac:dyDescent="0.25">
      <c r="A31" s="137" t="s">
        <v>42</v>
      </c>
      <c r="B31" s="138" t="s">
        <v>43</v>
      </c>
      <c r="C31" s="320">
        <f>C32+C34</f>
        <v>1695</v>
      </c>
      <c r="D31" s="320">
        <f t="shared" ref="D31" si="5">D32+D34</f>
        <v>1823</v>
      </c>
      <c r="K31" s="315"/>
    </row>
    <row r="32" spans="1:11" ht="18.75" x14ac:dyDescent="0.25">
      <c r="A32" s="137" t="s">
        <v>44</v>
      </c>
      <c r="B32" s="138" t="s">
        <v>45</v>
      </c>
      <c r="C32" s="320">
        <f t="shared" ref="C32:D32" si="6">C33</f>
        <v>990</v>
      </c>
      <c r="D32" s="320">
        <f t="shared" si="6"/>
        <v>1089</v>
      </c>
      <c r="K32" s="315"/>
    </row>
    <row r="33" spans="1:11" ht="47.25" x14ac:dyDescent="0.25">
      <c r="A33" s="201" t="s">
        <v>46</v>
      </c>
      <c r="B33" s="144" t="s">
        <v>47</v>
      </c>
      <c r="C33" s="329">
        <v>990</v>
      </c>
      <c r="D33" s="329">
        <v>1089</v>
      </c>
      <c r="K33" s="315"/>
    </row>
    <row r="34" spans="1:11" ht="18.75" x14ac:dyDescent="0.25">
      <c r="A34" s="137" t="s">
        <v>48</v>
      </c>
      <c r="B34" s="138" t="s">
        <v>49</v>
      </c>
      <c r="C34" s="320">
        <f>C35+C37</f>
        <v>705</v>
      </c>
      <c r="D34" s="320">
        <f>D35+D37</f>
        <v>734</v>
      </c>
      <c r="J34" s="202">
        <v>734</v>
      </c>
      <c r="K34" s="316">
        <f>J34-D34</f>
        <v>0</v>
      </c>
    </row>
    <row r="35" spans="1:11" s="202" customFormat="1" ht="18.75" x14ac:dyDescent="0.25">
      <c r="A35" s="137" t="s">
        <v>1141</v>
      </c>
      <c r="B35" s="138" t="s">
        <v>1140</v>
      </c>
      <c r="C35" s="320">
        <f>C36</f>
        <v>541</v>
      </c>
      <c r="D35" s="320">
        <f>D36</f>
        <v>563</v>
      </c>
      <c r="K35" s="315"/>
    </row>
    <row r="36" spans="1:11" ht="31.5" x14ac:dyDescent="0.25">
      <c r="A36" s="201" t="s">
        <v>50</v>
      </c>
      <c r="B36" s="144" t="s">
        <v>51</v>
      </c>
      <c r="C36" s="329">
        <v>541</v>
      </c>
      <c r="D36" s="329">
        <v>563</v>
      </c>
      <c r="K36" s="315"/>
    </row>
    <row r="37" spans="1:11" s="202" customFormat="1" ht="18.75" x14ac:dyDescent="0.25">
      <c r="A37" s="137" t="s">
        <v>1143</v>
      </c>
      <c r="B37" s="138" t="s">
        <v>1142</v>
      </c>
      <c r="C37" s="320">
        <f>C38</f>
        <v>164</v>
      </c>
      <c r="D37" s="320">
        <f>D38</f>
        <v>171</v>
      </c>
      <c r="K37" s="315"/>
    </row>
    <row r="38" spans="1:11" ht="31.5" x14ac:dyDescent="0.25">
      <c r="A38" s="201" t="s">
        <v>52</v>
      </c>
      <c r="B38" s="144" t="s">
        <v>53</v>
      </c>
      <c r="C38" s="329">
        <v>164</v>
      </c>
      <c r="D38" s="329">
        <v>171</v>
      </c>
      <c r="K38" s="315"/>
    </row>
    <row r="39" spans="1:11" ht="18.75" x14ac:dyDescent="0.25">
      <c r="A39" s="137" t="s">
        <v>54</v>
      </c>
      <c r="B39" s="138" t="s">
        <v>55</v>
      </c>
      <c r="C39" s="320">
        <f t="shared" ref="C39:D40" si="7">C40</f>
        <v>1534</v>
      </c>
      <c r="D39" s="320">
        <f t="shared" si="7"/>
        <v>1534</v>
      </c>
      <c r="K39" s="315"/>
    </row>
    <row r="40" spans="1:11" ht="31.5" x14ac:dyDescent="0.25">
      <c r="A40" s="137" t="s">
        <v>56</v>
      </c>
      <c r="B40" s="138" t="s">
        <v>57</v>
      </c>
      <c r="C40" s="320">
        <f t="shared" si="7"/>
        <v>1534</v>
      </c>
      <c r="D40" s="320">
        <f t="shared" si="7"/>
        <v>1534</v>
      </c>
      <c r="K40" s="315"/>
    </row>
    <row r="41" spans="1:11" ht="47.25" x14ac:dyDescent="0.25">
      <c r="A41" s="201" t="s">
        <v>58</v>
      </c>
      <c r="B41" s="139" t="s">
        <v>59</v>
      </c>
      <c r="C41" s="329">
        <v>1534</v>
      </c>
      <c r="D41" s="329">
        <v>1534</v>
      </c>
      <c r="K41" s="315"/>
    </row>
    <row r="42" spans="1:11" ht="47.25" x14ac:dyDescent="0.25">
      <c r="A42" s="137" t="s">
        <v>60</v>
      </c>
      <c r="B42" s="146" t="s">
        <v>61</v>
      </c>
      <c r="C42" s="320">
        <f t="shared" ref="C42:D42" si="8">C43</f>
        <v>45000</v>
      </c>
      <c r="D42" s="320">
        <f t="shared" si="8"/>
        <v>45000</v>
      </c>
      <c r="E42" s="22"/>
      <c r="F42" s="22"/>
      <c r="H42" s="227">
        <v>45000</v>
      </c>
      <c r="I42" s="227">
        <f>H42-C42</f>
        <v>0</v>
      </c>
      <c r="J42" s="227">
        <v>45000</v>
      </c>
      <c r="K42" s="316">
        <f>J42-D42</f>
        <v>0</v>
      </c>
    </row>
    <row r="43" spans="1:11" ht="78.75" x14ac:dyDescent="0.25">
      <c r="A43" s="137" t="s">
        <v>62</v>
      </c>
      <c r="B43" s="146" t="s">
        <v>63</v>
      </c>
      <c r="C43" s="320">
        <f t="shared" ref="C43:D43" si="9">C44+C46</f>
        <v>45000</v>
      </c>
      <c r="D43" s="320">
        <f t="shared" si="9"/>
        <v>45000</v>
      </c>
      <c r="K43" s="315"/>
    </row>
    <row r="44" spans="1:11" ht="63" x14ac:dyDescent="0.25">
      <c r="A44" s="137" t="s">
        <v>64</v>
      </c>
      <c r="B44" s="138" t="s">
        <v>65</v>
      </c>
      <c r="C44" s="320">
        <f t="shared" ref="C44:D44" si="10">C45</f>
        <v>40000</v>
      </c>
      <c r="D44" s="320">
        <f t="shared" si="10"/>
        <v>40000</v>
      </c>
      <c r="K44" s="315"/>
    </row>
    <row r="45" spans="1:11" ht="78.75" x14ac:dyDescent="0.25">
      <c r="A45" s="201" t="s">
        <v>66</v>
      </c>
      <c r="B45" s="144" t="s">
        <v>67</v>
      </c>
      <c r="C45" s="329">
        <v>40000</v>
      </c>
      <c r="D45" s="329">
        <v>40000</v>
      </c>
      <c r="K45" s="315"/>
    </row>
    <row r="46" spans="1:11" ht="47.25" x14ac:dyDescent="0.25">
      <c r="A46" s="137" t="s">
        <v>68</v>
      </c>
      <c r="B46" s="138" t="s">
        <v>69</v>
      </c>
      <c r="C46" s="320">
        <f t="shared" ref="C46:D46" si="11">C47</f>
        <v>5000</v>
      </c>
      <c r="D46" s="320">
        <f t="shared" si="11"/>
        <v>5000</v>
      </c>
      <c r="K46" s="315"/>
    </row>
    <row r="47" spans="1:11" ht="31.5" x14ac:dyDescent="0.25">
      <c r="A47" s="201" t="s">
        <v>70</v>
      </c>
      <c r="B47" s="144" t="s">
        <v>71</v>
      </c>
      <c r="C47" s="329">
        <v>5000</v>
      </c>
      <c r="D47" s="329">
        <v>5000</v>
      </c>
      <c r="K47" s="315"/>
    </row>
    <row r="48" spans="1:11" ht="26.45" customHeight="1" x14ac:dyDescent="0.25">
      <c r="A48" s="137" t="s">
        <v>72</v>
      </c>
      <c r="B48" s="230" t="s">
        <v>73</v>
      </c>
      <c r="C48" s="320">
        <f t="shared" ref="C48:D48" si="12">SUM(C49)</f>
        <v>3980.5</v>
      </c>
      <c r="D48" s="320">
        <f t="shared" si="12"/>
        <v>4114.3</v>
      </c>
      <c r="H48" s="227">
        <v>3346.7</v>
      </c>
      <c r="I48" s="227">
        <f>H48-C48</f>
        <v>-633.80000000000018</v>
      </c>
      <c r="J48" s="227">
        <v>3480.5</v>
      </c>
      <c r="K48" s="316">
        <f>J48-D48</f>
        <v>-633.80000000000018</v>
      </c>
    </row>
    <row r="49" spans="1:11" ht="18.75" x14ac:dyDescent="0.25">
      <c r="A49" s="137" t="s">
        <v>74</v>
      </c>
      <c r="B49" s="146" t="s">
        <v>75</v>
      </c>
      <c r="C49" s="320">
        <f>C50+C51+C52</f>
        <v>3980.5</v>
      </c>
      <c r="D49" s="320">
        <f>D50+D51+D52</f>
        <v>4114.3</v>
      </c>
      <c r="K49" s="315"/>
    </row>
    <row r="50" spans="1:11" ht="31.5" x14ac:dyDescent="0.25">
      <c r="A50" s="137" t="s">
        <v>76</v>
      </c>
      <c r="B50" s="146" t="s">
        <v>77</v>
      </c>
      <c r="C50" s="320">
        <v>405</v>
      </c>
      <c r="D50" s="320">
        <v>405</v>
      </c>
      <c r="K50" s="315"/>
    </row>
    <row r="51" spans="1:11" ht="18.75" x14ac:dyDescent="0.25">
      <c r="A51" s="137" t="s">
        <v>78</v>
      </c>
      <c r="B51" s="146" t="s">
        <v>79</v>
      </c>
      <c r="C51" s="320">
        <v>228.8</v>
      </c>
      <c r="D51" s="320">
        <v>228.8</v>
      </c>
      <c r="K51" s="315"/>
    </row>
    <row r="52" spans="1:11" s="202" customFormat="1" ht="31.5" x14ac:dyDescent="0.25">
      <c r="A52" s="137" t="s">
        <v>1128</v>
      </c>
      <c r="B52" s="230" t="s">
        <v>1129</v>
      </c>
      <c r="C52" s="320">
        <f>C53+C54</f>
        <v>3346.7</v>
      </c>
      <c r="D52" s="320">
        <f>D53+D54</f>
        <v>3480.5</v>
      </c>
      <c r="K52" s="315"/>
    </row>
    <row r="53" spans="1:11" ht="18.75" x14ac:dyDescent="0.25">
      <c r="A53" s="201" t="s">
        <v>805</v>
      </c>
      <c r="B53" s="139" t="s">
        <v>806</v>
      </c>
      <c r="C53" s="329">
        <f>3588-372.3</f>
        <v>3215.7</v>
      </c>
      <c r="D53" s="329">
        <f>3588-238.5</f>
        <v>3349.5</v>
      </c>
      <c r="K53" s="315"/>
    </row>
    <row r="54" spans="1:11" ht="18.75" x14ac:dyDescent="0.25">
      <c r="A54" s="201" t="s">
        <v>807</v>
      </c>
      <c r="B54" s="139" t="s">
        <v>808</v>
      </c>
      <c r="C54" s="329">
        <v>131</v>
      </c>
      <c r="D54" s="329">
        <v>131</v>
      </c>
      <c r="K54" s="315"/>
    </row>
    <row r="55" spans="1:11" ht="31.5" x14ac:dyDescent="0.25">
      <c r="A55" s="137" t="s">
        <v>80</v>
      </c>
      <c r="B55" s="146" t="s">
        <v>81</v>
      </c>
      <c r="C55" s="320">
        <f>C57</f>
        <v>833.9</v>
      </c>
      <c r="D55" s="320">
        <f>D57</f>
        <v>833.9</v>
      </c>
      <c r="K55" s="315"/>
    </row>
    <row r="56" spans="1:11" ht="18.75" x14ac:dyDescent="0.25">
      <c r="A56" s="137" t="s">
        <v>82</v>
      </c>
      <c r="B56" s="146" t="s">
        <v>83</v>
      </c>
      <c r="C56" s="320">
        <f>C57</f>
        <v>833.9</v>
      </c>
      <c r="D56" s="320">
        <f>D57</f>
        <v>833.9</v>
      </c>
      <c r="K56" s="315"/>
    </row>
    <row r="57" spans="1:11" ht="31.5" x14ac:dyDescent="0.25">
      <c r="A57" s="201" t="s">
        <v>84</v>
      </c>
      <c r="B57" s="139" t="s">
        <v>85</v>
      </c>
      <c r="C57" s="329">
        <v>833.9</v>
      </c>
      <c r="D57" s="329">
        <v>833.9</v>
      </c>
      <c r="K57" s="315"/>
    </row>
    <row r="58" spans="1:11" ht="31.5" x14ac:dyDescent="0.25">
      <c r="A58" s="137" t="s">
        <v>86</v>
      </c>
      <c r="B58" s="146" t="s">
        <v>87</v>
      </c>
      <c r="C58" s="320">
        <f t="shared" ref="C58:D58" si="13">SUM(C59+C61)</f>
        <v>236</v>
      </c>
      <c r="D58" s="320">
        <f t="shared" si="13"/>
        <v>236</v>
      </c>
      <c r="K58" s="315"/>
    </row>
    <row r="59" spans="1:11" ht="78.75" x14ac:dyDescent="0.25">
      <c r="A59" s="137" t="s">
        <v>88</v>
      </c>
      <c r="B59" s="146" t="s">
        <v>89</v>
      </c>
      <c r="C59" s="320">
        <f t="shared" ref="C59:D59" si="14">C60</f>
        <v>235</v>
      </c>
      <c r="D59" s="320">
        <f t="shared" si="14"/>
        <v>235</v>
      </c>
      <c r="K59" s="315"/>
    </row>
    <row r="60" spans="1:11" ht="94.5" x14ac:dyDescent="0.25">
      <c r="A60" s="201" t="s">
        <v>90</v>
      </c>
      <c r="B60" s="139" t="s">
        <v>707</v>
      </c>
      <c r="C60" s="329">
        <v>235</v>
      </c>
      <c r="D60" s="329">
        <v>235</v>
      </c>
      <c r="K60" s="315"/>
    </row>
    <row r="61" spans="1:11" ht="31.5" x14ac:dyDescent="0.25">
      <c r="A61" s="137" t="s">
        <v>91</v>
      </c>
      <c r="B61" s="146" t="s">
        <v>92</v>
      </c>
      <c r="C61" s="320">
        <f t="shared" ref="C61:D61" si="15">SUM(C62)</f>
        <v>1</v>
      </c>
      <c r="D61" s="320">
        <f t="shared" si="15"/>
        <v>1</v>
      </c>
      <c r="K61" s="315"/>
    </row>
    <row r="62" spans="1:11" ht="47.25" x14ac:dyDescent="0.25">
      <c r="A62" s="201" t="s">
        <v>93</v>
      </c>
      <c r="B62" s="139" t="s">
        <v>94</v>
      </c>
      <c r="C62" s="329">
        <v>1</v>
      </c>
      <c r="D62" s="329">
        <v>1</v>
      </c>
      <c r="K62" s="315"/>
    </row>
    <row r="63" spans="1:11" ht="18.75" x14ac:dyDescent="0.25">
      <c r="A63" s="137" t="s">
        <v>95</v>
      </c>
      <c r="B63" s="146" t="s">
        <v>96</v>
      </c>
      <c r="C63" s="320">
        <f>C64</f>
        <v>6.3</v>
      </c>
      <c r="D63" s="320">
        <f>D64</f>
        <v>6.3</v>
      </c>
      <c r="K63" s="315"/>
    </row>
    <row r="64" spans="1:11" ht="31.5" x14ac:dyDescent="0.25">
      <c r="A64" s="137" t="s">
        <v>1107</v>
      </c>
      <c r="B64" s="230" t="s">
        <v>97</v>
      </c>
      <c r="C64" s="356">
        <f>C65+C67+C69</f>
        <v>6.3</v>
      </c>
      <c r="D64" s="356">
        <f>D65+D67+D69</f>
        <v>6.3</v>
      </c>
      <c r="K64" s="315"/>
    </row>
    <row r="65" spans="1:11" s="202" customFormat="1" ht="63" x14ac:dyDescent="0.25">
      <c r="A65" s="137" t="s">
        <v>1121</v>
      </c>
      <c r="B65" s="240" t="s">
        <v>1120</v>
      </c>
      <c r="C65" s="356">
        <f>C66</f>
        <v>2.5</v>
      </c>
      <c r="D65" s="356">
        <f>D66</f>
        <v>2.5</v>
      </c>
      <c r="K65" s="315"/>
    </row>
    <row r="66" spans="1:11" s="202" customFormat="1" ht="78.75" x14ac:dyDescent="0.25">
      <c r="A66" s="201" t="s">
        <v>1109</v>
      </c>
      <c r="B66" s="241" t="s">
        <v>1115</v>
      </c>
      <c r="C66" s="352">
        <v>2.5</v>
      </c>
      <c r="D66" s="352">
        <v>2.5</v>
      </c>
      <c r="K66" s="315"/>
    </row>
    <row r="67" spans="1:11" s="202" customFormat="1" ht="78.75" hidden="1" x14ac:dyDescent="0.25">
      <c r="A67" s="137" t="s">
        <v>1123</v>
      </c>
      <c r="B67" s="240" t="s">
        <v>1122</v>
      </c>
      <c r="C67" s="356">
        <f>C68</f>
        <v>0</v>
      </c>
      <c r="D67" s="356">
        <f>D68</f>
        <v>0</v>
      </c>
      <c r="K67" s="315"/>
    </row>
    <row r="68" spans="1:11" ht="96" hidden="1" customHeight="1" x14ac:dyDescent="0.25">
      <c r="A68" s="201" t="s">
        <v>1108</v>
      </c>
      <c r="B68" s="241" t="s">
        <v>1116</v>
      </c>
      <c r="C68" s="352">
        <v>0</v>
      </c>
      <c r="D68" s="352">
        <v>0</v>
      </c>
      <c r="K68" s="315"/>
    </row>
    <row r="69" spans="1:11" s="202" customFormat="1" ht="75.2" customHeight="1" x14ac:dyDescent="0.25">
      <c r="A69" s="137" t="s">
        <v>1119</v>
      </c>
      <c r="B69" s="242" t="s">
        <v>1118</v>
      </c>
      <c r="C69" s="356">
        <f>C70</f>
        <v>3.8</v>
      </c>
      <c r="D69" s="356">
        <f>D70</f>
        <v>3.8</v>
      </c>
    </row>
    <row r="70" spans="1:11" ht="87.75" customHeight="1" x14ac:dyDescent="0.25">
      <c r="A70" s="201" t="s">
        <v>1112</v>
      </c>
      <c r="B70" s="243" t="s">
        <v>1117</v>
      </c>
      <c r="C70" s="329">
        <v>3.8</v>
      </c>
      <c r="D70" s="329">
        <v>3.8</v>
      </c>
    </row>
    <row r="71" spans="1:11" ht="18.75" hidden="1" x14ac:dyDescent="0.25">
      <c r="A71" s="3" t="s">
        <v>1110</v>
      </c>
      <c r="B71" s="181" t="s">
        <v>777</v>
      </c>
      <c r="C71" s="320">
        <f>C72</f>
        <v>0</v>
      </c>
      <c r="D71" s="320">
        <f>D72</f>
        <v>0</v>
      </c>
    </row>
    <row r="72" spans="1:11" ht="18.75" hidden="1" x14ac:dyDescent="0.25">
      <c r="A72" s="3" t="s">
        <v>1111</v>
      </c>
      <c r="B72" s="181" t="s">
        <v>778</v>
      </c>
      <c r="C72" s="320">
        <f t="shared" ref="C72:D72" si="16">SUM(C73)</f>
        <v>0</v>
      </c>
      <c r="D72" s="320">
        <f t="shared" si="16"/>
        <v>0</v>
      </c>
    </row>
    <row r="73" spans="1:11" ht="18.75" hidden="1" x14ac:dyDescent="0.25">
      <c r="A73" s="2" t="s">
        <v>779</v>
      </c>
      <c r="B73" s="180" t="s">
        <v>780</v>
      </c>
      <c r="C73" s="329">
        <v>0</v>
      </c>
      <c r="D73" s="329">
        <v>0</v>
      </c>
    </row>
    <row r="74" spans="1:11" ht="18.75" x14ac:dyDescent="0.25">
      <c r="A74" s="137" t="s">
        <v>98</v>
      </c>
      <c r="B74" s="138" t="s">
        <v>99</v>
      </c>
      <c r="C74" s="320">
        <f>SUM(C75+C149)</f>
        <v>442875.89999999997</v>
      </c>
      <c r="D74" s="320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100</v>
      </c>
      <c r="B75" s="138" t="s">
        <v>101</v>
      </c>
      <c r="C75" s="320">
        <f>SUM(C76+C81+C115+C141)</f>
        <v>442875.89999999997</v>
      </c>
      <c r="D75" s="320">
        <f>SUM(D76+D81+D115+D141)</f>
        <v>473972.89999999991</v>
      </c>
      <c r="E75">
        <v>265225.5</v>
      </c>
    </row>
    <row r="76" spans="1:11" ht="18.75" x14ac:dyDescent="0.25">
      <c r="A76" s="137" t="s">
        <v>824</v>
      </c>
      <c r="B76" s="147" t="s">
        <v>102</v>
      </c>
      <c r="C76" s="320">
        <f>C77+C79</f>
        <v>205743</v>
      </c>
      <c r="D76" s="320">
        <f>D77+D79</f>
        <v>205743</v>
      </c>
      <c r="E76" s="22">
        <f>E74-E75</f>
        <v>-28092.600000000035</v>
      </c>
    </row>
    <row r="77" spans="1:11" s="202" customFormat="1" ht="31.5" x14ac:dyDescent="0.25">
      <c r="A77" s="137" t="s">
        <v>1145</v>
      </c>
      <c r="B77" s="147" t="s">
        <v>1144</v>
      </c>
      <c r="C77" s="320">
        <f t="shared" ref="C77:D77" si="17">C78</f>
        <v>154837</v>
      </c>
      <c r="D77" s="320">
        <f t="shared" si="17"/>
        <v>154837</v>
      </c>
    </row>
    <row r="78" spans="1:11" ht="36.75" customHeight="1" x14ac:dyDescent="0.25">
      <c r="A78" s="201" t="s">
        <v>823</v>
      </c>
      <c r="B78" s="144" t="s">
        <v>1154</v>
      </c>
      <c r="C78" s="329">
        <v>154837</v>
      </c>
      <c r="D78" s="329">
        <v>154837</v>
      </c>
    </row>
    <row r="79" spans="1:11" s="202" customFormat="1" ht="31.5" x14ac:dyDescent="0.25">
      <c r="A79" s="134" t="s">
        <v>1493</v>
      </c>
      <c r="B79" s="138" t="s">
        <v>1494</v>
      </c>
      <c r="C79" s="320">
        <f>C80</f>
        <v>50906</v>
      </c>
      <c r="D79" s="320">
        <f>D80</f>
        <v>50906</v>
      </c>
    </row>
    <row r="80" spans="1:11" s="202" customFormat="1" ht="31.5" x14ac:dyDescent="0.25">
      <c r="A80" s="132" t="s">
        <v>1495</v>
      </c>
      <c r="B80" s="144" t="s">
        <v>1496</v>
      </c>
      <c r="C80" s="329">
        <v>50906</v>
      </c>
      <c r="D80" s="329">
        <v>50906</v>
      </c>
    </row>
    <row r="81" spans="1:6" ht="31.5" x14ac:dyDescent="0.25">
      <c r="A81" s="137" t="s">
        <v>822</v>
      </c>
      <c r="B81" s="138" t="s">
        <v>103</v>
      </c>
      <c r="C81" s="320">
        <f>C91+C96+C99+C92+C94+C88+C86+C82+C84</f>
        <v>14026.500000000002</v>
      </c>
      <c r="D81" s="320">
        <f>D91+D96+D99+D92+D94+D88+D86+D82+D84</f>
        <v>13511.800000000001</v>
      </c>
    </row>
    <row r="82" spans="1:6" s="202" customFormat="1" ht="47.25" hidden="1" x14ac:dyDescent="0.25">
      <c r="A82" s="253" t="s">
        <v>1169</v>
      </c>
      <c r="B82" s="254" t="s">
        <v>1171</v>
      </c>
      <c r="C82" s="322">
        <f>C83</f>
        <v>0</v>
      </c>
      <c r="D82" s="322">
        <f>D83</f>
        <v>0</v>
      </c>
    </row>
    <row r="83" spans="1:6" s="202" customFormat="1" ht="47.25" hidden="1" x14ac:dyDescent="0.25">
      <c r="A83" s="201" t="s">
        <v>1168</v>
      </c>
      <c r="B83" s="256" t="s">
        <v>1170</v>
      </c>
      <c r="C83" s="329">
        <v>0</v>
      </c>
      <c r="D83" s="329">
        <v>0</v>
      </c>
    </row>
    <row r="84" spans="1:6" s="202" customFormat="1" ht="53.45" customHeight="1" x14ac:dyDescent="0.25">
      <c r="A84" s="137" t="s">
        <v>1510</v>
      </c>
      <c r="B84" s="325" t="s">
        <v>1512</v>
      </c>
      <c r="C84" s="320">
        <f>C85</f>
        <v>1677.7</v>
      </c>
      <c r="D84" s="320">
        <f>D85</f>
        <v>2245</v>
      </c>
    </row>
    <row r="85" spans="1:6" s="202" customFormat="1" ht="47.25" x14ac:dyDescent="0.25">
      <c r="A85" s="201" t="s">
        <v>1511</v>
      </c>
      <c r="B85" s="385" t="s">
        <v>1513</v>
      </c>
      <c r="C85" s="329">
        <v>1677.7</v>
      </c>
      <c r="D85" s="329">
        <v>2245</v>
      </c>
      <c r="E85" s="227">
        <f>'пр.6.1.ведом.22-23'!G680-167.95</f>
        <v>1581.4999999999998</v>
      </c>
      <c r="F85" s="227">
        <f>'пр.6.1.ведом.22-23'!H680-224.75</f>
        <v>2116.25</v>
      </c>
    </row>
    <row r="86" spans="1:6" s="202" customFormat="1" ht="47.25" hidden="1" x14ac:dyDescent="0.25">
      <c r="A86" s="137" t="s">
        <v>1172</v>
      </c>
      <c r="B86" s="255" t="s">
        <v>1175</v>
      </c>
      <c r="C86" s="320">
        <f>C87</f>
        <v>0</v>
      </c>
      <c r="D86" s="320">
        <f>D87</f>
        <v>0</v>
      </c>
    </row>
    <row r="87" spans="1:6" s="202" customFormat="1" ht="47.25" hidden="1" x14ac:dyDescent="0.25">
      <c r="A87" s="201" t="s">
        <v>1173</v>
      </c>
      <c r="B87" s="256" t="s">
        <v>1174</v>
      </c>
      <c r="C87" s="329">
        <v>0</v>
      </c>
      <c r="D87" s="329">
        <v>0</v>
      </c>
    </row>
    <row r="88" spans="1:6" s="202" customFormat="1" ht="18.75" hidden="1" x14ac:dyDescent="0.25">
      <c r="A88" s="276"/>
      <c r="B88" s="277" t="s">
        <v>1299</v>
      </c>
      <c r="C88" s="320">
        <f>C89</f>
        <v>0</v>
      </c>
      <c r="D88" s="320">
        <f>D89</f>
        <v>0</v>
      </c>
    </row>
    <row r="89" spans="1:6" s="202" customFormat="1" ht="18.75" hidden="1" x14ac:dyDescent="0.25">
      <c r="A89" s="274"/>
      <c r="B89" s="275"/>
      <c r="C89" s="329">
        <v>0</v>
      </c>
      <c r="D89" s="320">
        <v>0</v>
      </c>
      <c r="E89" s="227">
        <f>'пр.6.1.ведом.22-23'!G400-'пр.6.1.ведом.22-23'!R1096</f>
        <v>0</v>
      </c>
    </row>
    <row r="90" spans="1:6" ht="31.5" x14ac:dyDescent="0.25">
      <c r="A90" s="235" t="s">
        <v>1130</v>
      </c>
      <c r="B90" s="138" t="s">
        <v>1146</v>
      </c>
      <c r="C90" s="320">
        <f>C91</f>
        <v>267.8</v>
      </c>
      <c r="D90" s="320">
        <f>D91</f>
        <v>262.8</v>
      </c>
    </row>
    <row r="91" spans="1:6" s="202" customFormat="1" ht="31.5" x14ac:dyDescent="0.25">
      <c r="A91" s="236" t="s">
        <v>802</v>
      </c>
      <c r="B91" s="144" t="s">
        <v>804</v>
      </c>
      <c r="C91" s="329">
        <v>267.8</v>
      </c>
      <c r="D91" s="329">
        <v>262.8</v>
      </c>
      <c r="E91" s="227">
        <f>'пр.6.1.ведом.22-23'!G452-'пр.6.1.ведом.22-23'!L452</f>
        <v>267.8</v>
      </c>
      <c r="F91" s="227">
        <f>'пр.6.1.ведом.22-23'!H452-'пр.6.1.ведом.22-23'!M452</f>
        <v>262.8</v>
      </c>
    </row>
    <row r="92" spans="1:6" ht="40.700000000000003" hidden="1" customHeight="1" x14ac:dyDescent="0.25">
      <c r="A92" s="235" t="s">
        <v>1131</v>
      </c>
      <c r="B92" s="146" t="s">
        <v>836</v>
      </c>
      <c r="C92" s="320">
        <f>C93</f>
        <v>0</v>
      </c>
      <c r="D92" s="320">
        <f>D93</f>
        <v>0</v>
      </c>
    </row>
    <row r="93" spans="1:6" ht="39.75" hidden="1" customHeight="1" x14ac:dyDescent="0.25">
      <c r="A93" s="236" t="s">
        <v>835</v>
      </c>
      <c r="B93" s="139" t="s">
        <v>836</v>
      </c>
      <c r="C93" s="329">
        <v>0</v>
      </c>
      <c r="D93" s="329">
        <v>0</v>
      </c>
    </row>
    <row r="94" spans="1:6" s="202" customFormat="1" ht="19.5" hidden="1" customHeight="1" x14ac:dyDescent="0.25">
      <c r="A94" s="260" t="s">
        <v>1165</v>
      </c>
      <c r="B94" s="259" t="s">
        <v>1166</v>
      </c>
      <c r="C94" s="320">
        <f>C95</f>
        <v>0</v>
      </c>
      <c r="D94" s="320">
        <f>D95</f>
        <v>0</v>
      </c>
    </row>
    <row r="95" spans="1:6" s="202" customFormat="1" ht="87.75" hidden="1" customHeight="1" x14ac:dyDescent="0.25">
      <c r="A95" s="261" t="s">
        <v>1163</v>
      </c>
      <c r="B95" s="262" t="s">
        <v>1204</v>
      </c>
      <c r="C95" s="329">
        <v>0</v>
      </c>
      <c r="D95" s="329">
        <v>0</v>
      </c>
    </row>
    <row r="96" spans="1:6" ht="60.75" customHeight="1" x14ac:dyDescent="0.25">
      <c r="A96" s="313" t="s">
        <v>1464</v>
      </c>
      <c r="B96" s="138" t="s">
        <v>1465</v>
      </c>
      <c r="C96" s="320">
        <f t="shared" ref="C96:D98" si="18">SUM(C97)</f>
        <v>5193.6000000000004</v>
      </c>
      <c r="D96" s="320">
        <f t="shared" si="18"/>
        <v>4931.6000000000004</v>
      </c>
    </row>
    <row r="97" spans="1:7" ht="68.25" customHeight="1" x14ac:dyDescent="0.25">
      <c r="A97" s="314" t="s">
        <v>1466</v>
      </c>
      <c r="B97" s="144" t="s">
        <v>1441</v>
      </c>
      <c r="C97" s="329">
        <v>5193.6000000000004</v>
      </c>
      <c r="D97" s="329">
        <v>4931.6000000000004</v>
      </c>
      <c r="E97" s="227">
        <f>'пр.6.1.ведом.22-23'!G672-519.93</f>
        <v>4895.72</v>
      </c>
      <c r="F97" s="227">
        <f>'пр.6.1.ведом.22-23'!H672-493.7</f>
        <v>4648.7500000000009</v>
      </c>
    </row>
    <row r="98" spans="1:7" ht="18.75" x14ac:dyDescent="0.25">
      <c r="A98" s="235" t="s">
        <v>1137</v>
      </c>
      <c r="B98" s="138" t="s">
        <v>1136</v>
      </c>
      <c r="C98" s="320">
        <f t="shared" si="18"/>
        <v>6887.4000000000005</v>
      </c>
      <c r="D98" s="320">
        <f t="shared" si="18"/>
        <v>6072.4000000000005</v>
      </c>
    </row>
    <row r="99" spans="1:7" ht="18.75" x14ac:dyDescent="0.25">
      <c r="A99" s="201" t="s">
        <v>820</v>
      </c>
      <c r="B99" s="144" t="s">
        <v>104</v>
      </c>
      <c r="C99" s="349">
        <f>C100+C101+C102+C104+C105+C108+C109+C110+C111+C112+C114+C107+C113+C103</f>
        <v>6887.4000000000005</v>
      </c>
      <c r="D99" s="349">
        <f>D100+D101+D102+D104+D105+D108+D109+D110+D111+D112+D114+D107+D113+D103</f>
        <v>6072.4000000000005</v>
      </c>
    </row>
    <row r="100" spans="1:7" ht="63" customHeight="1" x14ac:dyDescent="0.25">
      <c r="A100" s="454"/>
      <c r="B100" s="139" t="s">
        <v>1439</v>
      </c>
      <c r="C100" s="329">
        <v>65.2</v>
      </c>
      <c r="D100" s="329">
        <v>65.2</v>
      </c>
      <c r="E100" s="316" t="e">
        <f>'пр.6.1.ведом.22-23'!#REF!</f>
        <v>#REF!</v>
      </c>
      <c r="F100" s="316" t="e">
        <f>'пр.6.1.ведом.22-23'!#REF!</f>
        <v>#REF!</v>
      </c>
    </row>
    <row r="101" spans="1:7" s="202" customFormat="1" ht="82.15" customHeight="1" x14ac:dyDescent="0.25">
      <c r="A101" s="455"/>
      <c r="B101" s="150" t="s">
        <v>1476</v>
      </c>
      <c r="C101" s="350">
        <v>1666.6</v>
      </c>
      <c r="D101" s="350">
        <v>915</v>
      </c>
      <c r="E101" s="317">
        <f>'пр.6.1.ведом.22-23'!G598</f>
        <v>1666.6</v>
      </c>
      <c r="F101" s="317">
        <f>'пр.6.1.ведом.22-23'!H598</f>
        <v>915</v>
      </c>
    </row>
    <row r="102" spans="1:7" s="202" customFormat="1" ht="143.44999999999999" hidden="1" customHeight="1" x14ac:dyDescent="0.25">
      <c r="A102" s="455"/>
      <c r="B102" s="258" t="s">
        <v>1167</v>
      </c>
      <c r="C102" s="350">
        <v>0</v>
      </c>
      <c r="D102" s="350">
        <v>0</v>
      </c>
      <c r="E102" s="227" t="e">
        <f>'пр.6.1.ведом.22-23'!#REF!</f>
        <v>#REF!</v>
      </c>
      <c r="F102" s="227" t="e">
        <f>'пр.6.1.ведом.22-23'!#REF!</f>
        <v>#REF!</v>
      </c>
    </row>
    <row r="103" spans="1:7" s="202" customFormat="1" ht="101.25" customHeight="1" x14ac:dyDescent="0.25">
      <c r="A103" s="455"/>
      <c r="B103" s="258" t="s">
        <v>1528</v>
      </c>
      <c r="C103" s="350">
        <v>200</v>
      </c>
      <c r="D103" s="350">
        <f>C103</f>
        <v>200</v>
      </c>
      <c r="E103" s="227"/>
      <c r="F103" s="227"/>
    </row>
    <row r="104" spans="1:7" ht="31.5" x14ac:dyDescent="0.25">
      <c r="A104" s="455"/>
      <c r="B104" s="149" t="s">
        <v>1477</v>
      </c>
      <c r="C104" s="351">
        <v>2161.1</v>
      </c>
      <c r="D104" s="351">
        <v>2161.1</v>
      </c>
      <c r="E104" s="316">
        <f>'пр.6.1.ведом.22-23'!G728</f>
        <v>0</v>
      </c>
      <c r="F104" s="316">
        <f>'пр.6.1.ведом.22-23'!H728</f>
        <v>0</v>
      </c>
    </row>
    <row r="105" spans="1:7" ht="67.7" hidden="1" customHeight="1" x14ac:dyDescent="0.25">
      <c r="A105" s="455"/>
      <c r="B105" s="150" t="s">
        <v>1437</v>
      </c>
      <c r="C105" s="352"/>
      <c r="D105" s="352"/>
      <c r="F105" s="202"/>
    </row>
    <row r="106" spans="1:7" ht="116.45" hidden="1" customHeight="1" x14ac:dyDescent="0.25">
      <c r="A106" s="455"/>
      <c r="B106" s="244" t="s">
        <v>812</v>
      </c>
      <c r="C106" s="353">
        <v>0</v>
      </c>
      <c r="D106" s="353">
        <v>0</v>
      </c>
      <c r="F106" s="202"/>
    </row>
    <row r="107" spans="1:7" ht="94.5" x14ac:dyDescent="0.25">
      <c r="A107" s="455"/>
      <c r="B107" s="139" t="s">
        <v>1459</v>
      </c>
      <c r="C107" s="329">
        <v>40</v>
      </c>
      <c r="D107" s="329">
        <v>40</v>
      </c>
      <c r="E107" s="317">
        <f>'пр.6.1.ведом.22-23'!G51</f>
        <v>0</v>
      </c>
      <c r="F107" s="317">
        <f>'пр.6.1.ведом.22-23'!H51</f>
        <v>0</v>
      </c>
    </row>
    <row r="108" spans="1:7" ht="32.65" customHeight="1" x14ac:dyDescent="0.25">
      <c r="A108" s="455"/>
      <c r="B108" s="139" t="s">
        <v>1478</v>
      </c>
      <c r="C108" s="329">
        <v>1731.8</v>
      </c>
      <c r="D108" s="329">
        <v>1665.2</v>
      </c>
      <c r="E108" s="317" t="e">
        <f>'пр.6.1.ведом.22-23'!#REF!</f>
        <v>#REF!</v>
      </c>
      <c r="F108" s="317" t="e">
        <f>'пр.6.1.ведом.22-23'!#REF!</f>
        <v>#REF!</v>
      </c>
    </row>
    <row r="109" spans="1:7" ht="38.1" customHeight="1" x14ac:dyDescent="0.25">
      <c r="A109" s="455"/>
      <c r="B109" s="139" t="s">
        <v>1479</v>
      </c>
      <c r="C109" s="329">
        <v>255</v>
      </c>
      <c r="D109" s="329">
        <v>255</v>
      </c>
      <c r="E109" s="317">
        <f>'пр.6.1.ведом.22-23'!G200</f>
        <v>0</v>
      </c>
      <c r="F109" s="317">
        <f>'пр.6.1.ведом.22-23'!H200</f>
        <v>0</v>
      </c>
    </row>
    <row r="110" spans="1:7" ht="47.25" x14ac:dyDescent="0.25">
      <c r="A110" s="455"/>
      <c r="B110" s="139" t="s">
        <v>1446</v>
      </c>
      <c r="C110" s="329">
        <v>516.6</v>
      </c>
      <c r="D110" s="329">
        <v>516.6</v>
      </c>
      <c r="E110" s="317" t="e">
        <f>'пр.6.1.ведом.22-23'!#REF!</f>
        <v>#REF!</v>
      </c>
      <c r="F110" s="317" t="e">
        <f>'пр.6.1.ведом.22-23'!#REF!</f>
        <v>#REF!</v>
      </c>
    </row>
    <row r="111" spans="1:7" s="202" customFormat="1" ht="95.25" hidden="1" customHeight="1" x14ac:dyDescent="0.25">
      <c r="A111" s="455"/>
      <c r="B111" s="262" t="s">
        <v>1176</v>
      </c>
      <c r="C111" s="360">
        <v>0</v>
      </c>
      <c r="D111" s="329">
        <v>0</v>
      </c>
    </row>
    <row r="112" spans="1:7" ht="95.1" customHeight="1" x14ac:dyDescent="0.25">
      <c r="A112" s="455"/>
      <c r="B112" s="188" t="s">
        <v>1481</v>
      </c>
      <c r="C112" s="349">
        <v>173.3</v>
      </c>
      <c r="D112" s="349">
        <v>173.3</v>
      </c>
      <c r="E112" s="317" t="e">
        <f>'пр.6.1.ведом.22-23'!#REF!</f>
        <v>#REF!</v>
      </c>
      <c r="F112" s="317" t="e">
        <f>'пр.6.1.ведом.22-23'!#REF!</f>
        <v>#REF!</v>
      </c>
      <c r="G112" s="315"/>
    </row>
    <row r="113" spans="1:7" s="202" customFormat="1" ht="31.5" x14ac:dyDescent="0.25">
      <c r="A113" s="455"/>
      <c r="B113" s="301" t="s">
        <v>1482</v>
      </c>
      <c r="C113" s="349">
        <v>77.8</v>
      </c>
      <c r="D113" s="349">
        <v>81</v>
      </c>
      <c r="E113" s="317">
        <f>'пр.6.1.ведом.22-23'!G668</f>
        <v>0</v>
      </c>
      <c r="F113" s="317">
        <f>'пр.6.1.ведом.22-23'!H668</f>
        <v>0</v>
      </c>
    </row>
    <row r="114" spans="1:7" s="202" customFormat="1" ht="63" hidden="1" x14ac:dyDescent="0.25">
      <c r="A114" s="456"/>
      <c r="B114" s="300" t="s">
        <v>1441</v>
      </c>
      <c r="C114" s="349">
        <v>0</v>
      </c>
      <c r="D114" s="349">
        <v>0</v>
      </c>
      <c r="E114" s="316"/>
      <c r="F114" s="316"/>
    </row>
    <row r="115" spans="1:7" ht="24.75" customHeight="1" x14ac:dyDescent="0.25">
      <c r="A115" s="137" t="s">
        <v>819</v>
      </c>
      <c r="B115" s="230" t="s">
        <v>106</v>
      </c>
      <c r="C115" s="320">
        <f>C139+C116+C137</f>
        <v>215880.3</v>
      </c>
      <c r="D115" s="320">
        <f>D139+D116+D137</f>
        <v>247491.99999999997</v>
      </c>
      <c r="F115" s="202"/>
    </row>
    <row r="116" spans="1:7" ht="31.5" x14ac:dyDescent="0.25">
      <c r="A116" s="137" t="s">
        <v>818</v>
      </c>
      <c r="B116" s="146" t="s">
        <v>107</v>
      </c>
      <c r="C116" s="320">
        <f t="shared" ref="C116:D116" si="19">C117</f>
        <v>215317.09999999998</v>
      </c>
      <c r="D116" s="320">
        <f t="shared" si="19"/>
        <v>247144.29999999996</v>
      </c>
      <c r="F116" s="202"/>
    </row>
    <row r="117" spans="1:7" ht="31.5" x14ac:dyDescent="0.25">
      <c r="A117" s="201" t="s">
        <v>817</v>
      </c>
      <c r="B117" s="139" t="s">
        <v>108</v>
      </c>
      <c r="C117" s="329">
        <f>SUM(C118+C119+C120+C121+C122+C123+C124+C127+C128+C129+C130+C131+C132+C133)</f>
        <v>215317.09999999998</v>
      </c>
      <c r="D117" s="329">
        <f>SUM(D118+D119+D120+D121+D122+D123+D124+D127+D128+D129+D130+D131+D132+D133)</f>
        <v>247144.29999999996</v>
      </c>
      <c r="F117" s="202"/>
    </row>
    <row r="118" spans="1:7" ht="53.1" customHeight="1" x14ac:dyDescent="0.25">
      <c r="A118" s="454"/>
      <c r="B118" s="149" t="s">
        <v>1490</v>
      </c>
      <c r="C118" s="352">
        <v>115047.8</v>
      </c>
      <c r="D118" s="352">
        <v>134211.70000000001</v>
      </c>
      <c r="E118" s="317">
        <f>'пр.6.1.ведом.22-23'!G624</f>
        <v>115047.8</v>
      </c>
      <c r="F118" s="317">
        <f>'пр.6.1.ведом.22-23'!H624</f>
        <v>134211.70000000001</v>
      </c>
    </row>
    <row r="119" spans="1:7" ht="35.450000000000003" customHeight="1" x14ac:dyDescent="0.25">
      <c r="A119" s="455"/>
      <c r="B119" s="139" t="s">
        <v>1484</v>
      </c>
      <c r="C119" s="352">
        <v>70113.2</v>
      </c>
      <c r="D119" s="352">
        <v>74475.8</v>
      </c>
      <c r="E119" s="317">
        <f>'пр.6.1.ведом.22-23'!G567</f>
        <v>70113.2</v>
      </c>
      <c r="F119" s="317">
        <f>'пр.6.1.ведом.22-23'!H567</f>
        <v>74475.8</v>
      </c>
    </row>
    <row r="120" spans="1:7" ht="63.2" customHeight="1" x14ac:dyDescent="0.25">
      <c r="A120" s="455"/>
      <c r="B120" s="139" t="s">
        <v>1485</v>
      </c>
      <c r="C120" s="352">
        <v>4743.8999999999996</v>
      </c>
      <c r="D120" s="352">
        <f t="shared" ref="D120:D129" si="20">C120</f>
        <v>4743.8999999999996</v>
      </c>
      <c r="E120" s="318">
        <f>'пр.6.1.ведом.22-23'!G326+'пр.6.1.ведом.22-23'!G564+'пр.6.1.ведом.22-23'!G630+'пр.6.1.ведом.22-23'!G706</f>
        <v>4743.8999999999996</v>
      </c>
      <c r="F120" s="318">
        <f>'пр.6.1.ведом.22-23'!H326+'пр.6.1.ведом.22-23'!H564+'пр.6.1.ведом.22-23'!H630+'пр.6.1.ведом.22-23'!H706</f>
        <v>4743.8999999999996</v>
      </c>
      <c r="G120" s="319"/>
    </row>
    <row r="121" spans="1:7" ht="64.5" customHeight="1" x14ac:dyDescent="0.25">
      <c r="A121" s="455"/>
      <c r="B121" s="139" t="s">
        <v>1491</v>
      </c>
      <c r="C121" s="352">
        <f>пр.1дох.21!C130</f>
        <v>2185</v>
      </c>
      <c r="D121" s="352">
        <f t="shared" si="20"/>
        <v>2185</v>
      </c>
      <c r="E121" s="317">
        <f>'пр.6.1.ведом.22-23'!G703+'пр.6.1.ведом.22-23'!G627+'пр.6.1.ведом.22-23'!G561+'пр.6.1.ведом.22-23'!G323</f>
        <v>2185</v>
      </c>
      <c r="F121" s="317">
        <f>'пр.6.1.ведом.22-23'!H703+'пр.6.1.ведом.22-23'!H627+'пр.6.1.ведом.22-23'!H561+'пр.6.1.ведом.22-23'!H323</f>
        <v>2185</v>
      </c>
    </row>
    <row r="122" spans="1:7" ht="46.9" customHeight="1" x14ac:dyDescent="0.25">
      <c r="A122" s="455"/>
      <c r="B122" s="139" t="s">
        <v>1486</v>
      </c>
      <c r="C122" s="352">
        <v>1411.1</v>
      </c>
      <c r="D122" s="352">
        <v>1411.1</v>
      </c>
      <c r="E122" s="317">
        <f>'пр.6.1.ведом.22-23'!G79</f>
        <v>1411.1</v>
      </c>
      <c r="F122" s="317">
        <f>'пр.6.1.ведом.22-23'!H79</f>
        <v>1411.1</v>
      </c>
    </row>
    <row r="123" spans="1:7" ht="141.75" x14ac:dyDescent="0.25">
      <c r="A123" s="455"/>
      <c r="B123" s="139" t="s">
        <v>1467</v>
      </c>
      <c r="C123" s="352">
        <v>264.2</v>
      </c>
      <c r="D123" s="352">
        <v>274.8</v>
      </c>
      <c r="E123" s="317">
        <f>'пр.6.1.ведом.22-23'!G208</f>
        <v>264.2</v>
      </c>
      <c r="F123" s="317">
        <f>'пр.6.1.ведом.22-23'!H208</f>
        <v>274.8</v>
      </c>
    </row>
    <row r="124" spans="1:7" ht="47.25" x14ac:dyDescent="0.25">
      <c r="A124" s="455"/>
      <c r="B124" s="139" t="s">
        <v>109</v>
      </c>
      <c r="C124" s="352">
        <f>SUM(C125:C126)</f>
        <v>3650.3999999999996</v>
      </c>
      <c r="D124" s="352">
        <f>SUM(D125:D126)</f>
        <v>3606.4</v>
      </c>
      <c r="E124" s="316">
        <f>'пр.6.1.ведом.22-23'!G237</f>
        <v>3650.4</v>
      </c>
      <c r="F124" s="316">
        <f>'пр.6.1.ведом.22-23'!H237</f>
        <v>3606.4</v>
      </c>
      <c r="G124" s="316"/>
    </row>
    <row r="125" spans="1:7" ht="31.5" x14ac:dyDescent="0.25">
      <c r="A125" s="455"/>
      <c r="B125" s="152" t="s">
        <v>708</v>
      </c>
      <c r="C125" s="352">
        <f>пр.1дох.21!C134</f>
        <v>2829.1</v>
      </c>
      <c r="D125" s="352">
        <v>2759</v>
      </c>
      <c r="F125" s="202"/>
    </row>
    <row r="126" spans="1:7" ht="31.5" x14ac:dyDescent="0.25">
      <c r="A126" s="455"/>
      <c r="B126" s="152" t="s">
        <v>709</v>
      </c>
      <c r="C126" s="352">
        <v>821.3</v>
      </c>
      <c r="D126" s="352">
        <v>847.4</v>
      </c>
      <c r="F126" s="202"/>
    </row>
    <row r="127" spans="1:7" ht="62.1" customHeight="1" x14ac:dyDescent="0.25">
      <c r="A127" s="455"/>
      <c r="B127" s="139" t="s">
        <v>1487</v>
      </c>
      <c r="C127" s="352">
        <f>пр.1дох.21!C136</f>
        <v>341.4</v>
      </c>
      <c r="D127" s="352">
        <f t="shared" si="20"/>
        <v>341.4</v>
      </c>
      <c r="E127" s="317">
        <f>'пр.6.1.ведом.22-23'!G384</f>
        <v>341.4</v>
      </c>
      <c r="F127" s="317">
        <f>'пр.6.1.ведом.22-23'!H384</f>
        <v>341.4</v>
      </c>
    </row>
    <row r="128" spans="1:7" ht="62.1" customHeight="1" x14ac:dyDescent="0.25">
      <c r="A128" s="455"/>
      <c r="B128" s="139" t="s">
        <v>1488</v>
      </c>
      <c r="C128" s="352">
        <v>909.3</v>
      </c>
      <c r="D128" s="352">
        <v>909.3</v>
      </c>
      <c r="E128" s="317">
        <f>'пр.6.1.ведом.22-23'!G633</f>
        <v>909.3</v>
      </c>
      <c r="F128" s="317">
        <f>'пр.6.1.ведом.22-23'!H633</f>
        <v>909.3</v>
      </c>
    </row>
    <row r="129" spans="1:6" ht="47.25" x14ac:dyDescent="0.25">
      <c r="A129" s="455"/>
      <c r="B129" s="139" t="s">
        <v>1468</v>
      </c>
      <c r="C129" s="352">
        <f>пр.1дох.21!C138</f>
        <v>1334.3</v>
      </c>
      <c r="D129" s="352">
        <f t="shared" si="20"/>
        <v>1334.3</v>
      </c>
      <c r="E129" s="317">
        <f>'пр.6.1.ведом.22-23'!G84</f>
        <v>1334.3</v>
      </c>
      <c r="F129" s="317">
        <f>'пр.6.1.ведом.22-23'!H84</f>
        <v>1334.3</v>
      </c>
    </row>
    <row r="130" spans="1:6" ht="78.75" x14ac:dyDescent="0.25">
      <c r="A130" s="455"/>
      <c r="B130" s="29" t="s">
        <v>1489</v>
      </c>
      <c r="C130" s="352">
        <v>22.3</v>
      </c>
      <c r="D130" s="352">
        <v>22.3</v>
      </c>
      <c r="E130" s="317">
        <f>'пр.6.1.ведом.22-23'!G506</f>
        <v>22.3</v>
      </c>
      <c r="F130" s="317">
        <f>'пр.6.1.ведом.22-23'!H506</f>
        <v>22.3</v>
      </c>
    </row>
    <row r="131" spans="1:6" s="202" customFormat="1" ht="82.5" customHeight="1" x14ac:dyDescent="0.25">
      <c r="A131" s="455"/>
      <c r="B131" s="330" t="s">
        <v>1447</v>
      </c>
      <c r="C131" s="352">
        <v>2469.1</v>
      </c>
      <c r="D131" s="352">
        <v>10803.2</v>
      </c>
      <c r="E131" s="317">
        <f>'пр.6.1.ведом.22-23'!G536</f>
        <v>2469.1</v>
      </c>
      <c r="F131" s="317">
        <f>'пр.6.1.ведом.22-23'!H536</f>
        <v>10803.2</v>
      </c>
    </row>
    <row r="132" spans="1:6" s="202" customFormat="1" ht="63" hidden="1" x14ac:dyDescent="0.25">
      <c r="A132" s="455"/>
      <c r="B132" s="139" t="s">
        <v>1469</v>
      </c>
      <c r="C132" s="352"/>
      <c r="D132" s="352"/>
      <c r="E132" s="317">
        <f>'пр.6.1.ведом.22-23'!G997</f>
        <v>0</v>
      </c>
      <c r="F132" s="317">
        <f>'пр.6.1.ведом.22-23'!H997</f>
        <v>0</v>
      </c>
    </row>
    <row r="133" spans="1:6" s="202" customFormat="1" ht="63" x14ac:dyDescent="0.25">
      <c r="A133" s="455"/>
      <c r="B133" s="153" t="s">
        <v>1440</v>
      </c>
      <c r="C133" s="354">
        <f>SUM(C134:C136)</f>
        <v>12825.1</v>
      </c>
      <c r="D133" s="354">
        <f>SUM(D134:D136)</f>
        <v>12825.1</v>
      </c>
      <c r="E133" s="227"/>
      <c r="F133" s="227"/>
    </row>
    <row r="134" spans="1:6" s="202" customFormat="1" ht="55.5" customHeight="1" x14ac:dyDescent="0.25">
      <c r="A134" s="455"/>
      <c r="B134" s="302" t="s">
        <v>1471</v>
      </c>
      <c r="C134" s="355">
        <v>9911</v>
      </c>
      <c r="D134" s="352">
        <f>C134</f>
        <v>9911</v>
      </c>
      <c r="E134" s="317">
        <f>'пр.6.1.ведом.22-23'!G700+'пр.6.1.ведом.22-23'!G621+'пр.6.1.ведом.22-23'!G558+'пр.6.1.ведом.22-23'!G320</f>
        <v>9911</v>
      </c>
      <c r="F134" s="317">
        <f>'пр.6.1.ведом.22-23'!H700+'пр.6.1.ведом.22-23'!H621+'пр.6.1.ведом.22-23'!H558+'пр.6.1.ведом.22-23'!H320</f>
        <v>9911</v>
      </c>
    </row>
    <row r="135" spans="1:6" s="202" customFormat="1" ht="63" x14ac:dyDescent="0.25">
      <c r="A135" s="455"/>
      <c r="B135" s="302" t="s">
        <v>1472</v>
      </c>
      <c r="C135" s="355">
        <v>2100.6</v>
      </c>
      <c r="D135" s="352">
        <f>C135</f>
        <v>2100.6</v>
      </c>
      <c r="E135" s="317">
        <f>'пр.6.1.ведом.22-23'!G381</f>
        <v>2100.6</v>
      </c>
      <c r="F135" s="317">
        <f>'пр.6.1.ведом.22-23'!H381</f>
        <v>2100.6</v>
      </c>
    </row>
    <row r="136" spans="1:6" s="202" customFormat="1" ht="45.75" customHeight="1" x14ac:dyDescent="0.25">
      <c r="A136" s="456"/>
      <c r="B136" s="302" t="s">
        <v>1473</v>
      </c>
      <c r="C136" s="355">
        <v>813.5</v>
      </c>
      <c r="D136" s="352">
        <f>C136</f>
        <v>813.5</v>
      </c>
      <c r="E136" s="317">
        <f>'пр.6.1.ведом.22-23'!G792</f>
        <v>813.5</v>
      </c>
      <c r="F136" s="317">
        <f>'пр.6.1.ведом.22-23'!H792</f>
        <v>813.5</v>
      </c>
    </row>
    <row r="137" spans="1:6" s="202" customFormat="1" ht="63" hidden="1" x14ac:dyDescent="0.25">
      <c r="A137" s="137" t="s">
        <v>1177</v>
      </c>
      <c r="B137" s="255" t="s">
        <v>1179</v>
      </c>
      <c r="C137" s="356">
        <f>C138</f>
        <v>0</v>
      </c>
      <c r="D137" s="356">
        <f>D138</f>
        <v>0</v>
      </c>
    </row>
    <row r="138" spans="1:6" s="202" customFormat="1" ht="63" hidden="1" x14ac:dyDescent="0.25">
      <c r="A138" s="201" t="s">
        <v>1178</v>
      </c>
      <c r="B138" s="256" t="s">
        <v>1179</v>
      </c>
      <c r="C138" s="352">
        <v>0</v>
      </c>
      <c r="D138" s="352">
        <v>0</v>
      </c>
      <c r="E138" s="227">
        <f>'пр.6.1.ведом.22-23'!G73</f>
        <v>0</v>
      </c>
      <c r="F138" s="227">
        <f>'пр.6.1.ведом.22-23'!H73</f>
        <v>0</v>
      </c>
    </row>
    <row r="139" spans="1:6" ht="31.5" x14ac:dyDescent="0.25">
      <c r="A139" s="137" t="s">
        <v>816</v>
      </c>
      <c r="B139" s="146" t="s">
        <v>110</v>
      </c>
      <c r="C139" s="320">
        <f t="shared" ref="C139:D139" si="21">C140</f>
        <v>563.20000000000005</v>
      </c>
      <c r="D139" s="320">
        <f t="shared" si="21"/>
        <v>347.7</v>
      </c>
      <c r="F139" s="202"/>
    </row>
    <row r="140" spans="1:6" ht="31.5" x14ac:dyDescent="0.25">
      <c r="A140" s="201" t="s">
        <v>815</v>
      </c>
      <c r="B140" s="139" t="s">
        <v>111</v>
      </c>
      <c r="C140" s="329">
        <v>563.20000000000005</v>
      </c>
      <c r="D140" s="329">
        <v>347.7</v>
      </c>
      <c r="E140" s="317">
        <f>'пр.6.1.ведом.22-23'!G74</f>
        <v>563.20000000000005</v>
      </c>
      <c r="F140" s="317">
        <f>'пр.6.1.ведом.22-23'!H74</f>
        <v>347.7</v>
      </c>
    </row>
    <row r="141" spans="1:6" ht="18.75" x14ac:dyDescent="0.25">
      <c r="A141" s="137" t="s">
        <v>814</v>
      </c>
      <c r="B141" s="146" t="s">
        <v>112</v>
      </c>
      <c r="C141" s="320">
        <f>C142</f>
        <v>7226.1</v>
      </c>
      <c r="D141" s="320">
        <f>D142</f>
        <v>7226.1</v>
      </c>
      <c r="F141" s="202"/>
    </row>
    <row r="142" spans="1:6" s="202" customFormat="1" ht="67.7" customHeight="1" x14ac:dyDescent="0.25">
      <c r="A142" s="328" t="s">
        <v>1405</v>
      </c>
      <c r="B142" s="293" t="s">
        <v>1403</v>
      </c>
      <c r="C142" s="320">
        <f>C143</f>
        <v>7226.1</v>
      </c>
      <c r="D142" s="320">
        <f>D143</f>
        <v>7226.1</v>
      </c>
    </row>
    <row r="143" spans="1:6" s="202" customFormat="1" ht="72" customHeight="1" x14ac:dyDescent="0.25">
      <c r="A143" s="201" t="s">
        <v>1406</v>
      </c>
      <c r="B143" s="286" t="s">
        <v>1404</v>
      </c>
      <c r="C143" s="329">
        <v>7226.1</v>
      </c>
      <c r="D143" s="329">
        <v>7226.1</v>
      </c>
      <c r="E143" s="316">
        <f>'пр.6.1.ведом.22-23'!G618</f>
        <v>7226.1</v>
      </c>
      <c r="F143" s="227">
        <f>'пр.6.1.ведом.22-23'!H618</f>
        <v>7226.1</v>
      </c>
    </row>
    <row r="144" spans="1:6" ht="18.75" hidden="1" x14ac:dyDescent="0.25">
      <c r="A144" s="137" t="s">
        <v>813</v>
      </c>
      <c r="B144" s="146" t="s">
        <v>113</v>
      </c>
      <c r="C144" s="320">
        <f t="shared" ref="C144:D144" si="22">C145</f>
        <v>0</v>
      </c>
      <c r="D144" s="320">
        <f t="shared" si="22"/>
        <v>0</v>
      </c>
    </row>
    <row r="145" spans="1:4" s="202" customFormat="1" ht="31.5" hidden="1" x14ac:dyDescent="0.25">
      <c r="A145" s="201" t="s">
        <v>825</v>
      </c>
      <c r="B145" s="139" t="s">
        <v>1138</v>
      </c>
      <c r="C145" s="329">
        <f>SUM(C146:C148)</f>
        <v>0</v>
      </c>
      <c r="D145" s="329">
        <f>SUM(D146:D148)</f>
        <v>0</v>
      </c>
    </row>
    <row r="146" spans="1:4" ht="126" hidden="1" x14ac:dyDescent="0.25">
      <c r="A146" s="454"/>
      <c r="B146" s="153" t="s">
        <v>797</v>
      </c>
      <c r="C146" s="355">
        <f>пр.1дох.21!C157</f>
        <v>0</v>
      </c>
      <c r="D146" s="355">
        <f>C146</f>
        <v>0</v>
      </c>
    </row>
    <row r="147" spans="1:4" ht="141.75" hidden="1" x14ac:dyDescent="0.25">
      <c r="A147" s="455"/>
      <c r="B147" s="153" t="s">
        <v>798</v>
      </c>
      <c r="C147" s="355">
        <f>пр.1дох.21!C158</f>
        <v>0</v>
      </c>
      <c r="D147" s="355">
        <f t="shared" ref="D147:D148" si="23">C147</f>
        <v>0</v>
      </c>
    </row>
    <row r="148" spans="1:4" ht="126" hidden="1" x14ac:dyDescent="0.25">
      <c r="A148" s="456"/>
      <c r="B148" s="153" t="s">
        <v>839</v>
      </c>
      <c r="C148" s="355">
        <f>пр.1дох.21!C159</f>
        <v>0</v>
      </c>
      <c r="D148" s="355">
        <f t="shared" si="23"/>
        <v>0</v>
      </c>
    </row>
    <row r="149" spans="1:4" ht="18.75" hidden="1" x14ac:dyDescent="0.25">
      <c r="A149" s="19" t="s">
        <v>793</v>
      </c>
      <c r="B149" s="189" t="s">
        <v>794</v>
      </c>
      <c r="C149" s="357">
        <f>SUM(C150)</f>
        <v>0</v>
      </c>
      <c r="D149" s="357">
        <f>SUM(D150)</f>
        <v>0</v>
      </c>
    </row>
    <row r="150" spans="1:4" ht="31.5" hidden="1" x14ac:dyDescent="0.25">
      <c r="A150" s="19" t="s">
        <v>795</v>
      </c>
      <c r="B150" s="189" t="s">
        <v>796</v>
      </c>
      <c r="C150" s="357">
        <f>SUM(C151)</f>
        <v>0</v>
      </c>
      <c r="D150" s="357">
        <f>SUM(D151)</f>
        <v>0</v>
      </c>
    </row>
    <row r="151" spans="1:4" ht="18.75" hidden="1" x14ac:dyDescent="0.25">
      <c r="A151" s="448" t="s">
        <v>844</v>
      </c>
      <c r="B151" s="192" t="s">
        <v>796</v>
      </c>
      <c r="C151" s="357">
        <f>SUM(C153:C154)</f>
        <v>0</v>
      </c>
      <c r="D151" s="357">
        <f>SUM(D153:D154)</f>
        <v>0</v>
      </c>
    </row>
    <row r="152" spans="1:4" ht="18.75" hidden="1" x14ac:dyDescent="0.25">
      <c r="A152" s="449"/>
      <c r="B152" s="192" t="s">
        <v>105</v>
      </c>
      <c r="C152" s="357"/>
      <c r="D152" s="357"/>
    </row>
    <row r="153" spans="1:4" ht="94.5" hidden="1" x14ac:dyDescent="0.25">
      <c r="A153" s="449"/>
      <c r="B153" s="190" t="s">
        <v>841</v>
      </c>
      <c r="C153" s="355">
        <v>0</v>
      </c>
      <c r="D153" s="355">
        <v>0</v>
      </c>
    </row>
    <row r="154" spans="1:4" ht="78.75" hidden="1" x14ac:dyDescent="0.25">
      <c r="A154" s="464"/>
      <c r="B154" s="190" t="s">
        <v>842</v>
      </c>
      <c r="C154" s="355">
        <v>0</v>
      </c>
      <c r="D154" s="355">
        <v>0</v>
      </c>
    </row>
    <row r="155" spans="1:4" ht="18.75" x14ac:dyDescent="0.25">
      <c r="A155" s="201"/>
      <c r="B155" s="185" t="s">
        <v>114</v>
      </c>
      <c r="C155" s="320">
        <f>SUM(C9+C74)</f>
        <v>736280.6</v>
      </c>
      <c r="D155" s="320">
        <f>SUM(D9+D74)</f>
        <v>777267.39999999991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499147.7</v>
      </c>
      <c r="D157" s="22">
        <f>D9+D78+D80</f>
        <v>509037.5</v>
      </c>
    </row>
  </sheetData>
  <mergeCells count="11">
    <mergeCell ref="C3:D3"/>
    <mergeCell ref="C2:D2"/>
    <mergeCell ref="C1:D1"/>
    <mergeCell ref="H8:K8"/>
    <mergeCell ref="A151:A154"/>
    <mergeCell ref="A4:D4"/>
    <mergeCell ref="A5:D5"/>
    <mergeCell ref="A6:D6"/>
    <mergeCell ref="A146:A148"/>
    <mergeCell ref="A118:A136"/>
    <mergeCell ref="A100:A114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E59" sqref="E59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202"/>
      <c r="C1" s="11"/>
      <c r="D1" s="462" t="s">
        <v>1563</v>
      </c>
      <c r="E1" s="462"/>
    </row>
    <row r="2" spans="1:7" ht="15.75" x14ac:dyDescent="0.25">
      <c r="A2" s="11"/>
      <c r="B2" s="202"/>
      <c r="C2" s="11"/>
      <c r="D2" s="462" t="s">
        <v>1562</v>
      </c>
      <c r="E2" s="462"/>
    </row>
    <row r="3" spans="1:7" ht="18.75" x14ac:dyDescent="0.3">
      <c r="A3" s="11"/>
      <c r="B3" s="154"/>
      <c r="C3" s="11"/>
      <c r="D3" s="462" t="s">
        <v>1561</v>
      </c>
      <c r="E3" s="462"/>
    </row>
    <row r="4" spans="1:7" ht="15.75" x14ac:dyDescent="0.25">
      <c r="A4" s="467" t="s">
        <v>1148</v>
      </c>
      <c r="B4" s="467"/>
      <c r="C4" s="467"/>
      <c r="D4" s="467"/>
      <c r="E4" s="467"/>
    </row>
    <row r="5" spans="1:7" ht="15.75" x14ac:dyDescent="0.25">
      <c r="A5" s="467" t="s">
        <v>1150</v>
      </c>
      <c r="B5" s="467"/>
      <c r="C5" s="467"/>
      <c r="D5" s="467"/>
      <c r="E5" s="467"/>
    </row>
    <row r="6" spans="1:7" ht="15.75" x14ac:dyDescent="0.25">
      <c r="A6" s="467" t="s">
        <v>1329</v>
      </c>
      <c r="B6" s="467"/>
      <c r="C6" s="467"/>
      <c r="D6" s="467"/>
      <c r="E6" s="467"/>
    </row>
    <row r="7" spans="1:7" ht="15.75" x14ac:dyDescent="0.25">
      <c r="A7" s="465"/>
      <c r="B7" s="466"/>
      <c r="C7" s="466"/>
    </row>
    <row r="8" spans="1:7" x14ac:dyDescent="0.25">
      <c r="A8" s="202"/>
      <c r="B8" s="90"/>
      <c r="C8" s="90"/>
      <c r="E8" s="361" t="s">
        <v>1</v>
      </c>
    </row>
    <row r="9" spans="1:7" ht="31.5" x14ac:dyDescent="0.25">
      <c r="A9" s="91" t="s">
        <v>683</v>
      </c>
      <c r="B9" s="91" t="s">
        <v>684</v>
      </c>
      <c r="C9" s="91" t="s">
        <v>685</v>
      </c>
      <c r="D9" s="362" t="s">
        <v>1037</v>
      </c>
      <c r="E9" s="362" t="s">
        <v>1305</v>
      </c>
    </row>
    <row r="10" spans="1:7" s="202" customFormat="1" ht="15.75" x14ac:dyDescent="0.25">
      <c r="A10" s="43" t="s">
        <v>1430</v>
      </c>
      <c r="B10" s="47"/>
      <c r="C10" s="47"/>
      <c r="D10" s="364">
        <f>('Пр.1.1. дох.22-23'!C9+'Пр.1.1. дох.22-23'!C76)*2.5%</f>
        <v>12478.692500000001</v>
      </c>
      <c r="E10" s="364">
        <v>25451.88</v>
      </c>
    </row>
    <row r="11" spans="1:7" ht="15.75" x14ac:dyDescent="0.25">
      <c r="A11" s="47" t="s">
        <v>124</v>
      </c>
      <c r="B11" s="24" t="s">
        <v>125</v>
      </c>
      <c r="C11" s="92"/>
      <c r="D11" s="363">
        <f>SUM(D12:D17)</f>
        <v>136787.41</v>
      </c>
      <c r="E11" s="363">
        <f>SUM(E12:E17)</f>
        <v>123941.72</v>
      </c>
      <c r="G11" s="22"/>
    </row>
    <row r="12" spans="1:7" ht="31.5" x14ac:dyDescent="0.25">
      <c r="A12" s="31" t="s">
        <v>582</v>
      </c>
      <c r="B12" s="20" t="s">
        <v>125</v>
      </c>
      <c r="C12" s="20" t="s">
        <v>220</v>
      </c>
      <c r="D12" s="365">
        <f>'пр.5.1.рдпрцс 22-23'!F10</f>
        <v>4867.3999999999996</v>
      </c>
      <c r="E12" s="365">
        <f>'пр.5.1.рдпрцс 22-23'!G10</f>
        <v>4867.3999999999996</v>
      </c>
    </row>
    <row r="13" spans="1:7" ht="47.25" x14ac:dyDescent="0.25">
      <c r="A13" s="31" t="s">
        <v>585</v>
      </c>
      <c r="B13" s="20" t="s">
        <v>125</v>
      </c>
      <c r="C13" s="20" t="s">
        <v>222</v>
      </c>
      <c r="D13" s="365">
        <f>'пр.5.1.рдпрцс 22-23'!F29</f>
        <v>5488</v>
      </c>
      <c r="E13" s="365">
        <f>'пр.5.1.рдпрцс 22-23'!G29</f>
        <v>5488</v>
      </c>
    </row>
    <row r="14" spans="1:7" ht="47.25" x14ac:dyDescent="0.25">
      <c r="A14" s="25" t="s">
        <v>156</v>
      </c>
      <c r="B14" s="20" t="s">
        <v>125</v>
      </c>
      <c r="C14" s="20" t="s">
        <v>157</v>
      </c>
      <c r="D14" s="365">
        <f>'пр.5.1.рдпрцс 22-23'!F45</f>
        <v>56977.11</v>
      </c>
      <c r="E14" s="365">
        <f>'пр.5.1.рдпрцс 22-23'!G45</f>
        <v>43788.420000000006</v>
      </c>
    </row>
    <row r="15" spans="1:7" ht="47.25" x14ac:dyDescent="0.25">
      <c r="A15" s="25" t="s">
        <v>126</v>
      </c>
      <c r="B15" s="20" t="s">
        <v>125</v>
      </c>
      <c r="C15" s="20" t="s">
        <v>127</v>
      </c>
      <c r="D15" s="365">
        <f>'пр.5.1.рдпрцс 22-23'!F106</f>
        <v>16636.7</v>
      </c>
      <c r="E15" s="365">
        <f>'пр.5.1.рдпрцс 22-23'!G106</f>
        <v>16636.7</v>
      </c>
    </row>
    <row r="16" spans="1:7" s="202" customFormat="1" ht="15.75" hidden="1" x14ac:dyDescent="0.25">
      <c r="A16" s="25" t="s">
        <v>1161</v>
      </c>
      <c r="B16" s="20" t="s">
        <v>125</v>
      </c>
      <c r="C16" s="20" t="s">
        <v>271</v>
      </c>
      <c r="D16" s="365">
        <f>'пр.5.1.рдпрцс 22-23'!F128</f>
        <v>0</v>
      </c>
      <c r="E16" s="365">
        <f>'пр.5.1.рдпрцс 22-23'!G128</f>
        <v>0</v>
      </c>
    </row>
    <row r="17" spans="1:7" ht="15.75" x14ac:dyDescent="0.25">
      <c r="A17" s="93" t="s">
        <v>146</v>
      </c>
      <c r="B17" s="20" t="s">
        <v>125</v>
      </c>
      <c r="C17" s="20" t="s">
        <v>147</v>
      </c>
      <c r="D17" s="365">
        <f>'пр.5.1.рдпрцс 22-23'!F136</f>
        <v>52818.200000000004</v>
      </c>
      <c r="E17" s="365">
        <f>'пр.5.1.рдпрцс 22-23'!G136</f>
        <v>53161.200000000004</v>
      </c>
    </row>
    <row r="18" spans="1:7" ht="15.75" hidden="1" x14ac:dyDescent="0.25">
      <c r="A18" s="19" t="s">
        <v>219</v>
      </c>
      <c r="B18" s="24" t="s">
        <v>220</v>
      </c>
      <c r="C18" s="20"/>
      <c r="D18" s="363">
        <f>'пр.2 Рд,пр 21'!D20</f>
        <v>0</v>
      </c>
      <c r="E18" s="363">
        <f>'пр.2 Рд,пр 21'!E20</f>
        <v>0</v>
      </c>
    </row>
    <row r="19" spans="1:7" ht="15.75" hidden="1" x14ac:dyDescent="0.25">
      <c r="A19" s="25" t="s">
        <v>225</v>
      </c>
      <c r="B19" s="20" t="s">
        <v>220</v>
      </c>
      <c r="C19" s="20" t="s">
        <v>226</v>
      </c>
      <c r="D19" s="365">
        <f>'пр.2 Рд,пр 21'!D21</f>
        <v>0</v>
      </c>
      <c r="E19" s="365">
        <f>'пр.2 Рд,пр 21'!E21</f>
        <v>0</v>
      </c>
    </row>
    <row r="20" spans="1:7" ht="31.5" x14ac:dyDescent="0.25">
      <c r="A20" s="34" t="s">
        <v>229</v>
      </c>
      <c r="B20" s="24" t="s">
        <v>222</v>
      </c>
      <c r="C20" s="24"/>
      <c r="D20" s="363">
        <f>D21</f>
        <v>8197.1</v>
      </c>
      <c r="E20" s="363">
        <f>E21</f>
        <v>8197.1</v>
      </c>
    </row>
    <row r="21" spans="1:7" ht="31.5" x14ac:dyDescent="0.25">
      <c r="A21" s="31" t="s">
        <v>1362</v>
      </c>
      <c r="B21" s="20" t="s">
        <v>222</v>
      </c>
      <c r="C21" s="20" t="s">
        <v>251</v>
      </c>
      <c r="D21" s="365">
        <f>'пр.5.1.рдпрцс 22-23'!F231</f>
        <v>8197.1</v>
      </c>
      <c r="E21" s="365">
        <f>'пр.5.1.рдпрцс 22-23'!G231</f>
        <v>8197.1</v>
      </c>
    </row>
    <row r="22" spans="1:7" ht="15.75" x14ac:dyDescent="0.25">
      <c r="A22" s="47" t="s">
        <v>239</v>
      </c>
      <c r="B22" s="24" t="s">
        <v>157</v>
      </c>
      <c r="C22" s="24"/>
      <c r="D22" s="363">
        <f>SUM(D23:D26)</f>
        <v>6525.2</v>
      </c>
      <c r="E22" s="363">
        <f>SUM(E23:E26)</f>
        <v>6535.8</v>
      </c>
    </row>
    <row r="23" spans="1:7" ht="15.75" x14ac:dyDescent="0.25">
      <c r="A23" s="94" t="s">
        <v>240</v>
      </c>
      <c r="B23" s="20" t="s">
        <v>157</v>
      </c>
      <c r="C23" s="20" t="s">
        <v>241</v>
      </c>
      <c r="D23" s="365">
        <f>'пр.5.1.рдпрцс 22-23'!F250</f>
        <v>274</v>
      </c>
      <c r="E23" s="365">
        <f>'пр.5.1.рдпрцс 22-23'!G250</f>
        <v>274</v>
      </c>
    </row>
    <row r="24" spans="1:7" ht="15.75" x14ac:dyDescent="0.25">
      <c r="A24" s="93" t="s">
        <v>512</v>
      </c>
      <c r="B24" s="20" t="s">
        <v>157</v>
      </c>
      <c r="C24" s="20" t="s">
        <v>306</v>
      </c>
      <c r="D24" s="365">
        <f>'пр.5.1.рдпрцс 22-23'!F263</f>
        <v>3258</v>
      </c>
      <c r="E24" s="365">
        <f>'пр.5.1.рдпрцс 22-23'!G263</f>
        <v>3258</v>
      </c>
    </row>
    <row r="25" spans="1:7" ht="15.75" x14ac:dyDescent="0.25">
      <c r="A25" s="93" t="s">
        <v>515</v>
      </c>
      <c r="B25" s="20" t="s">
        <v>157</v>
      </c>
      <c r="C25" s="20" t="s">
        <v>226</v>
      </c>
      <c r="D25" s="365">
        <f>'пр.5.1.рдпрцс 22-23'!F269</f>
        <v>2319</v>
      </c>
      <c r="E25" s="365">
        <f>'пр.5.1.рдпрцс 22-23'!G269</f>
        <v>2319</v>
      </c>
    </row>
    <row r="26" spans="1:7" ht="15.75" x14ac:dyDescent="0.25">
      <c r="A26" s="95" t="s">
        <v>244</v>
      </c>
      <c r="B26" s="20" t="s">
        <v>157</v>
      </c>
      <c r="C26" s="20" t="s">
        <v>245</v>
      </c>
      <c r="D26" s="365">
        <f>'пр.5.1.рдпрцс 22-23'!F283</f>
        <v>674.2</v>
      </c>
      <c r="E26" s="365">
        <f>'пр.5.1.рдпрцс 22-23'!G283</f>
        <v>684.8</v>
      </c>
    </row>
    <row r="27" spans="1:7" ht="15.75" x14ac:dyDescent="0.25">
      <c r="A27" s="47" t="s">
        <v>397</v>
      </c>
      <c r="B27" s="24" t="s">
        <v>241</v>
      </c>
      <c r="C27" s="24"/>
      <c r="D27" s="363">
        <f>SUM(D28:D31)</f>
        <v>42176.1</v>
      </c>
      <c r="E27" s="363">
        <f>SUM(E28:E31)</f>
        <v>50288.45</v>
      </c>
    </row>
    <row r="28" spans="1:7" ht="15.75" x14ac:dyDescent="0.25">
      <c r="A28" s="94" t="s">
        <v>398</v>
      </c>
      <c r="B28" s="20" t="s">
        <v>241</v>
      </c>
      <c r="C28" s="20" t="s">
        <v>125</v>
      </c>
      <c r="D28" s="365">
        <f>'пр.5.1.рдпрцс 22-23'!F315</f>
        <v>6060.4</v>
      </c>
      <c r="E28" s="365">
        <f>'пр.5.1.рдпрцс 22-23'!G315</f>
        <v>6060.4</v>
      </c>
    </row>
    <row r="29" spans="1:7" ht="15.75" x14ac:dyDescent="0.25">
      <c r="A29" s="94" t="s">
        <v>524</v>
      </c>
      <c r="B29" s="20" t="s">
        <v>241</v>
      </c>
      <c r="C29" s="20" t="s">
        <v>220</v>
      </c>
      <c r="D29" s="365">
        <f>'пр.5.1.рдпрцс 22-23'!F329</f>
        <v>7001.199999999998</v>
      </c>
      <c r="E29" s="365">
        <f>'пр.5.1.рдпрцс 22-23'!G329</f>
        <v>14860.550000000001</v>
      </c>
    </row>
    <row r="30" spans="1:7" ht="15.75" x14ac:dyDescent="0.25">
      <c r="A30" s="93" t="s">
        <v>548</v>
      </c>
      <c r="B30" s="20" t="s">
        <v>241</v>
      </c>
      <c r="C30" s="20" t="s">
        <v>222</v>
      </c>
      <c r="D30" s="365">
        <f>'пр.5.1.рдпрцс 22-23'!F393</f>
        <v>3810</v>
      </c>
      <c r="E30" s="365">
        <f>'пр.5.1.рдпрцс 22-23'!G393</f>
        <v>4063</v>
      </c>
    </row>
    <row r="31" spans="1:7" ht="15.75" x14ac:dyDescent="0.25">
      <c r="A31" s="25" t="s">
        <v>576</v>
      </c>
      <c r="B31" s="20" t="s">
        <v>241</v>
      </c>
      <c r="C31" s="20" t="s">
        <v>241</v>
      </c>
      <c r="D31" s="365">
        <f>'пр.5.1.рдпрцс 22-23'!F443</f>
        <v>25304.5</v>
      </c>
      <c r="E31" s="365">
        <f>'пр.5.1.рдпрцс 22-23'!G443</f>
        <v>25304.5</v>
      </c>
    </row>
    <row r="32" spans="1:7" ht="15.75" x14ac:dyDescent="0.25">
      <c r="A32" s="47" t="s">
        <v>270</v>
      </c>
      <c r="B32" s="24" t="s">
        <v>271</v>
      </c>
      <c r="C32" s="24"/>
      <c r="D32" s="363">
        <f>SUM(D33:D37)</f>
        <v>366206.80999999994</v>
      </c>
      <c r="E32" s="363">
        <f>SUM(E33:E37)</f>
        <v>389340.15999999997</v>
      </c>
      <c r="G32" s="22"/>
    </row>
    <row r="33" spans="1:7" ht="15.75" x14ac:dyDescent="0.25">
      <c r="A33" s="93" t="s">
        <v>411</v>
      </c>
      <c r="B33" s="20" t="s">
        <v>271</v>
      </c>
      <c r="C33" s="20" t="s">
        <v>125</v>
      </c>
      <c r="D33" s="365">
        <f>'пр.5.1.рдпрцс 22-23'!F479</f>
        <v>102250.3</v>
      </c>
      <c r="E33" s="365">
        <f>'пр.5.1.рдпрцс 22-23'!G479</f>
        <v>105829.20000000001</v>
      </c>
    </row>
    <row r="34" spans="1:7" ht="15.75" x14ac:dyDescent="0.25">
      <c r="A34" s="93" t="s">
        <v>432</v>
      </c>
      <c r="B34" s="20" t="s">
        <v>271</v>
      </c>
      <c r="C34" s="20" t="s">
        <v>220</v>
      </c>
      <c r="D34" s="365">
        <f>'пр.5.1.рдпрцс 22-23'!F542</f>
        <v>177341.49999999997</v>
      </c>
      <c r="E34" s="365">
        <f>'пр.5.1.рдпрцс 22-23'!G542</f>
        <v>196805.15000000002</v>
      </c>
    </row>
    <row r="35" spans="1:7" ht="15.75" x14ac:dyDescent="0.25">
      <c r="A35" s="93" t="s">
        <v>272</v>
      </c>
      <c r="B35" s="20" t="s">
        <v>271</v>
      </c>
      <c r="C35" s="20" t="s">
        <v>222</v>
      </c>
      <c r="D35" s="365">
        <f>'пр.5.1.рдпрцс 22-23'!F620</f>
        <v>60278.110000000008</v>
      </c>
      <c r="E35" s="365">
        <f>'пр.5.1.рдпрцс 22-23'!G620</f>
        <v>60303.91</v>
      </c>
    </row>
    <row r="36" spans="1:7" ht="15.75" x14ac:dyDescent="0.25">
      <c r="A36" s="93" t="s">
        <v>473</v>
      </c>
      <c r="B36" s="20" t="s">
        <v>271</v>
      </c>
      <c r="C36" s="20" t="s">
        <v>271</v>
      </c>
      <c r="D36" s="365">
        <f>'пр.5.1.рдпрцс 22-23'!F689</f>
        <v>6505.1</v>
      </c>
      <c r="E36" s="365">
        <f>'пр.5.1.рдпрцс 22-23'!G689</f>
        <v>6570.1</v>
      </c>
    </row>
    <row r="37" spans="1:7" ht="15.75" x14ac:dyDescent="0.25">
      <c r="A37" s="93" t="s">
        <v>302</v>
      </c>
      <c r="B37" s="20" t="s">
        <v>271</v>
      </c>
      <c r="C37" s="20" t="s">
        <v>226</v>
      </c>
      <c r="D37" s="365">
        <f>'пр.5.1.рдпрцс 22-23'!F714</f>
        <v>19831.8</v>
      </c>
      <c r="E37" s="365">
        <f>'пр.5.1.рдпрцс 22-23'!G714</f>
        <v>19831.8</v>
      </c>
    </row>
    <row r="38" spans="1:7" ht="15.75" x14ac:dyDescent="0.25">
      <c r="A38" s="96" t="s">
        <v>305</v>
      </c>
      <c r="B38" s="24" t="s">
        <v>306</v>
      </c>
      <c r="C38" s="20"/>
      <c r="D38" s="363">
        <f>SUM(D39:D40)</f>
        <v>76411.28</v>
      </c>
      <c r="E38" s="363">
        <f>SUM(E39:E40)</f>
        <v>77665.48</v>
      </c>
    </row>
    <row r="39" spans="1:7" ht="15.75" x14ac:dyDescent="0.25">
      <c r="A39" s="95" t="s">
        <v>307</v>
      </c>
      <c r="B39" s="20" t="s">
        <v>306</v>
      </c>
      <c r="C39" s="20" t="s">
        <v>125</v>
      </c>
      <c r="D39" s="365">
        <f>'пр.5.1.рдпрцс 22-23'!F742</f>
        <v>57844.87999999999</v>
      </c>
      <c r="E39" s="365">
        <f>'пр.5.1.рдпрцс 22-23'!G742</f>
        <v>59070.079999999994</v>
      </c>
    </row>
    <row r="40" spans="1:7" ht="15.75" x14ac:dyDescent="0.25">
      <c r="A40" s="95" t="s">
        <v>340</v>
      </c>
      <c r="B40" s="20" t="s">
        <v>306</v>
      </c>
      <c r="C40" s="20" t="s">
        <v>157</v>
      </c>
      <c r="D40" s="365">
        <f>'пр.5.1.рдпрцс 22-23'!F795</f>
        <v>18566.400000000001</v>
      </c>
      <c r="E40" s="365">
        <f>'пр.5.1.рдпрцс 22-23'!G795</f>
        <v>18595.400000000001</v>
      </c>
    </row>
    <row r="41" spans="1:7" ht="15.75" x14ac:dyDescent="0.25">
      <c r="A41" s="47" t="s">
        <v>250</v>
      </c>
      <c r="B41" s="24" t="s">
        <v>251</v>
      </c>
      <c r="C41" s="24"/>
      <c r="D41" s="363">
        <f>SUM(D42:D45)</f>
        <v>18033.41</v>
      </c>
      <c r="E41" s="363">
        <f>SUM(E42:E45)</f>
        <v>26348.010000000002</v>
      </c>
      <c r="G41" s="22"/>
    </row>
    <row r="42" spans="1:7" ht="15.75" x14ac:dyDescent="0.25">
      <c r="A42" s="93" t="s">
        <v>252</v>
      </c>
      <c r="B42" s="20" t="s">
        <v>251</v>
      </c>
      <c r="C42" s="20" t="s">
        <v>125</v>
      </c>
      <c r="D42" s="365">
        <f>'пр.5.1.рдпрцс 22-23'!F830</f>
        <v>9815.2999999999993</v>
      </c>
      <c r="E42" s="365">
        <f>'пр.5.1.рдпрцс 22-23'!G830</f>
        <v>9815.2999999999993</v>
      </c>
    </row>
    <row r="43" spans="1:7" ht="15.75" x14ac:dyDescent="0.25">
      <c r="A43" s="25" t="s">
        <v>259</v>
      </c>
      <c r="B43" s="20" t="s">
        <v>251</v>
      </c>
      <c r="C43" s="20" t="s">
        <v>222</v>
      </c>
      <c r="D43" s="365">
        <f>'пр.5.1.рдпрцс 22-23'!F836</f>
        <v>2011.6100000000001</v>
      </c>
      <c r="E43" s="365">
        <f>'пр.5.1.рдпрцс 22-23'!G836</f>
        <v>2036.1100000000001</v>
      </c>
    </row>
    <row r="44" spans="1:7" s="202" customFormat="1" ht="15.75" x14ac:dyDescent="0.25">
      <c r="A44" s="25" t="s">
        <v>407</v>
      </c>
      <c r="B44" s="20" t="s">
        <v>251</v>
      </c>
      <c r="C44" s="20" t="s">
        <v>157</v>
      </c>
      <c r="D44" s="365">
        <f>'пр.5.1.рдпрцс 22-23'!F867</f>
        <v>2469.1</v>
      </c>
      <c r="E44" s="365">
        <f>'пр.5.1.рдпрцс 22-23'!G867</f>
        <v>10803.2</v>
      </c>
    </row>
    <row r="45" spans="1:7" ht="15.75" x14ac:dyDescent="0.25">
      <c r="A45" s="25" t="s">
        <v>265</v>
      </c>
      <c r="B45" s="20" t="s">
        <v>251</v>
      </c>
      <c r="C45" s="20" t="s">
        <v>127</v>
      </c>
      <c r="D45" s="365">
        <f>'пр.5.1.рдпрцс 22-23'!F872</f>
        <v>3737.4</v>
      </c>
      <c r="E45" s="365">
        <f>'пр.5.1.рдпрцс 22-23'!G872</f>
        <v>3693.4</v>
      </c>
    </row>
    <row r="46" spans="1:7" ht="15.75" x14ac:dyDescent="0.25">
      <c r="A46" s="96" t="s">
        <v>497</v>
      </c>
      <c r="B46" s="24" t="s">
        <v>498</v>
      </c>
      <c r="C46" s="20"/>
      <c r="D46" s="363">
        <f>SUM(D47:D48)</f>
        <v>63981.399999999994</v>
      </c>
      <c r="E46" s="363">
        <f>SUM(E47:E48)</f>
        <v>64012.600000000006</v>
      </c>
      <c r="G46" s="22"/>
    </row>
    <row r="47" spans="1:7" ht="15.75" x14ac:dyDescent="0.25">
      <c r="A47" s="95" t="s">
        <v>499</v>
      </c>
      <c r="B47" s="20" t="s">
        <v>498</v>
      </c>
      <c r="C47" s="20" t="s">
        <v>125</v>
      </c>
      <c r="D47" s="365">
        <f>'пр.5.1.рдпрцс 22-23'!F886</f>
        <v>50452.2</v>
      </c>
      <c r="E47" s="365">
        <f>'пр.5.1.рдпрцс 22-23'!G886</f>
        <v>50483.4</v>
      </c>
    </row>
    <row r="48" spans="1:7" ht="15.75" x14ac:dyDescent="0.25">
      <c r="A48" s="95" t="s">
        <v>507</v>
      </c>
      <c r="B48" s="20" t="s">
        <v>498</v>
      </c>
      <c r="C48" s="20" t="s">
        <v>241</v>
      </c>
      <c r="D48" s="365">
        <f>'пр.5.1.рдпрцс 22-23'!F923</f>
        <v>13529.2</v>
      </c>
      <c r="E48" s="365">
        <f>'пр.5.1.рдпрцс 22-23'!G923</f>
        <v>13529.2</v>
      </c>
    </row>
    <row r="49" spans="1:7" ht="15.75" x14ac:dyDescent="0.25">
      <c r="A49" s="19" t="s">
        <v>589</v>
      </c>
      <c r="B49" s="24" t="s">
        <v>245</v>
      </c>
      <c r="C49" s="20"/>
      <c r="D49" s="363">
        <f>D50</f>
        <v>5873.2</v>
      </c>
      <c r="E49" s="363">
        <f>E50</f>
        <v>5876.2</v>
      </c>
    </row>
    <row r="50" spans="1:7" ht="15.75" x14ac:dyDescent="0.25">
      <c r="A50" s="31" t="s">
        <v>590</v>
      </c>
      <c r="B50" s="20" t="s">
        <v>245</v>
      </c>
      <c r="C50" s="20" t="s">
        <v>220</v>
      </c>
      <c r="D50" s="365">
        <f>'пр.5.1.рдпрцс 22-23'!F952</f>
        <v>5873.2</v>
      </c>
      <c r="E50" s="365">
        <f>'пр.5.1.рдпрцс 22-23'!G952</f>
        <v>5876.2</v>
      </c>
    </row>
    <row r="51" spans="1:7" ht="15.75" x14ac:dyDescent="0.25">
      <c r="A51" s="92" t="s">
        <v>686</v>
      </c>
      <c r="B51" s="24"/>
      <c r="C51" s="24"/>
      <c r="D51" s="363">
        <f>D11+D20+D22+D27+D32+D38+D41+D46+D49+D10</f>
        <v>736670.60250000004</v>
      </c>
      <c r="E51" s="363">
        <f>E11+E20+E22+E27+E32+E38+E41+E46+E49+E10</f>
        <v>777657.39999999991</v>
      </c>
      <c r="G51" s="22"/>
    </row>
    <row r="52" spans="1:7" x14ac:dyDescent="0.25">
      <c r="D52" s="22">
        <f>'пр.5.1.рдпрцс 22-23'!F970</f>
        <v>736670.60250000004</v>
      </c>
      <c r="E52" s="22">
        <f>'пр.5.1.рдпрцс 22-23'!G970</f>
        <v>777657.39999999991</v>
      </c>
    </row>
    <row r="53" spans="1:7" hidden="1" x14ac:dyDescent="0.25">
      <c r="D53" s="22">
        <f>'Пр.1.1. дох.22-23'!C155</f>
        <v>736280.6</v>
      </c>
      <c r="E53" s="22">
        <f>'Пр.1.1. дох.22-23'!D155</f>
        <v>777267.39999999991</v>
      </c>
    </row>
    <row r="54" spans="1:7" hidden="1" x14ac:dyDescent="0.25"/>
    <row r="55" spans="1:7" hidden="1" x14ac:dyDescent="0.25">
      <c r="D55" s="22">
        <f>D53-D51</f>
        <v>-390.00250000006054</v>
      </c>
      <c r="E55" s="22">
        <f>E53-E51</f>
        <v>-390</v>
      </c>
    </row>
    <row r="56" spans="1:7" ht="15.6" hidden="1" customHeight="1" x14ac:dyDescent="0.25">
      <c r="D56" s="22">
        <f>'пр.6.1.ведом.22-23'!G1094</f>
        <v>736670.59999999986</v>
      </c>
      <c r="E56" s="22">
        <f>'пр.6.1.ведом.22-23'!H1094</f>
        <v>777657.39999999991</v>
      </c>
    </row>
    <row r="57" spans="1:7" hidden="1" x14ac:dyDescent="0.25"/>
    <row r="58" spans="1:7" hidden="1" x14ac:dyDescent="0.25">
      <c r="D58" s="22">
        <f>D56-D51</f>
        <v>-2.5000001769512892E-3</v>
      </c>
      <c r="E58" s="22">
        <f>E56-E51</f>
        <v>0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7" zoomScaleNormal="100" zoomScaleSheetLayoutView="100" workbookViewId="0">
      <selection activeCell="H13" sqref="H13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22" customWidth="1"/>
    <col min="5" max="5" width="14.140625" customWidth="1"/>
    <col min="6" max="6" width="9.140625" style="22"/>
  </cols>
  <sheetData>
    <row r="1" spans="1:8" ht="15.75" x14ac:dyDescent="0.25">
      <c r="A1" s="11"/>
      <c r="D1" s="486"/>
      <c r="E1" s="418" t="s">
        <v>1605</v>
      </c>
      <c r="F1" s="418"/>
      <c r="G1" s="413"/>
    </row>
    <row r="2" spans="1:8" ht="15.75" x14ac:dyDescent="0.25">
      <c r="A2" s="11"/>
      <c r="D2" s="462" t="s">
        <v>1648</v>
      </c>
      <c r="E2" s="462"/>
      <c r="F2" s="462"/>
      <c r="G2" s="413"/>
    </row>
    <row r="3" spans="1:8" s="202" customFormat="1" ht="15.75" x14ac:dyDescent="0.25">
      <c r="A3" s="11"/>
      <c r="D3" s="486"/>
      <c r="E3" s="488" t="s">
        <v>1646</v>
      </c>
      <c r="F3" s="488"/>
      <c r="G3" s="489"/>
      <c r="H3" s="488"/>
    </row>
    <row r="4" spans="1:8" s="202" customFormat="1" ht="15.75" x14ac:dyDescent="0.25">
      <c r="A4" s="11"/>
      <c r="D4" s="490" t="s">
        <v>1647</v>
      </c>
      <c r="E4" s="490"/>
      <c r="F4" s="490"/>
      <c r="G4" s="413"/>
    </row>
    <row r="5" spans="1:8" ht="18.75" customHeight="1" x14ac:dyDescent="0.25">
      <c r="A5" s="11"/>
      <c r="D5" s="486"/>
      <c r="E5" s="418" t="s">
        <v>1645</v>
      </c>
      <c r="F5" s="418"/>
      <c r="G5" s="413"/>
    </row>
    <row r="6" spans="1:8" s="202" customFormat="1" ht="12.2" customHeight="1" x14ac:dyDescent="0.3">
      <c r="A6" s="11"/>
      <c r="B6" s="154"/>
      <c r="C6" s="11"/>
      <c r="D6" s="418"/>
      <c r="E6" s="487"/>
      <c r="F6" s="486"/>
    </row>
    <row r="7" spans="1:8" ht="15.75" x14ac:dyDescent="0.25">
      <c r="A7" s="467" t="s">
        <v>1611</v>
      </c>
      <c r="B7" s="467"/>
      <c r="C7" s="467"/>
      <c r="D7" s="467"/>
      <c r="E7" s="467"/>
      <c r="F7" s="467"/>
    </row>
    <row r="8" spans="1:8" ht="15.75" x14ac:dyDescent="0.25">
      <c r="A8" s="467" t="s">
        <v>1149</v>
      </c>
      <c r="B8" s="467"/>
      <c r="C8" s="467"/>
      <c r="D8" s="467"/>
      <c r="E8" s="467"/>
      <c r="F8" s="467"/>
    </row>
    <row r="9" spans="1:8" ht="15.75" x14ac:dyDescent="0.25">
      <c r="A9" s="467" t="s">
        <v>1612</v>
      </c>
      <c r="B9" s="467"/>
      <c r="C9" s="467"/>
      <c r="D9" s="467"/>
      <c r="E9" s="467"/>
      <c r="F9" s="467"/>
    </row>
    <row r="10" spans="1:8" x14ac:dyDescent="0.25">
      <c r="B10" s="90"/>
      <c r="C10" s="90"/>
      <c r="E10" s="361"/>
    </row>
    <row r="11" spans="1:8" ht="66.2" customHeight="1" x14ac:dyDescent="0.25">
      <c r="A11" s="91" t="s">
        <v>683</v>
      </c>
      <c r="B11" s="91" t="s">
        <v>684</v>
      </c>
      <c r="C11" s="91" t="s">
        <v>685</v>
      </c>
      <c r="D11" s="362" t="s">
        <v>1602</v>
      </c>
      <c r="E11" s="362" t="s">
        <v>1615</v>
      </c>
      <c r="F11" s="439" t="s">
        <v>1604</v>
      </c>
    </row>
    <row r="12" spans="1:8" ht="15.75" x14ac:dyDescent="0.25">
      <c r="A12" s="47" t="s">
        <v>124</v>
      </c>
      <c r="B12" s="24" t="s">
        <v>125</v>
      </c>
      <c r="C12" s="92"/>
      <c r="D12" s="363">
        <f>SUM(D13:D19)</f>
        <v>150269.04999999999</v>
      </c>
      <c r="E12" s="363">
        <f>SUM(E13:E19)</f>
        <v>29212.43</v>
      </c>
      <c r="F12" s="440">
        <f>E12/D12*100</f>
        <v>19.440084302123424</v>
      </c>
    </row>
    <row r="13" spans="1:8" ht="31.5" x14ac:dyDescent="0.25">
      <c r="A13" s="31" t="s">
        <v>582</v>
      </c>
      <c r="B13" s="20" t="s">
        <v>125</v>
      </c>
      <c r="C13" s="20" t="s">
        <v>220</v>
      </c>
      <c r="D13" s="27">
        <f>'Пр.3 Рд,пр, ЦС,ВР 21'!F11</f>
        <v>4867.3999999999996</v>
      </c>
      <c r="E13" s="27">
        <f>'Пр.3 Рд,пр, ЦС,ВР 21'!G11</f>
        <v>1303.384</v>
      </c>
      <c r="F13" s="416">
        <f t="shared" ref="F13:F53" si="0">E13/D13*100</f>
        <v>26.777827998520777</v>
      </c>
    </row>
    <row r="14" spans="1:8" ht="47.25" x14ac:dyDescent="0.25">
      <c r="A14" s="31" t="s">
        <v>585</v>
      </c>
      <c r="B14" s="20" t="s">
        <v>125</v>
      </c>
      <c r="C14" s="20" t="s">
        <v>222</v>
      </c>
      <c r="D14" s="27">
        <f>'Пр.3 Рд,пр, ЦС,ВР 21'!F27</f>
        <v>5488</v>
      </c>
      <c r="E14" s="27">
        <f>'Пр.3 Рд,пр, ЦС,ВР 21'!G27</f>
        <v>1573.2810000000002</v>
      </c>
      <c r="F14" s="416">
        <f t="shared" si="0"/>
        <v>28.667656705539361</v>
      </c>
    </row>
    <row r="15" spans="1:8" ht="47.25" x14ac:dyDescent="0.25">
      <c r="A15" s="25" t="s">
        <v>156</v>
      </c>
      <c r="B15" s="20" t="s">
        <v>125</v>
      </c>
      <c r="C15" s="20" t="s">
        <v>157</v>
      </c>
      <c r="D15" s="27">
        <f>'Пр.3 Рд,пр, ЦС,ВР 21'!F43</f>
        <v>69420.89</v>
      </c>
      <c r="E15" s="27">
        <f>'Пр.3 Рд,пр, ЦС,ВР 21'!G43</f>
        <v>13835.947</v>
      </c>
      <c r="F15" s="416">
        <f t="shared" si="0"/>
        <v>19.930523794782808</v>
      </c>
    </row>
    <row r="16" spans="1:8" ht="31.5" x14ac:dyDescent="0.25">
      <c r="A16" s="25" t="s">
        <v>126</v>
      </c>
      <c r="B16" s="20" t="s">
        <v>125</v>
      </c>
      <c r="C16" s="20" t="s">
        <v>127</v>
      </c>
      <c r="D16" s="27">
        <f>'Пр.3 Рд,пр, ЦС,ВР 21'!F104</f>
        <v>16636.7</v>
      </c>
      <c r="E16" s="27">
        <f>'Пр.3 Рд,пр, ЦС,ВР 21'!G104</f>
        <v>3525.181</v>
      </c>
      <c r="F16" s="416">
        <f t="shared" si="0"/>
        <v>21.189184153107284</v>
      </c>
    </row>
    <row r="17" spans="1:6" s="202" customFormat="1" ht="15.75" hidden="1" x14ac:dyDescent="0.25">
      <c r="A17" s="25" t="s">
        <v>1161</v>
      </c>
      <c r="B17" s="20" t="s">
        <v>125</v>
      </c>
      <c r="C17" s="20" t="s">
        <v>271</v>
      </c>
      <c r="D17" s="27">
        <f>'Пр.3 Рд,пр, ЦС,ВР 21'!F126</f>
        <v>0</v>
      </c>
      <c r="E17" s="27">
        <f>'Пр.3 Рд,пр, ЦС,ВР 21'!G126</f>
        <v>0</v>
      </c>
      <c r="F17" s="416" t="e">
        <f t="shared" si="0"/>
        <v>#DIV/0!</v>
      </c>
    </row>
    <row r="18" spans="1:6" s="202" customFormat="1" ht="15.75" x14ac:dyDescent="0.25">
      <c r="A18" s="25" t="s">
        <v>1424</v>
      </c>
      <c r="B18" s="20" t="s">
        <v>125</v>
      </c>
      <c r="C18" s="20" t="s">
        <v>498</v>
      </c>
      <c r="D18" s="27">
        <f>'Пр.3 Рд,пр, ЦС,ВР 21'!F134</f>
        <v>50</v>
      </c>
      <c r="E18" s="27">
        <f>'Пр.3 Рд,пр, ЦС,ВР 21'!G134</f>
        <v>0</v>
      </c>
      <c r="F18" s="416">
        <f t="shared" si="0"/>
        <v>0</v>
      </c>
    </row>
    <row r="19" spans="1:6" ht="15.75" x14ac:dyDescent="0.25">
      <c r="A19" s="93" t="s">
        <v>146</v>
      </c>
      <c r="B19" s="20" t="s">
        <v>125</v>
      </c>
      <c r="C19" s="20" t="s">
        <v>147</v>
      </c>
      <c r="D19" s="27">
        <f>'Пр.3 Рд,пр, ЦС,ВР 21'!F140</f>
        <v>53806.060000000005</v>
      </c>
      <c r="E19" s="27">
        <f>'Пр.3 Рд,пр, ЦС,ВР 21'!G140</f>
        <v>8974.6369999999988</v>
      </c>
      <c r="F19" s="416">
        <f t="shared" si="0"/>
        <v>16.679602632119874</v>
      </c>
    </row>
    <row r="20" spans="1:6" ht="15.75" hidden="1" x14ac:dyDescent="0.25">
      <c r="A20" s="19" t="s">
        <v>219</v>
      </c>
      <c r="B20" s="24" t="s">
        <v>220</v>
      </c>
      <c r="C20" s="20"/>
      <c r="D20" s="44">
        <f t="shared" ref="D20:E20" si="1">D21</f>
        <v>0</v>
      </c>
      <c r="E20" s="44">
        <f t="shared" si="1"/>
        <v>0</v>
      </c>
      <c r="F20" s="416" t="e">
        <f t="shared" si="0"/>
        <v>#DIV/0!</v>
      </c>
    </row>
    <row r="21" spans="1:6" ht="15.75" hidden="1" x14ac:dyDescent="0.25">
      <c r="A21" s="25" t="s">
        <v>225</v>
      </c>
      <c r="B21" s="20" t="s">
        <v>220</v>
      </c>
      <c r="C21" s="20" t="s">
        <v>226</v>
      </c>
      <c r="D21" s="27"/>
      <c r="E21" s="27"/>
      <c r="F21" s="416" t="e">
        <f t="shared" si="0"/>
        <v>#DIV/0!</v>
      </c>
    </row>
    <row r="22" spans="1:6" ht="18" customHeight="1" x14ac:dyDescent="0.25">
      <c r="A22" s="34" t="s">
        <v>229</v>
      </c>
      <c r="B22" s="24" t="s">
        <v>222</v>
      </c>
      <c r="C22" s="24"/>
      <c r="D22" s="44">
        <f t="shared" ref="D22:E22" si="2">D23</f>
        <v>8197.1</v>
      </c>
      <c r="E22" s="44">
        <f t="shared" si="2"/>
        <v>1399.7279999999998</v>
      </c>
      <c r="F22" s="441">
        <f t="shared" si="0"/>
        <v>17.075892693757545</v>
      </c>
    </row>
    <row r="23" spans="1:6" ht="31.5" x14ac:dyDescent="0.25">
      <c r="A23" s="31" t="s">
        <v>1362</v>
      </c>
      <c r="B23" s="20" t="s">
        <v>222</v>
      </c>
      <c r="C23" s="20" t="s">
        <v>251</v>
      </c>
      <c r="D23" s="27">
        <f>'Пр.3 Рд,пр, ЦС,ВР 21'!F224</f>
        <v>8197.1</v>
      </c>
      <c r="E23" s="27">
        <f>'Пр.3 Рд,пр, ЦС,ВР 21'!G224</f>
        <v>1399.7279999999998</v>
      </c>
      <c r="F23" s="416">
        <f t="shared" si="0"/>
        <v>17.075892693757545</v>
      </c>
    </row>
    <row r="24" spans="1:6" ht="15.75" x14ac:dyDescent="0.25">
      <c r="A24" s="47" t="s">
        <v>239</v>
      </c>
      <c r="B24" s="24" t="s">
        <v>157</v>
      </c>
      <c r="C24" s="24"/>
      <c r="D24" s="44">
        <f t="shared" ref="D24:E24" si="3">D25+D26+D27+D28</f>
        <v>6473.8</v>
      </c>
      <c r="E24" s="44">
        <f t="shared" si="3"/>
        <v>1119.4370000000001</v>
      </c>
      <c r="F24" s="441">
        <f t="shared" si="0"/>
        <v>17.291806975810189</v>
      </c>
    </row>
    <row r="25" spans="1:6" ht="15.75" x14ac:dyDescent="0.25">
      <c r="A25" s="94" t="s">
        <v>240</v>
      </c>
      <c r="B25" s="20" t="s">
        <v>157</v>
      </c>
      <c r="C25" s="20" t="s">
        <v>241</v>
      </c>
      <c r="D25" s="27">
        <f>'Пр.3 Рд,пр, ЦС,ВР 21'!F243</f>
        <v>274</v>
      </c>
      <c r="E25" s="27">
        <f>'Пр.3 Рд,пр, ЦС,ВР 21'!G243</f>
        <v>0</v>
      </c>
      <c r="F25" s="416">
        <f t="shared" si="0"/>
        <v>0</v>
      </c>
    </row>
    <row r="26" spans="1:6" ht="15.75" x14ac:dyDescent="0.25">
      <c r="A26" s="93" t="s">
        <v>512</v>
      </c>
      <c r="B26" s="20" t="s">
        <v>157</v>
      </c>
      <c r="C26" s="20" t="s">
        <v>306</v>
      </c>
      <c r="D26" s="27">
        <f>'Пр.3 Рд,пр, ЦС,ВР 21'!F253</f>
        <v>3258</v>
      </c>
      <c r="E26" s="27">
        <f>'Пр.3 Рд,пр, ЦС,ВР 21'!G253</f>
        <v>533.38400000000001</v>
      </c>
      <c r="F26" s="416">
        <f t="shared" si="0"/>
        <v>16.371516267648865</v>
      </c>
    </row>
    <row r="27" spans="1:6" ht="15.75" x14ac:dyDescent="0.25">
      <c r="A27" s="93" t="s">
        <v>515</v>
      </c>
      <c r="B27" s="20" t="s">
        <v>157</v>
      </c>
      <c r="C27" s="20" t="s">
        <v>226</v>
      </c>
      <c r="D27" s="27">
        <f>'Пр.3 Рд,пр, ЦС,ВР 21'!F259</f>
        <v>2319</v>
      </c>
      <c r="E27" s="27">
        <f>'Пр.3 Рд,пр, ЦС,ВР 21'!G259</f>
        <v>544.15300000000002</v>
      </c>
      <c r="F27" s="416">
        <f t="shared" si="0"/>
        <v>23.464984907287626</v>
      </c>
    </row>
    <row r="28" spans="1:6" ht="15.75" x14ac:dyDescent="0.25">
      <c r="A28" s="95" t="s">
        <v>244</v>
      </c>
      <c r="B28" s="20" t="s">
        <v>157</v>
      </c>
      <c r="C28" s="20" t="s">
        <v>245</v>
      </c>
      <c r="D28" s="27">
        <f>'Пр.3 Рд,пр, ЦС,ВР 21'!F273</f>
        <v>622.79999999999995</v>
      </c>
      <c r="E28" s="27">
        <f>'Пр.3 Рд,пр, ЦС,ВР 21'!G273</f>
        <v>41.9</v>
      </c>
      <c r="F28" s="416">
        <f t="shared" si="0"/>
        <v>6.7276814386640975</v>
      </c>
    </row>
    <row r="29" spans="1:6" ht="15.75" x14ac:dyDescent="0.25">
      <c r="A29" s="47" t="s">
        <v>397</v>
      </c>
      <c r="B29" s="24" t="s">
        <v>241</v>
      </c>
      <c r="C29" s="24"/>
      <c r="D29" s="44">
        <f t="shared" ref="D29:E29" si="4">SUM(D30:D33)</f>
        <v>69787.11</v>
      </c>
      <c r="E29" s="44">
        <f t="shared" si="4"/>
        <v>7564.2820000000002</v>
      </c>
      <c r="F29" s="441">
        <f t="shared" si="0"/>
        <v>10.839081887758356</v>
      </c>
    </row>
    <row r="30" spans="1:6" ht="15.75" x14ac:dyDescent="0.25">
      <c r="A30" s="94" t="s">
        <v>398</v>
      </c>
      <c r="B30" s="20" t="s">
        <v>241</v>
      </c>
      <c r="C30" s="20" t="s">
        <v>125</v>
      </c>
      <c r="D30" s="27">
        <f>'Пр.3 Рд,пр, ЦС,ВР 21'!F305</f>
        <v>6060.4</v>
      </c>
      <c r="E30" s="27">
        <f>'Пр.3 Рд,пр, ЦС,ВР 21'!G305</f>
        <v>962.24800000000005</v>
      </c>
      <c r="F30" s="416">
        <f t="shared" si="0"/>
        <v>15.877631839482545</v>
      </c>
    </row>
    <row r="31" spans="1:6" ht="15.75" x14ac:dyDescent="0.25">
      <c r="A31" s="94" t="s">
        <v>524</v>
      </c>
      <c r="B31" s="20" t="s">
        <v>241</v>
      </c>
      <c r="C31" s="20" t="s">
        <v>220</v>
      </c>
      <c r="D31" s="27">
        <f>'Пр.3 Рд,пр, ЦС,ВР 21'!F319</f>
        <v>6788.01</v>
      </c>
      <c r="E31" s="27">
        <f>'Пр.3 Рд,пр, ЦС,ВР 21'!G319</f>
        <v>566.95100000000002</v>
      </c>
      <c r="F31" s="416">
        <f t="shared" si="0"/>
        <v>8.3522416731855138</v>
      </c>
    </row>
    <row r="32" spans="1:6" ht="15.75" x14ac:dyDescent="0.25">
      <c r="A32" s="93" t="s">
        <v>548</v>
      </c>
      <c r="B32" s="20" t="s">
        <v>241</v>
      </c>
      <c r="C32" s="20" t="s">
        <v>222</v>
      </c>
      <c r="D32" s="27">
        <f>'Пр.3 Рд,пр, ЦС,ВР 21'!F384</f>
        <v>27134.2</v>
      </c>
      <c r="E32" s="27">
        <f>'Пр.3 Рд,пр, ЦС,ВР 21'!G384</f>
        <v>421.90800000000002</v>
      </c>
      <c r="F32" s="416">
        <f t="shared" si="0"/>
        <v>1.5548938240301906</v>
      </c>
    </row>
    <row r="33" spans="1:6" ht="15.75" x14ac:dyDescent="0.25">
      <c r="A33" s="25" t="s">
        <v>576</v>
      </c>
      <c r="B33" s="20" t="s">
        <v>241</v>
      </c>
      <c r="C33" s="20" t="s">
        <v>241</v>
      </c>
      <c r="D33" s="27">
        <f>'Пр.3 Рд,пр, ЦС,ВР 21'!F434</f>
        <v>29804.5</v>
      </c>
      <c r="E33" s="27">
        <f>'Пр.3 Рд,пр, ЦС,ВР 21'!G434</f>
        <v>5613.1750000000002</v>
      </c>
      <c r="F33" s="416">
        <f t="shared" si="0"/>
        <v>18.833313761344765</v>
      </c>
    </row>
    <row r="34" spans="1:6" ht="15.75" x14ac:dyDescent="0.25">
      <c r="A34" s="47" t="s">
        <v>270</v>
      </c>
      <c r="B34" s="24" t="s">
        <v>271</v>
      </c>
      <c r="C34" s="24"/>
      <c r="D34" s="44">
        <f t="shared" ref="D34:E34" si="5">SUM(D35:D39)</f>
        <v>406385.67</v>
      </c>
      <c r="E34" s="44">
        <f t="shared" si="5"/>
        <v>92526.801999999996</v>
      </c>
      <c r="F34" s="441">
        <f t="shared" si="0"/>
        <v>22.768224578391262</v>
      </c>
    </row>
    <row r="35" spans="1:6" ht="15.75" x14ac:dyDescent="0.25">
      <c r="A35" s="93" t="s">
        <v>411</v>
      </c>
      <c r="B35" s="20" t="s">
        <v>271</v>
      </c>
      <c r="C35" s="20" t="s">
        <v>125</v>
      </c>
      <c r="D35" s="27">
        <f>'Пр.3 Рд,пр, ЦС,ВР 21'!F472</f>
        <v>122150.90000000002</v>
      </c>
      <c r="E35" s="27">
        <f>'Пр.3 Рд,пр, ЦС,ВР 21'!G472</f>
        <v>30514.512999999999</v>
      </c>
      <c r="F35" s="416">
        <f t="shared" si="0"/>
        <v>24.980997274682377</v>
      </c>
    </row>
    <row r="36" spans="1:6" ht="15.75" x14ac:dyDescent="0.25">
      <c r="A36" s="93" t="s">
        <v>432</v>
      </c>
      <c r="B36" s="20" t="s">
        <v>271</v>
      </c>
      <c r="C36" s="20" t="s">
        <v>220</v>
      </c>
      <c r="D36" s="27">
        <f>'Пр.3 Рд,пр, ЦС,ВР 21'!F529</f>
        <v>197509.1</v>
      </c>
      <c r="E36" s="27">
        <f>'Пр.3 Рд,пр, ЦС,ВР 21'!G529</f>
        <v>44278.339</v>
      </c>
      <c r="F36" s="416">
        <f t="shared" si="0"/>
        <v>22.418379203793648</v>
      </c>
    </row>
    <row r="37" spans="1:6" ht="15.75" x14ac:dyDescent="0.25">
      <c r="A37" s="93" t="s">
        <v>272</v>
      </c>
      <c r="B37" s="20" t="s">
        <v>271</v>
      </c>
      <c r="C37" s="20" t="s">
        <v>222</v>
      </c>
      <c r="D37" s="27">
        <f>'Пр.3 Рд,пр, ЦС,ВР 21'!F612</f>
        <v>60572.770000000004</v>
      </c>
      <c r="E37" s="27">
        <f>'Пр.3 Рд,пр, ЦС,ВР 21'!G612</f>
        <v>13247.668999999998</v>
      </c>
      <c r="F37" s="416">
        <f t="shared" si="0"/>
        <v>21.87066729819356</v>
      </c>
    </row>
    <row r="38" spans="1:6" ht="15.75" x14ac:dyDescent="0.25">
      <c r="A38" s="93" t="s">
        <v>473</v>
      </c>
      <c r="B38" s="20" t="s">
        <v>271</v>
      </c>
      <c r="C38" s="20" t="s">
        <v>271</v>
      </c>
      <c r="D38" s="27">
        <f>'Пр.3 Рд,пр, ЦС,ВР 21'!F687</f>
        <v>6321.1</v>
      </c>
      <c r="E38" s="27">
        <f>'Пр.3 Рд,пр, ЦС,ВР 21'!G687</f>
        <v>148.316</v>
      </c>
      <c r="F38" s="416">
        <f t="shared" si="0"/>
        <v>2.3463637658002563</v>
      </c>
    </row>
    <row r="39" spans="1:6" ht="15.75" x14ac:dyDescent="0.25">
      <c r="A39" s="93" t="s">
        <v>302</v>
      </c>
      <c r="B39" s="20" t="s">
        <v>271</v>
      </c>
      <c r="C39" s="20" t="s">
        <v>226</v>
      </c>
      <c r="D39" s="27">
        <f>'Пр.3 Рд,пр, ЦС,ВР 21'!F712</f>
        <v>19831.8</v>
      </c>
      <c r="E39" s="27">
        <f>'Пр.3 Рд,пр, ЦС,ВР 21'!G712</f>
        <v>4337.9649999999992</v>
      </c>
      <c r="F39" s="416">
        <f t="shared" si="0"/>
        <v>21.873783519398135</v>
      </c>
    </row>
    <row r="40" spans="1:6" ht="15.75" x14ac:dyDescent="0.25">
      <c r="A40" s="96" t="s">
        <v>305</v>
      </c>
      <c r="B40" s="24" t="s">
        <v>306</v>
      </c>
      <c r="C40" s="20"/>
      <c r="D40" s="44">
        <f t="shared" ref="D40:E40" si="6">D41+D42</f>
        <v>77139.37</v>
      </c>
      <c r="E40" s="44">
        <f t="shared" si="6"/>
        <v>16017.284</v>
      </c>
      <c r="F40" s="441">
        <f t="shared" si="0"/>
        <v>20.764084539451126</v>
      </c>
    </row>
    <row r="41" spans="1:6" ht="15.75" x14ac:dyDescent="0.25">
      <c r="A41" s="95" t="s">
        <v>307</v>
      </c>
      <c r="B41" s="20" t="s">
        <v>306</v>
      </c>
      <c r="C41" s="20" t="s">
        <v>125</v>
      </c>
      <c r="D41" s="27">
        <f>'Пр.3 Рд,пр, ЦС,ВР 21'!F740</f>
        <v>58628.969999999994</v>
      </c>
      <c r="E41" s="27">
        <f>'Пр.3 Рд,пр, ЦС,ВР 21'!G740</f>
        <v>11574.496999999999</v>
      </c>
      <c r="F41" s="416">
        <f t="shared" si="0"/>
        <v>19.741941569159412</v>
      </c>
    </row>
    <row r="42" spans="1:6" ht="15.75" x14ac:dyDescent="0.25">
      <c r="A42" s="95" t="s">
        <v>340</v>
      </c>
      <c r="B42" s="20" t="s">
        <v>306</v>
      </c>
      <c r="C42" s="20" t="s">
        <v>157</v>
      </c>
      <c r="D42" s="27">
        <f>'Пр.3 Рд,пр, ЦС,ВР 21'!F796</f>
        <v>18510.400000000001</v>
      </c>
      <c r="E42" s="27">
        <f>'Пр.3 Рд,пр, ЦС,ВР 21'!G796</f>
        <v>4442.7870000000003</v>
      </c>
      <c r="F42" s="416">
        <f t="shared" si="0"/>
        <v>24.001572089203908</v>
      </c>
    </row>
    <row r="43" spans="1:6" ht="15.75" x14ac:dyDescent="0.25">
      <c r="A43" s="47" t="s">
        <v>250</v>
      </c>
      <c r="B43" s="24" t="s">
        <v>251</v>
      </c>
      <c r="C43" s="24"/>
      <c r="D43" s="44">
        <f>SUM(D44:D47)</f>
        <v>17213.900000000001</v>
      </c>
      <c r="E43" s="44">
        <f>SUM(E44:E47)</f>
        <v>3291.0650000000001</v>
      </c>
      <c r="F43" s="441">
        <f t="shared" si="0"/>
        <v>19.118648301663193</v>
      </c>
    </row>
    <row r="44" spans="1:6" ht="15.75" x14ac:dyDescent="0.25">
      <c r="A44" s="93" t="s">
        <v>252</v>
      </c>
      <c r="B44" s="20" t="s">
        <v>251</v>
      </c>
      <c r="C44" s="20" t="s">
        <v>125</v>
      </c>
      <c r="D44" s="27">
        <f>'Пр.3 Рд,пр, ЦС,ВР 21'!F831</f>
        <v>9815.2999999999993</v>
      </c>
      <c r="E44" s="27">
        <f>'Пр.3 Рд,пр, ЦС,ВР 21'!G831</f>
        <v>2663.7150000000001</v>
      </c>
      <c r="F44" s="416">
        <f t="shared" si="0"/>
        <v>27.138396177396519</v>
      </c>
    </row>
    <row r="45" spans="1:6" ht="15.75" x14ac:dyDescent="0.25">
      <c r="A45" s="25" t="s">
        <v>259</v>
      </c>
      <c r="B45" s="20" t="s">
        <v>251</v>
      </c>
      <c r="C45" s="20" t="s">
        <v>222</v>
      </c>
      <c r="D45" s="27">
        <f>'Пр.3 Рд,пр, ЦС,ВР 21'!F837</f>
        <v>1717</v>
      </c>
      <c r="E45" s="27">
        <f>'Пр.3 Рд,пр, ЦС,ВР 21'!G837</f>
        <v>208.893</v>
      </c>
      <c r="F45" s="416">
        <f t="shared" si="0"/>
        <v>12.166161910308677</v>
      </c>
    </row>
    <row r="46" spans="1:6" s="202" customFormat="1" ht="15.75" x14ac:dyDescent="0.25">
      <c r="A46" s="25" t="s">
        <v>407</v>
      </c>
      <c r="B46" s="20" t="s">
        <v>251</v>
      </c>
      <c r="C46" s="20" t="s">
        <v>157</v>
      </c>
      <c r="D46" s="27">
        <f>'Пр.3 Рд,пр, ЦС,ВР 21'!F864</f>
        <v>1975.4</v>
      </c>
      <c r="E46" s="27">
        <f>'Пр.3 Рд,пр, ЦС,ВР 21'!G864</f>
        <v>0</v>
      </c>
      <c r="F46" s="416">
        <f t="shared" si="0"/>
        <v>0</v>
      </c>
    </row>
    <row r="47" spans="1:6" ht="15.75" x14ac:dyDescent="0.25">
      <c r="A47" s="25" t="s">
        <v>265</v>
      </c>
      <c r="B47" s="20" t="s">
        <v>251</v>
      </c>
      <c r="C47" s="20" t="s">
        <v>127</v>
      </c>
      <c r="D47" s="27">
        <f>'Пр.3 Рд,пр, ЦС,ВР 21'!F869</f>
        <v>3706.2000000000007</v>
      </c>
      <c r="E47" s="27">
        <f>'Пр.3 Рд,пр, ЦС,ВР 21'!G869</f>
        <v>418.45699999999999</v>
      </c>
      <c r="F47" s="416">
        <f t="shared" si="0"/>
        <v>11.290729048621227</v>
      </c>
    </row>
    <row r="48" spans="1:6" ht="15.75" x14ac:dyDescent="0.25">
      <c r="A48" s="96" t="s">
        <v>497</v>
      </c>
      <c r="B48" s="24" t="s">
        <v>498</v>
      </c>
      <c r="C48" s="20"/>
      <c r="D48" s="44">
        <f t="shared" ref="D48:E48" si="7">D49+D50</f>
        <v>65495.430000000008</v>
      </c>
      <c r="E48" s="44">
        <f t="shared" si="7"/>
        <v>14864.333999999999</v>
      </c>
      <c r="F48" s="441">
        <f t="shared" si="0"/>
        <v>22.695223162898536</v>
      </c>
    </row>
    <row r="49" spans="1:6" ht="15.75" x14ac:dyDescent="0.25">
      <c r="A49" s="95" t="s">
        <v>499</v>
      </c>
      <c r="B49" s="20" t="s">
        <v>498</v>
      </c>
      <c r="C49" s="20" t="s">
        <v>125</v>
      </c>
      <c r="D49" s="27">
        <f>'Пр.3 Рд,пр, ЦС,ВР 21'!F883</f>
        <v>52266.23</v>
      </c>
      <c r="E49" s="27">
        <f>'Пр.3 Рд,пр, ЦС,ВР 21'!G883</f>
        <v>11707.102999999999</v>
      </c>
      <c r="F49" s="416">
        <f t="shared" si="0"/>
        <v>22.398981139447017</v>
      </c>
    </row>
    <row r="50" spans="1:6" ht="15.75" x14ac:dyDescent="0.25">
      <c r="A50" s="95" t="s">
        <v>507</v>
      </c>
      <c r="B50" s="20" t="s">
        <v>498</v>
      </c>
      <c r="C50" s="20" t="s">
        <v>241</v>
      </c>
      <c r="D50" s="27">
        <f>'Пр.3 Рд,пр, ЦС,ВР 21'!F919</f>
        <v>13229.2</v>
      </c>
      <c r="E50" s="27">
        <f>'Пр.3 Рд,пр, ЦС,ВР 21'!G919</f>
        <v>3157.2309999999998</v>
      </c>
      <c r="F50" s="416">
        <f t="shared" si="0"/>
        <v>23.86562301575303</v>
      </c>
    </row>
    <row r="51" spans="1:6" ht="15.75" x14ac:dyDescent="0.25">
      <c r="A51" s="19" t="s">
        <v>589</v>
      </c>
      <c r="B51" s="24" t="s">
        <v>245</v>
      </c>
      <c r="C51" s="20"/>
      <c r="D51" s="44">
        <f t="shared" ref="D51:E51" si="8">D52</f>
        <v>5996.3</v>
      </c>
      <c r="E51" s="44">
        <f t="shared" si="8"/>
        <v>1083.268</v>
      </c>
      <c r="F51" s="441">
        <f t="shared" si="0"/>
        <v>18.065607124393377</v>
      </c>
    </row>
    <row r="52" spans="1:6" ht="15.75" x14ac:dyDescent="0.25">
      <c r="A52" s="31" t="s">
        <v>590</v>
      </c>
      <c r="B52" s="20" t="s">
        <v>245</v>
      </c>
      <c r="C52" s="20" t="s">
        <v>220</v>
      </c>
      <c r="D52" s="27">
        <f>'Пр.3 Рд,пр, ЦС,ВР 21'!F948</f>
        <v>5996.3</v>
      </c>
      <c r="E52" s="27">
        <f>'Пр.3 Рд,пр, ЦС,ВР 21'!G948</f>
        <v>1083.268</v>
      </c>
      <c r="F52" s="416">
        <f t="shared" si="0"/>
        <v>18.065607124393377</v>
      </c>
    </row>
    <row r="53" spans="1:6" ht="15.75" x14ac:dyDescent="0.25">
      <c r="A53" s="92" t="s">
        <v>686</v>
      </c>
      <c r="B53" s="24"/>
      <c r="C53" s="24"/>
      <c r="D53" s="44">
        <f>D12+D22+D24+D29+D34+D40+D43+D48+D51+D20</f>
        <v>806957.7300000001</v>
      </c>
      <c r="E53" s="44">
        <f>E12+E22+E24+E29+E34+E40+E43+E48+E51+E20</f>
        <v>167078.63</v>
      </c>
      <c r="F53" s="441">
        <f t="shared" si="0"/>
        <v>20.704756121488543</v>
      </c>
    </row>
    <row r="54" spans="1:6" hidden="1" x14ac:dyDescent="0.25">
      <c r="D54" s="22">
        <f>'Пр.4 ведом.21'!G1066</f>
        <v>806957.7300000001</v>
      </c>
    </row>
    <row r="55" spans="1:6" hidden="1" x14ac:dyDescent="0.25">
      <c r="D55" s="22">
        <f t="shared" ref="D55" si="9">D54-D53</f>
        <v>0</v>
      </c>
    </row>
    <row r="56" spans="1:6" hidden="1" x14ac:dyDescent="0.25">
      <c r="D56" s="22">
        <f>пр.1дох.21!C169</f>
        <v>800229.3</v>
      </c>
    </row>
    <row r="57" spans="1:6" hidden="1" x14ac:dyDescent="0.25">
      <c r="D57" s="22">
        <f>D56-D53</f>
        <v>-6728.4300000000512</v>
      </c>
    </row>
    <row r="58" spans="1:6" x14ac:dyDescent="0.25">
      <c r="D58" s="22">
        <f>'Пр.4 ведом.21'!G1066</f>
        <v>806957.7300000001</v>
      </c>
      <c r="E58" s="22">
        <f>'Пр.4 ведом.21'!H1066</f>
        <v>167078.62999999998</v>
      </c>
    </row>
    <row r="59" spans="1:6" x14ac:dyDescent="0.25">
      <c r="D59" s="22">
        <f>D58-D53</f>
        <v>0</v>
      </c>
      <c r="E59" s="22">
        <f>E58-E53</f>
        <v>0</v>
      </c>
    </row>
  </sheetData>
  <mergeCells count="5">
    <mergeCell ref="D2:F2"/>
    <mergeCell ref="A7:F7"/>
    <mergeCell ref="A8:F8"/>
    <mergeCell ref="A9:F9"/>
    <mergeCell ref="D4:F4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  <rowBreaks count="1" manualBreakCount="1">
    <brk id="5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8"/>
  <sheetViews>
    <sheetView view="pageBreakPreview" zoomScaleNormal="100" zoomScaleSheetLayoutView="100" workbookViewId="0">
      <selection activeCell="F4" sqref="F4:H4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  <col min="7" max="7" width="13.85546875" customWidth="1"/>
    <col min="8" max="10" width="9" customWidth="1"/>
    <col min="11" max="12" width="9.85546875" bestFit="1" customWidth="1"/>
  </cols>
  <sheetData>
    <row r="1" spans="1:12" s="202" customFormat="1" ht="15.75" x14ac:dyDescent="0.25">
      <c r="F1" s="22"/>
      <c r="G1" s="493" t="s">
        <v>1590</v>
      </c>
      <c r="H1" s="493"/>
    </row>
    <row r="2" spans="1:12" s="202" customFormat="1" ht="15.75" customHeight="1" x14ac:dyDescent="0.25">
      <c r="F2" s="22"/>
      <c r="G2" s="493" t="s">
        <v>1649</v>
      </c>
      <c r="H2" s="493"/>
    </row>
    <row r="3" spans="1:12" ht="15.75" x14ac:dyDescent="0.25">
      <c r="A3" s="56"/>
      <c r="B3" s="56"/>
      <c r="C3" s="56"/>
      <c r="D3" s="203"/>
      <c r="E3" s="418"/>
      <c r="F3" s="492" t="s">
        <v>1651</v>
      </c>
      <c r="G3" s="492"/>
      <c r="H3" s="492"/>
    </row>
    <row r="4" spans="1:12" ht="15.75" x14ac:dyDescent="0.25">
      <c r="A4" s="56"/>
      <c r="B4" s="56"/>
      <c r="C4" s="56"/>
      <c r="D4" s="203"/>
      <c r="E4" s="418"/>
      <c r="F4" s="491" t="s">
        <v>1647</v>
      </c>
      <c r="G4" s="491"/>
      <c r="H4" s="491"/>
    </row>
    <row r="5" spans="1:12" ht="18.75" customHeight="1" x14ac:dyDescent="0.25">
      <c r="A5" s="56"/>
      <c r="B5" s="56"/>
      <c r="C5" s="56"/>
      <c r="D5" s="203"/>
      <c r="E5" s="418"/>
      <c r="F5" s="418"/>
      <c r="G5" s="491" t="s">
        <v>1645</v>
      </c>
      <c r="H5" s="491"/>
    </row>
    <row r="6" spans="1:12" x14ac:dyDescent="0.25">
      <c r="A6" s="56"/>
      <c r="B6" s="56"/>
      <c r="C6" s="56"/>
      <c r="D6" s="56"/>
      <c r="E6" s="56"/>
      <c r="F6" s="115"/>
    </row>
    <row r="7" spans="1:12" ht="63.75" customHeight="1" x14ac:dyDescent="0.25">
      <c r="A7" s="468" t="s">
        <v>1610</v>
      </c>
      <c r="B7" s="468"/>
      <c r="C7" s="468"/>
      <c r="D7" s="468"/>
      <c r="E7" s="468"/>
      <c r="F7" s="468"/>
      <c r="G7" s="468"/>
      <c r="H7" s="468"/>
    </row>
    <row r="8" spans="1:12" x14ac:dyDescent="0.25">
      <c r="A8" s="56"/>
      <c r="B8" s="56"/>
      <c r="C8" s="56"/>
      <c r="D8" s="56"/>
      <c r="E8" s="56"/>
      <c r="G8" s="268"/>
    </row>
    <row r="9" spans="1:12" ht="72" customHeight="1" x14ac:dyDescent="0.25">
      <c r="A9" s="221" t="s">
        <v>600</v>
      </c>
      <c r="B9" s="222" t="s">
        <v>119</v>
      </c>
      <c r="C9" s="222" t="s">
        <v>120</v>
      </c>
      <c r="D9" s="222" t="s">
        <v>121</v>
      </c>
      <c r="E9" s="222" t="s">
        <v>122</v>
      </c>
      <c r="F9" s="269" t="s">
        <v>1616</v>
      </c>
      <c r="G9" s="269" t="s">
        <v>1615</v>
      </c>
      <c r="H9" s="415" t="s">
        <v>1604</v>
      </c>
    </row>
    <row r="10" spans="1:12" ht="15.75" x14ac:dyDescent="0.25">
      <c r="A10" s="41" t="s">
        <v>124</v>
      </c>
      <c r="B10" s="7" t="s">
        <v>125</v>
      </c>
      <c r="C10" s="7"/>
      <c r="D10" s="7"/>
      <c r="E10" s="7"/>
      <c r="F10" s="4">
        <f>F11+F27+F43+F104+F140+F126+F134</f>
        <v>150269.04999999999</v>
      </c>
      <c r="G10" s="4">
        <f>G11+G27+G43+G104+G140+G126+G134</f>
        <v>29212.43</v>
      </c>
      <c r="H10" s="441">
        <f>G10/F10*100</f>
        <v>19.440084302123424</v>
      </c>
      <c r="K10" s="227">
        <f>F10-F61-'Пр.4 ведом.21'!L1070-'Пр.4 ведом.21'!Y1080</f>
        <v>145905.24999999997</v>
      </c>
      <c r="L10" s="227">
        <f>F24+F61+F101+F202-'Пр.4 ведом.21'!L1069-'Пр.4 ведом.21'!Y1079</f>
        <v>4363.8</v>
      </c>
    </row>
    <row r="11" spans="1:12" ht="47.25" x14ac:dyDescent="0.25">
      <c r="A11" s="41" t="s">
        <v>582</v>
      </c>
      <c r="B11" s="7" t="s">
        <v>125</v>
      </c>
      <c r="C11" s="7" t="s">
        <v>220</v>
      </c>
      <c r="D11" s="7"/>
      <c r="E11" s="7"/>
      <c r="F11" s="4">
        <f>F12+F22</f>
        <v>4867.3999999999996</v>
      </c>
      <c r="G11" s="4">
        <f>G12+G22</f>
        <v>1303.384</v>
      </c>
      <c r="H11" s="441">
        <f t="shared" ref="H11:H74" si="0">G11/F11*100</f>
        <v>26.777827998520777</v>
      </c>
    </row>
    <row r="12" spans="1:12" ht="31.5" x14ac:dyDescent="0.25">
      <c r="A12" s="23" t="s">
        <v>927</v>
      </c>
      <c r="B12" s="7" t="s">
        <v>125</v>
      </c>
      <c r="C12" s="7" t="s">
        <v>220</v>
      </c>
      <c r="D12" s="7" t="s">
        <v>868</v>
      </c>
      <c r="E12" s="7"/>
      <c r="F12" s="4">
        <f>F13</f>
        <v>4826.8999999999996</v>
      </c>
      <c r="G12" s="4">
        <f>G13</f>
        <v>1303.384</v>
      </c>
      <c r="H12" s="441">
        <f t="shared" si="0"/>
        <v>27.002506784893001</v>
      </c>
    </row>
    <row r="13" spans="1:12" ht="15.75" x14ac:dyDescent="0.25">
      <c r="A13" s="23" t="s">
        <v>928</v>
      </c>
      <c r="B13" s="7" t="s">
        <v>125</v>
      </c>
      <c r="C13" s="7" t="s">
        <v>220</v>
      </c>
      <c r="D13" s="7" t="s">
        <v>869</v>
      </c>
      <c r="E13" s="7"/>
      <c r="F13" s="4">
        <f>F14+F19</f>
        <v>4826.8999999999996</v>
      </c>
      <c r="G13" s="4">
        <f>G14+G19</f>
        <v>1303.384</v>
      </c>
      <c r="H13" s="441">
        <f t="shared" si="0"/>
        <v>27.002506784893001</v>
      </c>
    </row>
    <row r="14" spans="1:12" ht="31.5" x14ac:dyDescent="0.25">
      <c r="A14" s="29" t="s">
        <v>583</v>
      </c>
      <c r="B14" s="40" t="s">
        <v>125</v>
      </c>
      <c r="C14" s="40" t="s">
        <v>220</v>
      </c>
      <c r="D14" s="40" t="s">
        <v>1345</v>
      </c>
      <c r="E14" s="40"/>
      <c r="F14" s="6">
        <f t="shared" ref="F14:G14" si="1">F15+F17</f>
        <v>4826.8999999999996</v>
      </c>
      <c r="G14" s="6">
        <f t="shared" si="1"/>
        <v>1303.384</v>
      </c>
      <c r="H14" s="416">
        <f t="shared" si="0"/>
        <v>27.002506784893001</v>
      </c>
    </row>
    <row r="15" spans="1:12" ht="78.75" x14ac:dyDescent="0.25">
      <c r="A15" s="29" t="s">
        <v>134</v>
      </c>
      <c r="B15" s="40" t="s">
        <v>125</v>
      </c>
      <c r="C15" s="40" t="s">
        <v>220</v>
      </c>
      <c r="D15" s="40" t="s">
        <v>1345</v>
      </c>
      <c r="E15" s="40" t="s">
        <v>135</v>
      </c>
      <c r="F15" s="366">
        <f t="shared" ref="F15:G15" si="2">F16</f>
        <v>4736.8999999999996</v>
      </c>
      <c r="G15" s="366">
        <f t="shared" si="2"/>
        <v>1303.384</v>
      </c>
      <c r="H15" s="416">
        <f t="shared" si="0"/>
        <v>27.515548143300471</v>
      </c>
    </row>
    <row r="16" spans="1:12" ht="31.5" x14ac:dyDescent="0.25">
      <c r="A16" s="29" t="s">
        <v>136</v>
      </c>
      <c r="B16" s="40" t="s">
        <v>125</v>
      </c>
      <c r="C16" s="40" t="s">
        <v>220</v>
      </c>
      <c r="D16" s="40" t="s">
        <v>1345</v>
      </c>
      <c r="E16" s="40" t="s">
        <v>137</v>
      </c>
      <c r="F16" s="366">
        <f>'Пр.4 ведом.21'!G38</f>
        <v>4736.8999999999996</v>
      </c>
      <c r="G16" s="366">
        <f>'Пр.4 ведом.21'!H38</f>
        <v>1303.384</v>
      </c>
      <c r="H16" s="416">
        <f t="shared" si="0"/>
        <v>27.515548143300471</v>
      </c>
    </row>
    <row r="17" spans="1:8" ht="31.5" x14ac:dyDescent="0.25">
      <c r="A17" s="29" t="s">
        <v>138</v>
      </c>
      <c r="B17" s="40" t="s">
        <v>125</v>
      </c>
      <c r="C17" s="40" t="s">
        <v>220</v>
      </c>
      <c r="D17" s="40" t="s">
        <v>1345</v>
      </c>
      <c r="E17" s="40" t="s">
        <v>139</v>
      </c>
      <c r="F17" s="28">
        <f t="shared" ref="F17:G17" si="3">F18</f>
        <v>90</v>
      </c>
      <c r="G17" s="28">
        <f t="shared" si="3"/>
        <v>0</v>
      </c>
      <c r="H17" s="416">
        <f t="shared" si="0"/>
        <v>0</v>
      </c>
    </row>
    <row r="18" spans="1:8" ht="31.5" x14ac:dyDescent="0.25">
      <c r="A18" s="29" t="s">
        <v>140</v>
      </c>
      <c r="B18" s="40" t="s">
        <v>125</v>
      </c>
      <c r="C18" s="40" t="s">
        <v>220</v>
      </c>
      <c r="D18" s="40" t="s">
        <v>1345</v>
      </c>
      <c r="E18" s="40" t="s">
        <v>141</v>
      </c>
      <c r="F18" s="28">
        <f>'Пр.4 ведом.21'!G40</f>
        <v>90</v>
      </c>
      <c r="G18" s="28">
        <f>'Пр.4 ведом.21'!H40</f>
        <v>0</v>
      </c>
      <c r="H18" s="416">
        <f t="shared" si="0"/>
        <v>0</v>
      </c>
    </row>
    <row r="19" spans="1:8" s="202" customFormat="1" ht="47.25" hidden="1" x14ac:dyDescent="0.25">
      <c r="A19" s="25" t="s">
        <v>849</v>
      </c>
      <c r="B19" s="40" t="s">
        <v>125</v>
      </c>
      <c r="C19" s="40" t="s">
        <v>220</v>
      </c>
      <c r="D19" s="40" t="s">
        <v>872</v>
      </c>
      <c r="E19" s="40"/>
      <c r="F19" s="28">
        <f>F20</f>
        <v>0</v>
      </c>
      <c r="G19" s="28">
        <f>G20</f>
        <v>0</v>
      </c>
      <c r="H19" s="416" t="e">
        <f t="shared" si="0"/>
        <v>#DIV/0!</v>
      </c>
    </row>
    <row r="20" spans="1:8" s="202" customFormat="1" ht="78.75" hidden="1" x14ac:dyDescent="0.25">
      <c r="A20" s="25" t="s">
        <v>134</v>
      </c>
      <c r="B20" s="40" t="s">
        <v>125</v>
      </c>
      <c r="C20" s="40" t="s">
        <v>220</v>
      </c>
      <c r="D20" s="40" t="s">
        <v>872</v>
      </c>
      <c r="E20" s="40" t="s">
        <v>135</v>
      </c>
      <c r="F20" s="28">
        <f>F21</f>
        <v>0</v>
      </c>
      <c r="G20" s="28">
        <f>G21</f>
        <v>0</v>
      </c>
      <c r="H20" s="416" t="e">
        <f t="shared" si="0"/>
        <v>#DIV/0!</v>
      </c>
    </row>
    <row r="21" spans="1:8" s="202" customFormat="1" ht="31.5" hidden="1" x14ac:dyDescent="0.25">
      <c r="A21" s="25" t="s">
        <v>136</v>
      </c>
      <c r="B21" s="40" t="s">
        <v>125</v>
      </c>
      <c r="C21" s="40" t="s">
        <v>220</v>
      </c>
      <c r="D21" s="40" t="s">
        <v>872</v>
      </c>
      <c r="E21" s="40" t="s">
        <v>137</v>
      </c>
      <c r="F21" s="28">
        <f>'Пр.4 ведом.21'!G43</f>
        <v>0</v>
      </c>
      <c r="G21" s="28">
        <f>'Пр.4 ведом.21'!H43</f>
        <v>0</v>
      </c>
      <c r="H21" s="416" t="e">
        <f t="shared" si="0"/>
        <v>#DIV/0!</v>
      </c>
    </row>
    <row r="22" spans="1:8" s="202" customFormat="1" ht="47.25" x14ac:dyDescent="0.25">
      <c r="A22" s="23" t="s">
        <v>1355</v>
      </c>
      <c r="B22" s="24" t="s">
        <v>125</v>
      </c>
      <c r="C22" s="7" t="s">
        <v>220</v>
      </c>
      <c r="D22" s="24" t="s">
        <v>169</v>
      </c>
      <c r="E22" s="7"/>
      <c r="F22" s="367">
        <f t="shared" ref="F22:G25" si="4">F23</f>
        <v>40.5</v>
      </c>
      <c r="G22" s="367">
        <f t="shared" si="4"/>
        <v>0</v>
      </c>
      <c r="H22" s="441">
        <f t="shared" si="0"/>
        <v>0</v>
      </c>
    </row>
    <row r="23" spans="1:8" s="202" customFormat="1" ht="63" x14ac:dyDescent="0.25">
      <c r="A23" s="215" t="s">
        <v>853</v>
      </c>
      <c r="B23" s="24" t="s">
        <v>125</v>
      </c>
      <c r="C23" s="7" t="s">
        <v>220</v>
      </c>
      <c r="D23" s="7" t="s">
        <v>860</v>
      </c>
      <c r="E23" s="7"/>
      <c r="F23" s="367">
        <f t="shared" si="4"/>
        <v>40.5</v>
      </c>
      <c r="G23" s="367">
        <f t="shared" si="4"/>
        <v>0</v>
      </c>
      <c r="H23" s="441">
        <f t="shared" si="0"/>
        <v>0</v>
      </c>
    </row>
    <row r="24" spans="1:8" s="202" customFormat="1" ht="47.25" x14ac:dyDescent="0.25">
      <c r="A24" s="31" t="s">
        <v>703</v>
      </c>
      <c r="B24" s="20" t="s">
        <v>125</v>
      </c>
      <c r="C24" s="20" t="s">
        <v>220</v>
      </c>
      <c r="D24" s="40" t="s">
        <v>1003</v>
      </c>
      <c r="E24" s="20"/>
      <c r="F24" s="26">
        <f t="shared" si="4"/>
        <v>40.5</v>
      </c>
      <c r="G24" s="26">
        <f t="shared" si="4"/>
        <v>0</v>
      </c>
      <c r="H24" s="416">
        <f t="shared" si="0"/>
        <v>0</v>
      </c>
    </row>
    <row r="25" spans="1:8" s="202" customFormat="1" ht="31.5" x14ac:dyDescent="0.25">
      <c r="A25" s="25" t="s">
        <v>138</v>
      </c>
      <c r="B25" s="20" t="s">
        <v>125</v>
      </c>
      <c r="C25" s="20" t="s">
        <v>220</v>
      </c>
      <c r="D25" s="40" t="s">
        <v>1003</v>
      </c>
      <c r="E25" s="20" t="s">
        <v>139</v>
      </c>
      <c r="F25" s="26">
        <f t="shared" si="4"/>
        <v>40.5</v>
      </c>
      <c r="G25" s="26">
        <f t="shared" si="4"/>
        <v>0</v>
      </c>
      <c r="H25" s="416">
        <f t="shared" si="0"/>
        <v>0</v>
      </c>
    </row>
    <row r="26" spans="1:8" s="202" customFormat="1" ht="31.5" x14ac:dyDescent="0.25">
      <c r="A26" s="25" t="s">
        <v>140</v>
      </c>
      <c r="B26" s="20" t="s">
        <v>125</v>
      </c>
      <c r="C26" s="20" t="s">
        <v>220</v>
      </c>
      <c r="D26" s="40" t="s">
        <v>1003</v>
      </c>
      <c r="E26" s="20" t="s">
        <v>141</v>
      </c>
      <c r="F26" s="26">
        <f>'Пр.4 ведом.21'!G48</f>
        <v>40.5</v>
      </c>
      <c r="G26" s="26">
        <f>'Пр.4 ведом.21'!H48</f>
        <v>0</v>
      </c>
      <c r="H26" s="416">
        <f t="shared" si="0"/>
        <v>0</v>
      </c>
    </row>
    <row r="27" spans="1:8" ht="63" x14ac:dyDescent="0.25">
      <c r="A27" s="41" t="s">
        <v>585</v>
      </c>
      <c r="B27" s="7" t="s">
        <v>125</v>
      </c>
      <c r="C27" s="7" t="s">
        <v>222</v>
      </c>
      <c r="D27" s="7"/>
      <c r="E27" s="7"/>
      <c r="F27" s="4">
        <f t="shared" ref="F27:G28" si="5">F28</f>
        <v>5488</v>
      </c>
      <c r="G27" s="4">
        <f t="shared" si="5"/>
        <v>1573.2810000000002</v>
      </c>
      <c r="H27" s="441">
        <f t="shared" si="0"/>
        <v>28.667656705539361</v>
      </c>
    </row>
    <row r="28" spans="1:8" ht="31.5" x14ac:dyDescent="0.25">
      <c r="A28" s="23" t="s">
        <v>927</v>
      </c>
      <c r="B28" s="7" t="s">
        <v>125</v>
      </c>
      <c r="C28" s="7" t="s">
        <v>222</v>
      </c>
      <c r="D28" s="7" t="s">
        <v>868</v>
      </c>
      <c r="E28" s="7"/>
      <c r="F28" s="4">
        <f t="shared" si="5"/>
        <v>5488</v>
      </c>
      <c r="G28" s="4">
        <f t="shared" si="5"/>
        <v>1573.2810000000002</v>
      </c>
      <c r="H28" s="441">
        <f t="shared" si="0"/>
        <v>28.667656705539361</v>
      </c>
    </row>
    <row r="29" spans="1:8" ht="31.5" x14ac:dyDescent="0.25">
      <c r="A29" s="23" t="s">
        <v>996</v>
      </c>
      <c r="B29" s="7" t="s">
        <v>125</v>
      </c>
      <c r="C29" s="7" t="s">
        <v>222</v>
      </c>
      <c r="D29" s="7" t="s">
        <v>997</v>
      </c>
      <c r="E29" s="7"/>
      <c r="F29" s="4">
        <f>F35+F40+F30</f>
        <v>5488</v>
      </c>
      <c r="G29" s="4">
        <f>G35+G40+G30</f>
        <v>1573.2810000000002</v>
      </c>
      <c r="H29" s="441">
        <f t="shared" si="0"/>
        <v>28.667656705539361</v>
      </c>
    </row>
    <row r="30" spans="1:8" s="202" customFormat="1" ht="47.25" x14ac:dyDescent="0.25">
      <c r="A30" s="285" t="s">
        <v>1380</v>
      </c>
      <c r="B30" s="20" t="s">
        <v>125</v>
      </c>
      <c r="C30" s="20" t="s">
        <v>222</v>
      </c>
      <c r="D30" s="20" t="s">
        <v>1418</v>
      </c>
      <c r="E30" s="24"/>
      <c r="F30" s="6">
        <f>F31+F33</f>
        <v>4247.6000000000004</v>
      </c>
      <c r="G30" s="6">
        <f>G31+G33</f>
        <v>1345.4390000000001</v>
      </c>
      <c r="H30" s="416">
        <f t="shared" si="0"/>
        <v>31.675275449665691</v>
      </c>
    </row>
    <row r="31" spans="1:8" s="202" customFormat="1" ht="78.75" x14ac:dyDescent="0.25">
      <c r="A31" s="25" t="s">
        <v>134</v>
      </c>
      <c r="B31" s="20" t="s">
        <v>125</v>
      </c>
      <c r="C31" s="20" t="s">
        <v>222</v>
      </c>
      <c r="D31" s="20" t="s">
        <v>1418</v>
      </c>
      <c r="E31" s="20" t="s">
        <v>135</v>
      </c>
      <c r="F31" s="6">
        <f>F32</f>
        <v>4154.6000000000004</v>
      </c>
      <c r="G31" s="6">
        <f>G32</f>
        <v>1334.239</v>
      </c>
      <c r="H31" s="416">
        <f t="shared" si="0"/>
        <v>32.11474028787368</v>
      </c>
    </row>
    <row r="32" spans="1:8" s="202" customFormat="1" ht="31.5" x14ac:dyDescent="0.25">
      <c r="A32" s="25" t="s">
        <v>136</v>
      </c>
      <c r="B32" s="20" t="s">
        <v>125</v>
      </c>
      <c r="C32" s="20" t="s">
        <v>222</v>
      </c>
      <c r="D32" s="20" t="s">
        <v>1418</v>
      </c>
      <c r="E32" s="20" t="s">
        <v>137</v>
      </c>
      <c r="F32" s="6">
        <f>'Пр.4 ведом.21'!G1044</f>
        <v>4154.6000000000004</v>
      </c>
      <c r="G32" s="6">
        <f>'Пр.4 ведом.21'!H1044</f>
        <v>1334.239</v>
      </c>
      <c r="H32" s="416">
        <f t="shared" si="0"/>
        <v>32.11474028787368</v>
      </c>
    </row>
    <row r="33" spans="1:11" s="202" customFormat="1" ht="31.5" x14ac:dyDescent="0.25">
      <c r="A33" s="25" t="s">
        <v>205</v>
      </c>
      <c r="B33" s="20" t="s">
        <v>125</v>
      </c>
      <c r="C33" s="20" t="s">
        <v>222</v>
      </c>
      <c r="D33" s="20" t="s">
        <v>1418</v>
      </c>
      <c r="E33" s="20" t="s">
        <v>139</v>
      </c>
      <c r="F33" s="6">
        <f>F34</f>
        <v>93</v>
      </c>
      <c r="G33" s="6">
        <f>G34</f>
        <v>11.2</v>
      </c>
      <c r="H33" s="416">
        <f t="shared" si="0"/>
        <v>12.043010752688172</v>
      </c>
    </row>
    <row r="34" spans="1:11" s="202" customFormat="1" ht="31.5" x14ac:dyDescent="0.25">
      <c r="A34" s="25" t="s">
        <v>140</v>
      </c>
      <c r="B34" s="20" t="s">
        <v>125</v>
      </c>
      <c r="C34" s="20" t="s">
        <v>222</v>
      </c>
      <c r="D34" s="20" t="s">
        <v>1418</v>
      </c>
      <c r="E34" s="20" t="s">
        <v>141</v>
      </c>
      <c r="F34" s="6">
        <f>'Пр.4 ведом.21'!G1046</f>
        <v>93</v>
      </c>
      <c r="G34" s="6">
        <f>'Пр.4 ведом.21'!H1046</f>
        <v>11.2</v>
      </c>
      <c r="H34" s="416">
        <f t="shared" si="0"/>
        <v>12.043010752688172</v>
      </c>
    </row>
    <row r="35" spans="1:11" ht="31.5" x14ac:dyDescent="0.25">
      <c r="A35" s="25" t="s">
        <v>1000</v>
      </c>
      <c r="B35" s="40" t="s">
        <v>125</v>
      </c>
      <c r="C35" s="40" t="s">
        <v>222</v>
      </c>
      <c r="D35" s="40" t="s">
        <v>1001</v>
      </c>
      <c r="E35" s="40"/>
      <c r="F35" s="6">
        <f t="shared" ref="F35:G35" si="6">F36+F38</f>
        <v>1240.4000000000001</v>
      </c>
      <c r="G35" s="6">
        <f t="shared" si="6"/>
        <v>227.84200000000001</v>
      </c>
      <c r="H35" s="416">
        <f t="shared" si="0"/>
        <v>18.368429538858432</v>
      </c>
    </row>
    <row r="36" spans="1:11" ht="78.75" x14ac:dyDescent="0.25">
      <c r="A36" s="29" t="s">
        <v>134</v>
      </c>
      <c r="B36" s="40" t="s">
        <v>125</v>
      </c>
      <c r="C36" s="40" t="s">
        <v>222</v>
      </c>
      <c r="D36" s="40" t="s">
        <v>1001</v>
      </c>
      <c r="E36" s="40" t="s">
        <v>135</v>
      </c>
      <c r="F36" s="366">
        <f t="shared" ref="F36:G36" si="7">F37</f>
        <v>1240.4000000000001</v>
      </c>
      <c r="G36" s="366">
        <f t="shared" si="7"/>
        <v>227.84200000000001</v>
      </c>
      <c r="H36" s="416">
        <f t="shared" si="0"/>
        <v>18.368429538858432</v>
      </c>
    </row>
    <row r="37" spans="1:11" ht="31.5" x14ac:dyDescent="0.25">
      <c r="A37" s="29" t="s">
        <v>136</v>
      </c>
      <c r="B37" s="40" t="s">
        <v>125</v>
      </c>
      <c r="C37" s="40" t="s">
        <v>222</v>
      </c>
      <c r="D37" s="40" t="s">
        <v>1001</v>
      </c>
      <c r="E37" s="40" t="s">
        <v>137</v>
      </c>
      <c r="F37" s="366">
        <f>'Пр.4 ведом.21'!G1049</f>
        <v>1240.4000000000001</v>
      </c>
      <c r="G37" s="366">
        <f>'Пр.4 ведом.21'!H1049</f>
        <v>227.84200000000001</v>
      </c>
      <c r="H37" s="416">
        <f t="shared" si="0"/>
        <v>18.368429538858432</v>
      </c>
    </row>
    <row r="38" spans="1:11" ht="31.5" hidden="1" x14ac:dyDescent="0.25">
      <c r="A38" s="29" t="s">
        <v>138</v>
      </c>
      <c r="B38" s="40" t="s">
        <v>125</v>
      </c>
      <c r="C38" s="40" t="s">
        <v>222</v>
      </c>
      <c r="D38" s="40" t="s">
        <v>1001</v>
      </c>
      <c r="E38" s="40" t="s">
        <v>139</v>
      </c>
      <c r="F38" s="6">
        <f t="shared" ref="F38:G38" si="8">F39</f>
        <v>0</v>
      </c>
      <c r="G38" s="6">
        <f t="shared" si="8"/>
        <v>0</v>
      </c>
      <c r="H38" s="416" t="e">
        <f t="shared" si="0"/>
        <v>#DIV/0!</v>
      </c>
    </row>
    <row r="39" spans="1:11" ht="31.5" hidden="1" x14ac:dyDescent="0.25">
      <c r="A39" s="29" t="s">
        <v>140</v>
      </c>
      <c r="B39" s="40" t="s">
        <v>125</v>
      </c>
      <c r="C39" s="40" t="s">
        <v>222</v>
      </c>
      <c r="D39" s="40" t="s">
        <v>1001</v>
      </c>
      <c r="E39" s="40" t="s">
        <v>141</v>
      </c>
      <c r="F39" s="6">
        <f>'Пр.4 ведом.21'!G1051</f>
        <v>0</v>
      </c>
      <c r="G39" s="6">
        <f>'Пр.4 ведом.21'!H1051</f>
        <v>0</v>
      </c>
      <c r="H39" s="416" t="e">
        <f t="shared" si="0"/>
        <v>#DIV/0!</v>
      </c>
    </row>
    <row r="40" spans="1:11" s="202" customFormat="1" ht="30.2" hidden="1" customHeight="1" x14ac:dyDescent="0.25">
      <c r="A40" s="25" t="s">
        <v>849</v>
      </c>
      <c r="B40" s="40" t="s">
        <v>125</v>
      </c>
      <c r="C40" s="40" t="s">
        <v>222</v>
      </c>
      <c r="D40" s="40" t="s">
        <v>999</v>
      </c>
      <c r="E40" s="40"/>
      <c r="F40" s="28">
        <f>F41</f>
        <v>0</v>
      </c>
      <c r="G40" s="28">
        <f>G41</f>
        <v>0</v>
      </c>
      <c r="H40" s="416" t="e">
        <f t="shared" si="0"/>
        <v>#DIV/0!</v>
      </c>
    </row>
    <row r="41" spans="1:11" s="202" customFormat="1" ht="85.7" hidden="1" customHeight="1" x14ac:dyDescent="0.25">
      <c r="A41" s="25" t="s">
        <v>134</v>
      </c>
      <c r="B41" s="40" t="s">
        <v>125</v>
      </c>
      <c r="C41" s="40" t="s">
        <v>222</v>
      </c>
      <c r="D41" s="40" t="s">
        <v>999</v>
      </c>
      <c r="E41" s="40" t="s">
        <v>135</v>
      </c>
      <c r="F41" s="28">
        <f>F42</f>
        <v>0</v>
      </c>
      <c r="G41" s="28">
        <f>G42</f>
        <v>0</v>
      </c>
      <c r="H41" s="416" t="e">
        <f t="shared" si="0"/>
        <v>#DIV/0!</v>
      </c>
    </row>
    <row r="42" spans="1:11" s="202" customFormat="1" ht="38.25" hidden="1" customHeight="1" x14ac:dyDescent="0.25">
      <c r="A42" s="25" t="s">
        <v>136</v>
      </c>
      <c r="B42" s="40" t="s">
        <v>125</v>
      </c>
      <c r="C42" s="40" t="s">
        <v>222</v>
      </c>
      <c r="D42" s="40" t="s">
        <v>999</v>
      </c>
      <c r="E42" s="40" t="s">
        <v>137</v>
      </c>
      <c r="F42" s="28">
        <f>'Пр.4 ведом.21'!G1054</f>
        <v>0</v>
      </c>
      <c r="G42" s="28">
        <f>'Пр.4 ведом.21'!H1054</f>
        <v>0</v>
      </c>
      <c r="H42" s="416" t="e">
        <f t="shared" si="0"/>
        <v>#DIV/0!</v>
      </c>
    </row>
    <row r="43" spans="1:11" ht="70.5" customHeight="1" x14ac:dyDescent="0.25">
      <c r="A43" s="41" t="s">
        <v>156</v>
      </c>
      <c r="B43" s="7" t="s">
        <v>125</v>
      </c>
      <c r="C43" s="7" t="s">
        <v>157</v>
      </c>
      <c r="D43" s="7"/>
      <c r="E43" s="7"/>
      <c r="F43" s="4">
        <f>F44+F86</f>
        <v>69420.89</v>
      </c>
      <c r="G43" s="4">
        <f>G44+G86</f>
        <v>13835.947</v>
      </c>
      <c r="H43" s="441">
        <f t="shared" si="0"/>
        <v>19.930523794782808</v>
      </c>
    </row>
    <row r="44" spans="1:11" ht="31.5" x14ac:dyDescent="0.25">
      <c r="A44" s="23" t="s">
        <v>927</v>
      </c>
      <c r="B44" s="7" t="s">
        <v>125</v>
      </c>
      <c r="C44" s="7" t="s">
        <v>157</v>
      </c>
      <c r="D44" s="7" t="s">
        <v>868</v>
      </c>
      <c r="E44" s="7"/>
      <c r="F44" s="4">
        <f>F45+F61</f>
        <v>68737.39</v>
      </c>
      <c r="G44" s="4">
        <f>G45+G61</f>
        <v>13592.199000000001</v>
      </c>
      <c r="H44" s="441">
        <f t="shared" si="0"/>
        <v>19.774098201866554</v>
      </c>
    </row>
    <row r="45" spans="1:11" ht="15.75" x14ac:dyDescent="0.25">
      <c r="A45" s="23" t="s">
        <v>928</v>
      </c>
      <c r="B45" s="7" t="s">
        <v>125</v>
      </c>
      <c r="C45" s="7" t="s">
        <v>157</v>
      </c>
      <c r="D45" s="7" t="s">
        <v>869</v>
      </c>
      <c r="E45" s="7"/>
      <c r="F45" s="4">
        <f>F46+F55+F58</f>
        <v>65336.19</v>
      </c>
      <c r="G45" s="4">
        <f>G46+G55+G58</f>
        <v>13196.533000000001</v>
      </c>
      <c r="H45" s="441">
        <f t="shared" si="0"/>
        <v>20.19789185748358</v>
      </c>
    </row>
    <row r="46" spans="1:11" ht="31.5" x14ac:dyDescent="0.25">
      <c r="A46" s="29" t="s">
        <v>907</v>
      </c>
      <c r="B46" s="40" t="s">
        <v>125</v>
      </c>
      <c r="C46" s="40" t="s">
        <v>157</v>
      </c>
      <c r="D46" s="40" t="s">
        <v>870</v>
      </c>
      <c r="E46" s="40"/>
      <c r="F46" s="6">
        <f>F47+F49+F53+F51</f>
        <v>61211.79</v>
      </c>
      <c r="G46" s="6">
        <f>G47+G49+G53+G51</f>
        <v>12070.581</v>
      </c>
      <c r="H46" s="416">
        <f t="shared" si="0"/>
        <v>19.719372689476977</v>
      </c>
    </row>
    <row r="47" spans="1:11" ht="78.75" x14ac:dyDescent="0.25">
      <c r="A47" s="29" t="s">
        <v>134</v>
      </c>
      <c r="B47" s="40" t="s">
        <v>125</v>
      </c>
      <c r="C47" s="40" t="s">
        <v>157</v>
      </c>
      <c r="D47" s="40" t="s">
        <v>870</v>
      </c>
      <c r="E47" s="40" t="s">
        <v>135</v>
      </c>
      <c r="F47" s="366">
        <f t="shared" ref="F47:G47" si="9">F48</f>
        <v>55006.39</v>
      </c>
      <c r="G47" s="366">
        <f t="shared" si="9"/>
        <v>10139.955</v>
      </c>
      <c r="H47" s="416">
        <f t="shared" si="0"/>
        <v>18.434140106267655</v>
      </c>
    </row>
    <row r="48" spans="1:11" ht="31.5" x14ac:dyDescent="0.25">
      <c r="A48" s="29" t="s">
        <v>136</v>
      </c>
      <c r="B48" s="40" t="s">
        <v>125</v>
      </c>
      <c r="C48" s="40" t="s">
        <v>157</v>
      </c>
      <c r="D48" s="40" t="s">
        <v>870</v>
      </c>
      <c r="E48" s="40" t="s">
        <v>137</v>
      </c>
      <c r="F48" s="366">
        <f>'Пр.4 ведом.21'!G487+'Пр.4 ведом.21'!G54</f>
        <v>55006.39</v>
      </c>
      <c r="G48" s="366">
        <f>'Пр.4 ведом.21'!H487+'Пр.4 ведом.21'!H54</f>
        <v>10139.955</v>
      </c>
      <c r="H48" s="416">
        <f t="shared" si="0"/>
        <v>18.434140106267655</v>
      </c>
      <c r="J48" s="22">
        <f>F48+F57+F60+F70+F75+F80+F85+F94</f>
        <v>62404.090000000011</v>
      </c>
      <c r="K48" s="22">
        <f>G48+G57+G60+G70+G75+G80+G85+G94</f>
        <v>11748.498000000001</v>
      </c>
    </row>
    <row r="49" spans="1:8" ht="31.5" x14ac:dyDescent="0.25">
      <c r="A49" s="29" t="s">
        <v>138</v>
      </c>
      <c r="B49" s="40" t="s">
        <v>125</v>
      </c>
      <c r="C49" s="40" t="s">
        <v>157</v>
      </c>
      <c r="D49" s="40" t="s">
        <v>870</v>
      </c>
      <c r="E49" s="40" t="s">
        <v>139</v>
      </c>
      <c r="F49" s="6">
        <f t="shared" ref="F49:G49" si="10">F50</f>
        <v>5999.4</v>
      </c>
      <c r="G49" s="6">
        <f t="shared" si="10"/>
        <v>1930.626</v>
      </c>
      <c r="H49" s="416">
        <f t="shared" si="0"/>
        <v>32.180318031803182</v>
      </c>
    </row>
    <row r="50" spans="1:8" ht="31.5" x14ac:dyDescent="0.25">
      <c r="A50" s="29" t="s">
        <v>140</v>
      </c>
      <c r="B50" s="40" t="s">
        <v>125</v>
      </c>
      <c r="C50" s="40" t="s">
        <v>157</v>
      </c>
      <c r="D50" s="40" t="s">
        <v>870</v>
      </c>
      <c r="E50" s="40" t="s">
        <v>141</v>
      </c>
      <c r="F50" s="6">
        <f>'Пр.4 ведом.21'!G56+'Пр.4 ведом.21'!G489</f>
        <v>5999.4</v>
      </c>
      <c r="G50" s="6">
        <f>'Пр.4 ведом.21'!H56+'Пр.4 ведом.21'!H489</f>
        <v>1930.626</v>
      </c>
      <c r="H50" s="416">
        <f t="shared" si="0"/>
        <v>32.180318031803182</v>
      </c>
    </row>
    <row r="51" spans="1:8" s="202" customFormat="1" ht="21.2" hidden="1" customHeight="1" x14ac:dyDescent="0.25">
      <c r="A51" s="25" t="s">
        <v>255</v>
      </c>
      <c r="B51" s="40" t="s">
        <v>125</v>
      </c>
      <c r="C51" s="40" t="s">
        <v>157</v>
      </c>
      <c r="D51" s="40" t="s">
        <v>870</v>
      </c>
      <c r="E51" s="40" t="s">
        <v>256</v>
      </c>
      <c r="F51" s="6">
        <f>F52</f>
        <v>0</v>
      </c>
      <c r="G51" s="6">
        <f>G52</f>
        <v>0</v>
      </c>
      <c r="H51" s="416" t="e">
        <f t="shared" si="0"/>
        <v>#DIV/0!</v>
      </c>
    </row>
    <row r="52" spans="1:8" s="202" customFormat="1" ht="31.5" hidden="1" x14ac:dyDescent="0.25">
      <c r="A52" s="25" t="s">
        <v>257</v>
      </c>
      <c r="B52" s="40" t="s">
        <v>125</v>
      </c>
      <c r="C52" s="40" t="s">
        <v>157</v>
      </c>
      <c r="D52" s="40" t="s">
        <v>870</v>
      </c>
      <c r="E52" s="40" t="s">
        <v>258</v>
      </c>
      <c r="F52" s="6">
        <f>'Пр.4 ведом.21'!G58</f>
        <v>0</v>
      </c>
      <c r="G52" s="6">
        <f>'Пр.4 ведом.21'!H58</f>
        <v>0</v>
      </c>
      <c r="H52" s="416" t="e">
        <f t="shared" si="0"/>
        <v>#DIV/0!</v>
      </c>
    </row>
    <row r="53" spans="1:8" ht="15.75" x14ac:dyDescent="0.25">
      <c r="A53" s="29" t="s">
        <v>142</v>
      </c>
      <c r="B53" s="40" t="s">
        <v>125</v>
      </c>
      <c r="C53" s="40" t="s">
        <v>157</v>
      </c>
      <c r="D53" s="40" t="s">
        <v>870</v>
      </c>
      <c r="E53" s="40" t="s">
        <v>152</v>
      </c>
      <c r="F53" s="6">
        <f t="shared" ref="F53:G53" si="11">F54</f>
        <v>206</v>
      </c>
      <c r="G53" s="6">
        <f t="shared" si="11"/>
        <v>0</v>
      </c>
      <c r="H53" s="416">
        <f t="shared" si="0"/>
        <v>0</v>
      </c>
    </row>
    <row r="54" spans="1:8" ht="15.75" x14ac:dyDescent="0.25">
      <c r="A54" s="29" t="s">
        <v>575</v>
      </c>
      <c r="B54" s="40" t="s">
        <v>125</v>
      </c>
      <c r="C54" s="40" t="s">
        <v>157</v>
      </c>
      <c r="D54" s="40" t="s">
        <v>870</v>
      </c>
      <c r="E54" s="40" t="s">
        <v>145</v>
      </c>
      <c r="F54" s="6">
        <f>'Пр.4 ведом.21'!G491+'Пр.4 ведом.21'!G60</f>
        <v>206</v>
      </c>
      <c r="G54" s="6">
        <f>'Пр.4 ведом.21'!H491+'Пр.4 ведом.21'!H60</f>
        <v>0</v>
      </c>
      <c r="H54" s="416">
        <f t="shared" si="0"/>
        <v>0</v>
      </c>
    </row>
    <row r="55" spans="1:8" ht="31.5" x14ac:dyDescent="0.25">
      <c r="A55" s="25" t="s">
        <v>160</v>
      </c>
      <c r="B55" s="20" t="s">
        <v>125</v>
      </c>
      <c r="C55" s="20" t="s">
        <v>157</v>
      </c>
      <c r="D55" s="40" t="s">
        <v>871</v>
      </c>
      <c r="E55" s="20"/>
      <c r="F55" s="366">
        <f>F56</f>
        <v>2071.4</v>
      </c>
      <c r="G55" s="366">
        <f>G56</f>
        <v>534.6</v>
      </c>
      <c r="H55" s="416">
        <f t="shared" si="0"/>
        <v>25.808631843197837</v>
      </c>
    </row>
    <row r="56" spans="1:8" ht="78.75" x14ac:dyDescent="0.25">
      <c r="A56" s="25" t="s">
        <v>134</v>
      </c>
      <c r="B56" s="20" t="s">
        <v>125</v>
      </c>
      <c r="C56" s="20" t="s">
        <v>157</v>
      </c>
      <c r="D56" s="40" t="s">
        <v>871</v>
      </c>
      <c r="E56" s="20" t="s">
        <v>135</v>
      </c>
      <c r="F56" s="366">
        <f>F57</f>
        <v>2071.4</v>
      </c>
      <c r="G56" s="366">
        <f>G57</f>
        <v>534.6</v>
      </c>
      <c r="H56" s="416">
        <f t="shared" si="0"/>
        <v>25.808631843197837</v>
      </c>
    </row>
    <row r="57" spans="1:8" ht="31.5" x14ac:dyDescent="0.25">
      <c r="A57" s="25" t="s">
        <v>136</v>
      </c>
      <c r="B57" s="20" t="s">
        <v>125</v>
      </c>
      <c r="C57" s="20" t="s">
        <v>157</v>
      </c>
      <c r="D57" s="40" t="s">
        <v>871</v>
      </c>
      <c r="E57" s="20" t="s">
        <v>137</v>
      </c>
      <c r="F57" s="366">
        <f>'Пр.4 ведом.21'!G63</f>
        <v>2071.4</v>
      </c>
      <c r="G57" s="366">
        <f>'Пр.4 ведом.21'!H63</f>
        <v>534.6</v>
      </c>
      <c r="H57" s="416">
        <f t="shared" si="0"/>
        <v>25.808631843197837</v>
      </c>
    </row>
    <row r="58" spans="1:8" s="202" customFormat="1" ht="47.25" x14ac:dyDescent="0.25">
      <c r="A58" s="25" t="s">
        <v>849</v>
      </c>
      <c r="B58" s="40" t="s">
        <v>125</v>
      </c>
      <c r="C58" s="20" t="s">
        <v>157</v>
      </c>
      <c r="D58" s="40" t="s">
        <v>872</v>
      </c>
      <c r="E58" s="40"/>
      <c r="F58" s="28">
        <f>F59</f>
        <v>2053</v>
      </c>
      <c r="G58" s="28">
        <f>G59</f>
        <v>591.35199999999998</v>
      </c>
      <c r="H58" s="416">
        <f t="shared" si="0"/>
        <v>28.804286410131514</v>
      </c>
    </row>
    <row r="59" spans="1:8" s="202" customFormat="1" ht="78.75" x14ac:dyDescent="0.25">
      <c r="A59" s="25" t="s">
        <v>134</v>
      </c>
      <c r="B59" s="40" t="s">
        <v>125</v>
      </c>
      <c r="C59" s="20" t="s">
        <v>157</v>
      </c>
      <c r="D59" s="40" t="s">
        <v>872</v>
      </c>
      <c r="E59" s="40" t="s">
        <v>135</v>
      </c>
      <c r="F59" s="28">
        <f>F60</f>
        <v>2053</v>
      </c>
      <c r="G59" s="28">
        <f>G60</f>
        <v>591.35199999999998</v>
      </c>
      <c r="H59" s="416">
        <f t="shared" si="0"/>
        <v>28.804286410131514</v>
      </c>
    </row>
    <row r="60" spans="1:8" s="202" customFormat="1" ht="31.5" x14ac:dyDescent="0.25">
      <c r="A60" s="25" t="s">
        <v>136</v>
      </c>
      <c r="B60" s="40" t="s">
        <v>125</v>
      </c>
      <c r="C60" s="20" t="s">
        <v>157</v>
      </c>
      <c r="D60" s="40" t="s">
        <v>872</v>
      </c>
      <c r="E60" s="40" t="s">
        <v>137</v>
      </c>
      <c r="F60" s="28">
        <f>'Пр.4 ведом.21'!G494+'Пр.4 ведом.21'!G66</f>
        <v>2053</v>
      </c>
      <c r="G60" s="28">
        <f>'Пр.4 ведом.21'!H494+'Пр.4 ведом.21'!H66</f>
        <v>591.35199999999998</v>
      </c>
      <c r="H60" s="416">
        <f t="shared" si="0"/>
        <v>28.804286410131514</v>
      </c>
    </row>
    <row r="61" spans="1:8" s="202" customFormat="1" ht="31.5" x14ac:dyDescent="0.25">
      <c r="A61" s="23" t="s">
        <v>895</v>
      </c>
      <c r="B61" s="7" t="s">
        <v>125</v>
      </c>
      <c r="C61" s="24" t="s">
        <v>157</v>
      </c>
      <c r="D61" s="7" t="s">
        <v>873</v>
      </c>
      <c r="E61" s="7"/>
      <c r="F61" s="4">
        <f>F62+F68+F73+F78+F65+F83</f>
        <v>3401.2000000000003</v>
      </c>
      <c r="G61" s="4">
        <f>G62+G68+G73+G78+G65+G83</f>
        <v>395.666</v>
      </c>
      <c r="H61" s="441">
        <f t="shared" si="0"/>
        <v>11.633129483711629</v>
      </c>
    </row>
    <row r="62" spans="1:8" s="202" customFormat="1" ht="47.25" hidden="1" x14ac:dyDescent="0.25">
      <c r="A62" s="25" t="s">
        <v>194</v>
      </c>
      <c r="B62" s="40" t="s">
        <v>125</v>
      </c>
      <c r="C62" s="20" t="s">
        <v>157</v>
      </c>
      <c r="D62" s="40" t="s">
        <v>1083</v>
      </c>
      <c r="E62" s="7"/>
      <c r="F62" s="10">
        <f>F63</f>
        <v>0</v>
      </c>
      <c r="G62" s="10">
        <f>G63</f>
        <v>0</v>
      </c>
      <c r="H62" s="416" t="e">
        <f t="shared" si="0"/>
        <v>#DIV/0!</v>
      </c>
    </row>
    <row r="63" spans="1:8" s="202" customFormat="1" ht="31.5" hidden="1" x14ac:dyDescent="0.25">
      <c r="A63" s="25" t="s">
        <v>138</v>
      </c>
      <c r="B63" s="40" t="s">
        <v>125</v>
      </c>
      <c r="C63" s="20" t="s">
        <v>157</v>
      </c>
      <c r="D63" s="40" t="s">
        <v>1083</v>
      </c>
      <c r="E63" s="40" t="s">
        <v>139</v>
      </c>
      <c r="F63" s="10">
        <f t="shared" ref="F63:G63" si="12">F64</f>
        <v>0</v>
      </c>
      <c r="G63" s="10">
        <f t="shared" si="12"/>
        <v>0</v>
      </c>
      <c r="H63" s="416" t="e">
        <f t="shared" si="0"/>
        <v>#DIV/0!</v>
      </c>
    </row>
    <row r="64" spans="1:8" s="202" customFormat="1" ht="31.5" hidden="1" x14ac:dyDescent="0.25">
      <c r="A64" s="25" t="s">
        <v>140</v>
      </c>
      <c r="B64" s="40" t="s">
        <v>125</v>
      </c>
      <c r="C64" s="20" t="s">
        <v>157</v>
      </c>
      <c r="D64" s="40" t="s">
        <v>1083</v>
      </c>
      <c r="E64" s="40" t="s">
        <v>141</v>
      </c>
      <c r="F64" s="10">
        <f>'Пр.4 ведом.21'!G70</f>
        <v>0</v>
      </c>
      <c r="G64" s="10">
        <f>'Пр.4 ведом.21'!H70</f>
        <v>0</v>
      </c>
      <c r="H64" s="416" t="e">
        <f t="shared" si="0"/>
        <v>#DIV/0!</v>
      </c>
    </row>
    <row r="65" spans="1:8" s="202" customFormat="1" ht="47.25" x14ac:dyDescent="0.25">
      <c r="A65" s="31" t="s">
        <v>1188</v>
      </c>
      <c r="B65" s="20" t="s">
        <v>125</v>
      </c>
      <c r="C65" s="20" t="s">
        <v>157</v>
      </c>
      <c r="D65" s="20" t="s">
        <v>1187</v>
      </c>
      <c r="E65" s="20"/>
      <c r="F65" s="26">
        <f>F66</f>
        <v>105.9</v>
      </c>
      <c r="G65" s="26">
        <f>G66</f>
        <v>0</v>
      </c>
      <c r="H65" s="416">
        <f t="shared" si="0"/>
        <v>0</v>
      </c>
    </row>
    <row r="66" spans="1:8" s="202" customFormat="1" ht="31.5" x14ac:dyDescent="0.25">
      <c r="A66" s="29" t="s">
        <v>138</v>
      </c>
      <c r="B66" s="20" t="s">
        <v>125</v>
      </c>
      <c r="C66" s="20" t="s">
        <v>157</v>
      </c>
      <c r="D66" s="20" t="s">
        <v>1187</v>
      </c>
      <c r="E66" s="20" t="s">
        <v>139</v>
      </c>
      <c r="F66" s="26">
        <f>F67</f>
        <v>105.9</v>
      </c>
      <c r="G66" s="26">
        <f>G67</f>
        <v>0</v>
      </c>
      <c r="H66" s="416">
        <f t="shared" si="0"/>
        <v>0</v>
      </c>
    </row>
    <row r="67" spans="1:8" s="202" customFormat="1" ht="31.5" x14ac:dyDescent="0.25">
      <c r="A67" s="29" t="s">
        <v>140</v>
      </c>
      <c r="B67" s="20" t="s">
        <v>125</v>
      </c>
      <c r="C67" s="20" t="s">
        <v>157</v>
      </c>
      <c r="D67" s="20" t="s">
        <v>1187</v>
      </c>
      <c r="E67" s="20" t="s">
        <v>141</v>
      </c>
      <c r="F67" s="26">
        <f>'Пр.4 ведом.21'!G73</f>
        <v>105.9</v>
      </c>
      <c r="G67" s="26">
        <f>'Пр.4 ведом.21'!H73</f>
        <v>0</v>
      </c>
      <c r="H67" s="416">
        <f t="shared" si="0"/>
        <v>0</v>
      </c>
    </row>
    <row r="68" spans="1:8" s="202" customFormat="1" ht="47.25" x14ac:dyDescent="0.25">
      <c r="A68" s="45" t="s">
        <v>196</v>
      </c>
      <c r="B68" s="40" t="s">
        <v>125</v>
      </c>
      <c r="C68" s="20" t="s">
        <v>157</v>
      </c>
      <c r="D68" s="40" t="s">
        <v>930</v>
      </c>
      <c r="E68" s="40"/>
      <c r="F68" s="6">
        <f>F69+F71</f>
        <v>499.29999999999995</v>
      </c>
      <c r="G68" s="6">
        <f>G69+G71</f>
        <v>83.144999999999996</v>
      </c>
      <c r="H68" s="416">
        <f t="shared" si="0"/>
        <v>16.652313238533946</v>
      </c>
    </row>
    <row r="69" spans="1:8" s="202" customFormat="1" ht="78.75" x14ac:dyDescent="0.25">
      <c r="A69" s="29" t="s">
        <v>134</v>
      </c>
      <c r="B69" s="40" t="s">
        <v>125</v>
      </c>
      <c r="C69" s="20" t="s">
        <v>157</v>
      </c>
      <c r="D69" s="40" t="s">
        <v>930</v>
      </c>
      <c r="E69" s="40" t="s">
        <v>135</v>
      </c>
      <c r="F69" s="6">
        <f t="shared" ref="F69:G69" si="13">F70</f>
        <v>499.29999999999995</v>
      </c>
      <c r="G69" s="6">
        <f t="shared" si="13"/>
        <v>83.144999999999996</v>
      </c>
      <c r="H69" s="416">
        <f t="shared" si="0"/>
        <v>16.652313238533946</v>
      </c>
    </row>
    <row r="70" spans="1:8" s="202" customFormat="1" ht="31.5" x14ac:dyDescent="0.25">
      <c r="A70" s="29" t="s">
        <v>136</v>
      </c>
      <c r="B70" s="40" t="s">
        <v>125</v>
      </c>
      <c r="C70" s="20" t="s">
        <v>157</v>
      </c>
      <c r="D70" s="40" t="s">
        <v>930</v>
      </c>
      <c r="E70" s="40" t="s">
        <v>137</v>
      </c>
      <c r="F70" s="6">
        <f>'Пр.4 ведом.21'!G76</f>
        <v>499.29999999999995</v>
      </c>
      <c r="G70" s="6">
        <f>'Пр.4 ведом.21'!H76</f>
        <v>83.144999999999996</v>
      </c>
      <c r="H70" s="416">
        <f t="shared" si="0"/>
        <v>16.652313238533946</v>
      </c>
    </row>
    <row r="71" spans="1:8" s="202" customFormat="1" ht="31.5" hidden="1" x14ac:dyDescent="0.25">
      <c r="A71" s="25" t="s">
        <v>138</v>
      </c>
      <c r="B71" s="40" t="s">
        <v>125</v>
      </c>
      <c r="C71" s="20" t="s">
        <v>157</v>
      </c>
      <c r="D71" s="40" t="s">
        <v>930</v>
      </c>
      <c r="E71" s="40" t="s">
        <v>139</v>
      </c>
      <c r="F71" s="6">
        <f>F72</f>
        <v>0</v>
      </c>
      <c r="G71" s="6">
        <f>G72</f>
        <v>0</v>
      </c>
      <c r="H71" s="416" t="e">
        <f t="shared" si="0"/>
        <v>#DIV/0!</v>
      </c>
    </row>
    <row r="72" spans="1:8" s="202" customFormat="1" ht="31.5" hidden="1" x14ac:dyDescent="0.25">
      <c r="A72" s="25" t="s">
        <v>140</v>
      </c>
      <c r="B72" s="40" t="s">
        <v>125</v>
      </c>
      <c r="C72" s="20" t="s">
        <v>157</v>
      </c>
      <c r="D72" s="40" t="s">
        <v>930</v>
      </c>
      <c r="E72" s="40" t="s">
        <v>141</v>
      </c>
      <c r="F72" s="6">
        <f>'Пр.4 ведом.21'!G78</f>
        <v>0</v>
      </c>
      <c r="G72" s="6">
        <f>'Пр.4 ведом.21'!H78</f>
        <v>0</v>
      </c>
      <c r="H72" s="416" t="e">
        <f t="shared" si="0"/>
        <v>#DIV/0!</v>
      </c>
    </row>
    <row r="73" spans="1:8" s="202" customFormat="1" ht="47.25" x14ac:dyDescent="0.25">
      <c r="A73" s="31" t="s">
        <v>201</v>
      </c>
      <c r="B73" s="40" t="s">
        <v>125</v>
      </c>
      <c r="C73" s="20" t="s">
        <v>157</v>
      </c>
      <c r="D73" s="40" t="s">
        <v>1038</v>
      </c>
      <c r="E73" s="40"/>
      <c r="F73" s="6">
        <f>F74+F76</f>
        <v>1439.3999999999999</v>
      </c>
      <c r="G73" s="6">
        <f>G74+G76</f>
        <v>189.18</v>
      </c>
      <c r="H73" s="416">
        <f t="shared" si="0"/>
        <v>13.142976240100044</v>
      </c>
    </row>
    <row r="74" spans="1:8" s="202" customFormat="1" ht="78.75" x14ac:dyDescent="0.25">
      <c r="A74" s="29" t="s">
        <v>134</v>
      </c>
      <c r="B74" s="40" t="s">
        <v>125</v>
      </c>
      <c r="C74" s="20" t="s">
        <v>157</v>
      </c>
      <c r="D74" s="40" t="s">
        <v>1038</v>
      </c>
      <c r="E74" s="40" t="s">
        <v>135</v>
      </c>
      <c r="F74" s="6">
        <f t="shared" ref="F74:G74" si="14">F75</f>
        <v>1359.1</v>
      </c>
      <c r="G74" s="6">
        <f t="shared" si="14"/>
        <v>184.80500000000001</v>
      </c>
      <c r="H74" s="416">
        <f t="shared" si="0"/>
        <v>13.597601353837099</v>
      </c>
    </row>
    <row r="75" spans="1:8" s="202" customFormat="1" ht="31.5" x14ac:dyDescent="0.25">
      <c r="A75" s="29" t="s">
        <v>136</v>
      </c>
      <c r="B75" s="40" t="s">
        <v>125</v>
      </c>
      <c r="C75" s="20" t="s">
        <v>157</v>
      </c>
      <c r="D75" s="40" t="s">
        <v>1038</v>
      </c>
      <c r="E75" s="40" t="s">
        <v>137</v>
      </c>
      <c r="F75" s="6">
        <f>'Пр.4 ведом.21'!G81</f>
        <v>1359.1</v>
      </c>
      <c r="G75" s="6">
        <f>'Пр.4 ведом.21'!H81</f>
        <v>184.80500000000001</v>
      </c>
      <c r="H75" s="416">
        <f t="shared" ref="H75:H138" si="15">G75/F75*100</f>
        <v>13.597601353837099</v>
      </c>
    </row>
    <row r="76" spans="1:8" s="202" customFormat="1" ht="31.5" x14ac:dyDescent="0.25">
      <c r="A76" s="25" t="s">
        <v>138</v>
      </c>
      <c r="B76" s="40" t="s">
        <v>125</v>
      </c>
      <c r="C76" s="20" t="s">
        <v>157</v>
      </c>
      <c r="D76" s="40" t="s">
        <v>1038</v>
      </c>
      <c r="E76" s="40" t="s">
        <v>139</v>
      </c>
      <c r="F76" s="6">
        <f>F77</f>
        <v>80.3</v>
      </c>
      <c r="G76" s="6">
        <f>G77</f>
        <v>4.375</v>
      </c>
      <c r="H76" s="416">
        <f t="shared" si="15"/>
        <v>5.4483188044831881</v>
      </c>
    </row>
    <row r="77" spans="1:8" s="202" customFormat="1" ht="31.5" x14ac:dyDescent="0.25">
      <c r="A77" s="25" t="s">
        <v>140</v>
      </c>
      <c r="B77" s="40" t="s">
        <v>125</v>
      </c>
      <c r="C77" s="20" t="s">
        <v>157</v>
      </c>
      <c r="D77" s="40" t="s">
        <v>1038</v>
      </c>
      <c r="E77" s="40" t="s">
        <v>141</v>
      </c>
      <c r="F77" s="6">
        <f>'Пр.4 ведом.21'!G83</f>
        <v>80.3</v>
      </c>
      <c r="G77" s="6">
        <f>'Пр.4 ведом.21'!H83</f>
        <v>4.375</v>
      </c>
      <c r="H77" s="416">
        <f t="shared" si="15"/>
        <v>5.4483188044831881</v>
      </c>
    </row>
    <row r="78" spans="1:8" ht="47.25" x14ac:dyDescent="0.25">
      <c r="A78" s="45" t="s">
        <v>203</v>
      </c>
      <c r="B78" s="40" t="s">
        <v>125</v>
      </c>
      <c r="C78" s="20" t="s">
        <v>157</v>
      </c>
      <c r="D78" s="40" t="s">
        <v>931</v>
      </c>
      <c r="E78" s="40"/>
      <c r="F78" s="6">
        <f t="shared" ref="F78:G78" si="16">F79+F81</f>
        <v>1334.3000000000002</v>
      </c>
      <c r="G78" s="6">
        <f t="shared" si="16"/>
        <v>123.34099999999999</v>
      </c>
      <c r="H78" s="416">
        <f t="shared" si="15"/>
        <v>9.2438731919358439</v>
      </c>
    </row>
    <row r="79" spans="1:8" ht="81.75" customHeight="1" x14ac:dyDescent="0.25">
      <c r="A79" s="29" t="s">
        <v>134</v>
      </c>
      <c r="B79" s="40" t="s">
        <v>125</v>
      </c>
      <c r="C79" s="20" t="s">
        <v>157</v>
      </c>
      <c r="D79" s="40" t="s">
        <v>931</v>
      </c>
      <c r="E79" s="40" t="s">
        <v>135</v>
      </c>
      <c r="F79" s="6">
        <f t="shared" ref="F79:G79" si="17">F80</f>
        <v>1300.3000000000002</v>
      </c>
      <c r="G79" s="6">
        <f t="shared" si="17"/>
        <v>122.34099999999999</v>
      </c>
      <c r="H79" s="416">
        <f t="shared" si="15"/>
        <v>9.408674921172036</v>
      </c>
    </row>
    <row r="80" spans="1:8" ht="36" customHeight="1" x14ac:dyDescent="0.25">
      <c r="A80" s="29" t="s">
        <v>136</v>
      </c>
      <c r="B80" s="40" t="s">
        <v>125</v>
      </c>
      <c r="C80" s="20" t="s">
        <v>157</v>
      </c>
      <c r="D80" s="40" t="s">
        <v>931</v>
      </c>
      <c r="E80" s="40" t="s">
        <v>137</v>
      </c>
      <c r="F80" s="6">
        <f>'Пр.4 ведом.21'!G86</f>
        <v>1300.3000000000002</v>
      </c>
      <c r="G80" s="6">
        <f>'Пр.4 ведом.21'!H86</f>
        <v>122.34099999999999</v>
      </c>
      <c r="H80" s="416">
        <f t="shared" si="15"/>
        <v>9.408674921172036</v>
      </c>
    </row>
    <row r="81" spans="1:8" ht="31.5" x14ac:dyDescent="0.25">
      <c r="A81" s="29" t="s">
        <v>138</v>
      </c>
      <c r="B81" s="40" t="s">
        <v>125</v>
      </c>
      <c r="C81" s="20" t="s">
        <v>157</v>
      </c>
      <c r="D81" s="40" t="s">
        <v>931</v>
      </c>
      <c r="E81" s="40" t="s">
        <v>139</v>
      </c>
      <c r="F81" s="6">
        <f t="shared" ref="F81:G81" si="18">F82</f>
        <v>34.000000000000007</v>
      </c>
      <c r="G81" s="6">
        <f t="shared" si="18"/>
        <v>1</v>
      </c>
      <c r="H81" s="416">
        <f t="shared" si="15"/>
        <v>2.9411764705882346</v>
      </c>
    </row>
    <row r="82" spans="1:8" ht="31.5" x14ac:dyDescent="0.25">
      <c r="A82" s="29" t="s">
        <v>140</v>
      </c>
      <c r="B82" s="40" t="s">
        <v>125</v>
      </c>
      <c r="C82" s="20" t="s">
        <v>157</v>
      </c>
      <c r="D82" s="40" t="s">
        <v>931</v>
      </c>
      <c r="E82" s="40" t="s">
        <v>141</v>
      </c>
      <c r="F82" s="6">
        <f>'Пр.4 ведом.21'!G88</f>
        <v>34.000000000000007</v>
      </c>
      <c r="G82" s="6">
        <f>'Пр.4 ведом.21'!H88</f>
        <v>1</v>
      </c>
      <c r="H82" s="416">
        <f t="shared" si="15"/>
        <v>2.9411764705882346</v>
      </c>
    </row>
    <row r="83" spans="1:8" s="202" customFormat="1" ht="94.5" x14ac:dyDescent="0.25">
      <c r="A83" s="31" t="s">
        <v>1183</v>
      </c>
      <c r="B83" s="20" t="s">
        <v>125</v>
      </c>
      <c r="C83" s="20" t="s">
        <v>157</v>
      </c>
      <c r="D83" s="20" t="s">
        <v>1182</v>
      </c>
      <c r="E83" s="20"/>
      <c r="F83" s="26">
        <f>F84</f>
        <v>22.3</v>
      </c>
      <c r="G83" s="26">
        <f>G84</f>
        <v>0</v>
      </c>
      <c r="H83" s="416">
        <f t="shared" si="15"/>
        <v>0</v>
      </c>
    </row>
    <row r="84" spans="1:8" s="202" customFormat="1" ht="78.75" x14ac:dyDescent="0.25">
      <c r="A84" s="25" t="s">
        <v>134</v>
      </c>
      <c r="B84" s="20" t="s">
        <v>125</v>
      </c>
      <c r="C84" s="20" t="s">
        <v>157</v>
      </c>
      <c r="D84" s="20" t="s">
        <v>1182</v>
      </c>
      <c r="E84" s="20" t="s">
        <v>135</v>
      </c>
      <c r="F84" s="26">
        <f>F85</f>
        <v>22.3</v>
      </c>
      <c r="G84" s="26">
        <f>G85</f>
        <v>0</v>
      </c>
      <c r="H84" s="416">
        <f t="shared" si="15"/>
        <v>0</v>
      </c>
    </row>
    <row r="85" spans="1:8" s="202" customFormat="1" ht="31.5" x14ac:dyDescent="0.25">
      <c r="A85" s="25" t="s">
        <v>136</v>
      </c>
      <c r="B85" s="20" t="s">
        <v>125</v>
      </c>
      <c r="C85" s="20" t="s">
        <v>157</v>
      </c>
      <c r="D85" s="20" t="s">
        <v>1182</v>
      </c>
      <c r="E85" s="20" t="s">
        <v>137</v>
      </c>
      <c r="F85" s="26">
        <f>'Пр.4 ведом.21'!G498</f>
        <v>22.3</v>
      </c>
      <c r="G85" s="26">
        <f>'Пр.4 ведом.21'!H498</f>
        <v>0</v>
      </c>
      <c r="H85" s="416">
        <f t="shared" si="15"/>
        <v>0</v>
      </c>
    </row>
    <row r="86" spans="1:8" s="202" customFormat="1" ht="47.25" x14ac:dyDescent="0.25">
      <c r="A86" s="23" t="s">
        <v>1355</v>
      </c>
      <c r="B86" s="24" t="s">
        <v>125</v>
      </c>
      <c r="C86" s="24" t="s">
        <v>157</v>
      </c>
      <c r="D86" s="24" t="s">
        <v>169</v>
      </c>
      <c r="E86" s="24"/>
      <c r="F86" s="4">
        <f>F87+F91+F100</f>
        <v>683.5</v>
      </c>
      <c r="G86" s="4">
        <f>G87+G91+G100</f>
        <v>243.74799999999999</v>
      </c>
      <c r="H86" s="441">
        <f t="shared" si="15"/>
        <v>35.661741038771027</v>
      </c>
    </row>
    <row r="87" spans="1:8" s="202" customFormat="1" ht="63" x14ac:dyDescent="0.25">
      <c r="A87" s="290" t="s">
        <v>1356</v>
      </c>
      <c r="B87" s="24" t="s">
        <v>125</v>
      </c>
      <c r="C87" s="24" t="s">
        <v>157</v>
      </c>
      <c r="D87" s="7" t="s">
        <v>859</v>
      </c>
      <c r="E87" s="24"/>
      <c r="F87" s="4">
        <f t="shared" ref="F87:G89" si="19">F88</f>
        <v>545.70000000000005</v>
      </c>
      <c r="G87" s="4">
        <f t="shared" si="19"/>
        <v>106.44799999999999</v>
      </c>
      <c r="H87" s="441">
        <f t="shared" si="15"/>
        <v>19.506688656771118</v>
      </c>
    </row>
    <row r="88" spans="1:8" s="202" customFormat="1" ht="47.25" x14ac:dyDescent="0.25">
      <c r="A88" s="29" t="s">
        <v>1323</v>
      </c>
      <c r="B88" s="20" t="s">
        <v>125</v>
      </c>
      <c r="C88" s="20" t="s">
        <v>157</v>
      </c>
      <c r="D88" s="40" t="s">
        <v>851</v>
      </c>
      <c r="E88" s="20"/>
      <c r="F88" s="6">
        <f t="shared" si="19"/>
        <v>545.70000000000005</v>
      </c>
      <c r="G88" s="6">
        <f t="shared" si="19"/>
        <v>106.44799999999999</v>
      </c>
      <c r="H88" s="416">
        <f t="shared" si="15"/>
        <v>19.506688656771118</v>
      </c>
    </row>
    <row r="89" spans="1:8" s="202" customFormat="1" ht="31.5" x14ac:dyDescent="0.25">
      <c r="A89" s="25" t="s">
        <v>138</v>
      </c>
      <c r="B89" s="20" t="s">
        <v>125</v>
      </c>
      <c r="C89" s="20" t="s">
        <v>157</v>
      </c>
      <c r="D89" s="40" t="s">
        <v>851</v>
      </c>
      <c r="E89" s="20" t="s">
        <v>139</v>
      </c>
      <c r="F89" s="6">
        <f t="shared" si="19"/>
        <v>545.70000000000005</v>
      </c>
      <c r="G89" s="6">
        <f t="shared" si="19"/>
        <v>106.44799999999999</v>
      </c>
      <c r="H89" s="416">
        <f t="shared" si="15"/>
        <v>19.506688656771118</v>
      </c>
    </row>
    <row r="90" spans="1:8" s="202" customFormat="1" ht="31.5" x14ac:dyDescent="0.25">
      <c r="A90" s="25" t="s">
        <v>140</v>
      </c>
      <c r="B90" s="20" t="s">
        <v>125</v>
      </c>
      <c r="C90" s="20" t="s">
        <v>157</v>
      </c>
      <c r="D90" s="40" t="s">
        <v>851</v>
      </c>
      <c r="E90" s="20" t="s">
        <v>141</v>
      </c>
      <c r="F90" s="6">
        <f>'Пр.4 ведом.21'!G93</f>
        <v>545.70000000000005</v>
      </c>
      <c r="G90" s="6">
        <f>'Пр.4 ведом.21'!H93</f>
        <v>106.44799999999999</v>
      </c>
      <c r="H90" s="416">
        <f t="shared" si="15"/>
        <v>19.506688656771118</v>
      </c>
    </row>
    <row r="91" spans="1:8" s="202" customFormat="1" ht="63" x14ac:dyDescent="0.25">
      <c r="A91" s="215" t="s">
        <v>853</v>
      </c>
      <c r="B91" s="24" t="s">
        <v>125</v>
      </c>
      <c r="C91" s="24" t="s">
        <v>157</v>
      </c>
      <c r="D91" s="7" t="s">
        <v>860</v>
      </c>
      <c r="E91" s="24"/>
      <c r="F91" s="4">
        <f>F92+F97</f>
        <v>137.30000000000001</v>
      </c>
      <c r="G91" s="4">
        <f>G92+G97</f>
        <v>137.30000000000001</v>
      </c>
      <c r="H91" s="441">
        <f t="shared" si="15"/>
        <v>100</v>
      </c>
    </row>
    <row r="92" spans="1:8" s="202" customFormat="1" ht="47.25" x14ac:dyDescent="0.25">
      <c r="A92" s="176" t="s">
        <v>172</v>
      </c>
      <c r="B92" s="20" t="s">
        <v>125</v>
      </c>
      <c r="C92" s="20" t="s">
        <v>157</v>
      </c>
      <c r="D92" s="40" t="s">
        <v>852</v>
      </c>
      <c r="E92" s="20"/>
      <c r="F92" s="6">
        <f>F93+F95</f>
        <v>137.30000000000001</v>
      </c>
      <c r="G92" s="6">
        <f>G93+G95</f>
        <v>137.30000000000001</v>
      </c>
      <c r="H92" s="416">
        <f t="shared" si="15"/>
        <v>100</v>
      </c>
    </row>
    <row r="93" spans="1:8" s="202" customFormat="1" ht="78.75" x14ac:dyDescent="0.25">
      <c r="A93" s="25" t="s">
        <v>134</v>
      </c>
      <c r="B93" s="20" t="s">
        <v>125</v>
      </c>
      <c r="C93" s="20" t="s">
        <v>157</v>
      </c>
      <c r="D93" s="40" t="s">
        <v>852</v>
      </c>
      <c r="E93" s="20" t="s">
        <v>135</v>
      </c>
      <c r="F93" s="6">
        <f>F94</f>
        <v>92.3</v>
      </c>
      <c r="G93" s="6">
        <f>G94</f>
        <v>92.3</v>
      </c>
      <c r="H93" s="416">
        <f t="shared" si="15"/>
        <v>100</v>
      </c>
    </row>
    <row r="94" spans="1:8" s="202" customFormat="1" ht="31.5" x14ac:dyDescent="0.25">
      <c r="A94" s="25" t="s">
        <v>136</v>
      </c>
      <c r="B94" s="20" t="s">
        <v>125</v>
      </c>
      <c r="C94" s="20" t="s">
        <v>157</v>
      </c>
      <c r="D94" s="40" t="s">
        <v>852</v>
      </c>
      <c r="E94" s="20" t="s">
        <v>137</v>
      </c>
      <c r="F94" s="6">
        <f>'Пр.4 ведом.21'!G97</f>
        <v>92.3</v>
      </c>
      <c r="G94" s="6">
        <f>'Пр.4 ведом.21'!H97</f>
        <v>92.3</v>
      </c>
      <c r="H94" s="416">
        <f t="shared" si="15"/>
        <v>100</v>
      </c>
    </row>
    <row r="95" spans="1:8" s="202" customFormat="1" ht="31.5" x14ac:dyDescent="0.25">
      <c r="A95" s="25" t="s">
        <v>138</v>
      </c>
      <c r="B95" s="20" t="s">
        <v>125</v>
      </c>
      <c r="C95" s="20" t="s">
        <v>157</v>
      </c>
      <c r="D95" s="40" t="s">
        <v>852</v>
      </c>
      <c r="E95" s="20" t="s">
        <v>139</v>
      </c>
      <c r="F95" s="6">
        <f>F96</f>
        <v>45</v>
      </c>
      <c r="G95" s="6">
        <f>G96</f>
        <v>45</v>
      </c>
      <c r="H95" s="416">
        <f t="shared" si="15"/>
        <v>100</v>
      </c>
    </row>
    <row r="96" spans="1:8" s="202" customFormat="1" ht="31.5" x14ac:dyDescent="0.25">
      <c r="A96" s="25" t="s">
        <v>140</v>
      </c>
      <c r="B96" s="20" t="s">
        <v>125</v>
      </c>
      <c r="C96" s="20" t="s">
        <v>157</v>
      </c>
      <c r="D96" s="40" t="s">
        <v>852</v>
      </c>
      <c r="E96" s="20" t="s">
        <v>141</v>
      </c>
      <c r="F96" s="6">
        <f>'Пр.4 ведом.21'!G99</f>
        <v>45</v>
      </c>
      <c r="G96" s="6">
        <f>'Пр.4 ведом.21'!H99</f>
        <v>45</v>
      </c>
      <c r="H96" s="416">
        <f t="shared" si="15"/>
        <v>100</v>
      </c>
    </row>
    <row r="97" spans="1:8" s="202" customFormat="1" ht="47.25" hidden="1" x14ac:dyDescent="0.25">
      <c r="A97" s="31" t="s">
        <v>1105</v>
      </c>
      <c r="B97" s="20" t="s">
        <v>125</v>
      </c>
      <c r="C97" s="20" t="s">
        <v>157</v>
      </c>
      <c r="D97" s="40" t="s">
        <v>1003</v>
      </c>
      <c r="E97" s="20"/>
      <c r="F97" s="26">
        <f>F98</f>
        <v>0</v>
      </c>
      <c r="G97" s="26">
        <f>G98</f>
        <v>0</v>
      </c>
      <c r="H97" s="416" t="e">
        <f t="shared" si="15"/>
        <v>#DIV/0!</v>
      </c>
    </row>
    <row r="98" spans="1:8" s="202" customFormat="1" ht="31.5" hidden="1" x14ac:dyDescent="0.25">
      <c r="A98" s="25" t="s">
        <v>138</v>
      </c>
      <c r="B98" s="20" t="s">
        <v>125</v>
      </c>
      <c r="C98" s="20" t="s">
        <v>157</v>
      </c>
      <c r="D98" s="40" t="s">
        <v>1003</v>
      </c>
      <c r="E98" s="20" t="s">
        <v>139</v>
      </c>
      <c r="F98" s="26">
        <f>F99</f>
        <v>0</v>
      </c>
      <c r="G98" s="26">
        <f>G99</f>
        <v>0</v>
      </c>
      <c r="H98" s="416" t="e">
        <f t="shared" si="15"/>
        <v>#DIV/0!</v>
      </c>
    </row>
    <row r="99" spans="1:8" s="202" customFormat="1" ht="31.5" hidden="1" x14ac:dyDescent="0.25">
      <c r="A99" s="25" t="s">
        <v>140</v>
      </c>
      <c r="B99" s="20" t="s">
        <v>125</v>
      </c>
      <c r="C99" s="20" t="s">
        <v>157</v>
      </c>
      <c r="D99" s="40" t="s">
        <v>1003</v>
      </c>
      <c r="E99" s="20" t="s">
        <v>141</v>
      </c>
      <c r="F99" s="26"/>
      <c r="G99" s="26"/>
      <c r="H99" s="416" t="e">
        <f t="shared" si="15"/>
        <v>#DIV/0!</v>
      </c>
    </row>
    <row r="100" spans="1:8" s="202" customFormat="1" ht="63" x14ac:dyDescent="0.25">
      <c r="A100" s="216" t="s">
        <v>1013</v>
      </c>
      <c r="B100" s="24" t="s">
        <v>125</v>
      </c>
      <c r="C100" s="24" t="s">
        <v>157</v>
      </c>
      <c r="D100" s="7" t="s">
        <v>861</v>
      </c>
      <c r="E100" s="24"/>
      <c r="F100" s="4">
        <f t="shared" ref="F100:G102" si="20">F101</f>
        <v>0.5</v>
      </c>
      <c r="G100" s="4">
        <f t="shared" si="20"/>
        <v>0</v>
      </c>
      <c r="H100" s="441">
        <f t="shared" si="15"/>
        <v>0</v>
      </c>
    </row>
    <row r="101" spans="1:8" s="202" customFormat="1" ht="47.25" x14ac:dyDescent="0.25">
      <c r="A101" s="33" t="s">
        <v>198</v>
      </c>
      <c r="B101" s="20" t="s">
        <v>125</v>
      </c>
      <c r="C101" s="20" t="s">
        <v>157</v>
      </c>
      <c r="D101" s="40" t="s">
        <v>854</v>
      </c>
      <c r="E101" s="20"/>
      <c r="F101" s="6">
        <f t="shared" si="20"/>
        <v>0.5</v>
      </c>
      <c r="G101" s="6">
        <f t="shared" si="20"/>
        <v>0</v>
      </c>
      <c r="H101" s="416">
        <f t="shared" si="15"/>
        <v>0</v>
      </c>
    </row>
    <row r="102" spans="1:8" s="202" customFormat="1" ht="31.5" x14ac:dyDescent="0.25">
      <c r="A102" s="25" t="s">
        <v>138</v>
      </c>
      <c r="B102" s="20" t="s">
        <v>125</v>
      </c>
      <c r="C102" s="20" t="s">
        <v>157</v>
      </c>
      <c r="D102" s="40" t="s">
        <v>854</v>
      </c>
      <c r="E102" s="20" t="s">
        <v>139</v>
      </c>
      <c r="F102" s="6">
        <f t="shared" si="20"/>
        <v>0.5</v>
      </c>
      <c r="G102" s="6">
        <f t="shared" si="20"/>
        <v>0</v>
      </c>
      <c r="H102" s="416">
        <f t="shared" si="15"/>
        <v>0</v>
      </c>
    </row>
    <row r="103" spans="1:8" s="202" customFormat="1" ht="31.5" x14ac:dyDescent="0.25">
      <c r="A103" s="25" t="s">
        <v>140</v>
      </c>
      <c r="B103" s="20" t="s">
        <v>125</v>
      </c>
      <c r="C103" s="20" t="s">
        <v>157</v>
      </c>
      <c r="D103" s="40" t="s">
        <v>854</v>
      </c>
      <c r="E103" s="20" t="s">
        <v>141</v>
      </c>
      <c r="F103" s="6">
        <f>'Пр.4 ведом.21'!G106</f>
        <v>0.5</v>
      </c>
      <c r="G103" s="6">
        <f>'Пр.4 ведом.21'!H106</f>
        <v>0</v>
      </c>
      <c r="H103" s="416">
        <f t="shared" si="15"/>
        <v>0</v>
      </c>
    </row>
    <row r="104" spans="1:8" ht="47.25" x14ac:dyDescent="0.25">
      <c r="A104" s="41" t="s">
        <v>126</v>
      </c>
      <c r="B104" s="7" t="s">
        <v>125</v>
      </c>
      <c r="C104" s="7" t="s">
        <v>127</v>
      </c>
      <c r="D104" s="7"/>
      <c r="E104" s="7"/>
      <c r="F104" s="4">
        <f t="shared" ref="F104:G104" si="21">F105</f>
        <v>16636.7</v>
      </c>
      <c r="G104" s="4">
        <f t="shared" si="21"/>
        <v>3525.181</v>
      </c>
      <c r="H104" s="441">
        <f t="shared" si="15"/>
        <v>21.189184153107284</v>
      </c>
    </row>
    <row r="105" spans="1:8" ht="31.5" x14ac:dyDescent="0.25">
      <c r="A105" s="23" t="s">
        <v>927</v>
      </c>
      <c r="B105" s="7" t="s">
        <v>125</v>
      </c>
      <c r="C105" s="7" t="s">
        <v>127</v>
      </c>
      <c r="D105" s="7" t="s">
        <v>868</v>
      </c>
      <c r="E105" s="7"/>
      <c r="F105" s="4">
        <f>F115+F106</f>
        <v>16636.7</v>
      </c>
      <c r="G105" s="4">
        <f>G115+G106</f>
        <v>3525.181</v>
      </c>
      <c r="H105" s="441">
        <f t="shared" si="15"/>
        <v>21.189184153107284</v>
      </c>
    </row>
    <row r="106" spans="1:8" s="202" customFormat="1" ht="31.5" x14ac:dyDescent="0.25">
      <c r="A106" s="23" t="s">
        <v>996</v>
      </c>
      <c r="B106" s="7" t="s">
        <v>125</v>
      </c>
      <c r="C106" s="7" t="s">
        <v>127</v>
      </c>
      <c r="D106" s="7" t="s">
        <v>997</v>
      </c>
      <c r="E106" s="7"/>
      <c r="F106" s="4">
        <f>F107+F112</f>
        <v>1798.5</v>
      </c>
      <c r="G106" s="4">
        <f>G107+G112</f>
        <v>387.57</v>
      </c>
      <c r="H106" s="441">
        <f t="shared" si="15"/>
        <v>21.549624687239366</v>
      </c>
    </row>
    <row r="107" spans="1:8" s="202" customFormat="1" ht="31.5" x14ac:dyDescent="0.25">
      <c r="A107" s="25" t="s">
        <v>907</v>
      </c>
      <c r="B107" s="20" t="s">
        <v>125</v>
      </c>
      <c r="C107" s="20" t="s">
        <v>127</v>
      </c>
      <c r="D107" s="20" t="s">
        <v>1001</v>
      </c>
      <c r="E107" s="20"/>
      <c r="F107" s="6">
        <f>F108+F110</f>
        <v>1752.5</v>
      </c>
      <c r="G107" s="6">
        <f>G108+G110</f>
        <v>387.57</v>
      </c>
      <c r="H107" s="416">
        <f t="shared" si="15"/>
        <v>22.115263908701856</v>
      </c>
    </row>
    <row r="108" spans="1:8" s="202" customFormat="1" ht="78.75" x14ac:dyDescent="0.25">
      <c r="A108" s="25" t="s">
        <v>134</v>
      </c>
      <c r="B108" s="20" t="s">
        <v>125</v>
      </c>
      <c r="C108" s="20" t="s">
        <v>127</v>
      </c>
      <c r="D108" s="20" t="s">
        <v>1001</v>
      </c>
      <c r="E108" s="20" t="s">
        <v>135</v>
      </c>
      <c r="F108" s="6">
        <f>F109</f>
        <v>1734.5</v>
      </c>
      <c r="G108" s="6">
        <f>G109</f>
        <v>387.57</v>
      </c>
      <c r="H108" s="416">
        <f t="shared" si="15"/>
        <v>22.344767944652638</v>
      </c>
    </row>
    <row r="109" spans="1:8" s="202" customFormat="1" ht="31.5" x14ac:dyDescent="0.25">
      <c r="A109" s="25" t="s">
        <v>136</v>
      </c>
      <c r="B109" s="20" t="s">
        <v>125</v>
      </c>
      <c r="C109" s="20" t="s">
        <v>127</v>
      </c>
      <c r="D109" s="20" t="s">
        <v>1001</v>
      </c>
      <c r="E109" s="20" t="s">
        <v>137</v>
      </c>
      <c r="F109" s="6">
        <f>'Пр.4 ведом.21'!G1060</f>
        <v>1734.5</v>
      </c>
      <c r="G109" s="6">
        <f>'Пр.4 ведом.21'!H1060</f>
        <v>387.57</v>
      </c>
      <c r="H109" s="416">
        <f t="shared" si="15"/>
        <v>22.344767944652638</v>
      </c>
    </row>
    <row r="110" spans="1:8" s="202" customFormat="1" ht="31.5" x14ac:dyDescent="0.25">
      <c r="A110" s="25" t="s">
        <v>205</v>
      </c>
      <c r="B110" s="20" t="s">
        <v>125</v>
      </c>
      <c r="C110" s="20" t="s">
        <v>127</v>
      </c>
      <c r="D110" s="20" t="s">
        <v>1001</v>
      </c>
      <c r="E110" s="20" t="s">
        <v>139</v>
      </c>
      <c r="F110" s="6">
        <f>F111</f>
        <v>18</v>
      </c>
      <c r="G110" s="6">
        <f>G111</f>
        <v>0</v>
      </c>
      <c r="H110" s="416">
        <f t="shared" si="15"/>
        <v>0</v>
      </c>
    </row>
    <row r="111" spans="1:8" s="202" customFormat="1" ht="31.5" x14ac:dyDescent="0.25">
      <c r="A111" s="25" t="s">
        <v>140</v>
      </c>
      <c r="B111" s="20" t="s">
        <v>125</v>
      </c>
      <c r="C111" s="20" t="s">
        <v>127</v>
      </c>
      <c r="D111" s="20" t="s">
        <v>1001</v>
      </c>
      <c r="E111" s="20" t="s">
        <v>141</v>
      </c>
      <c r="F111" s="6">
        <f>'Пр.4 ведом.21'!G1062</f>
        <v>18</v>
      </c>
      <c r="G111" s="6">
        <f>'Пр.4 ведом.21'!H1062</f>
        <v>0</v>
      </c>
      <c r="H111" s="416">
        <f t="shared" si="15"/>
        <v>0</v>
      </c>
    </row>
    <row r="112" spans="1:8" s="202" customFormat="1" ht="47.25" x14ac:dyDescent="0.25">
      <c r="A112" s="25" t="s">
        <v>849</v>
      </c>
      <c r="B112" s="20" t="s">
        <v>125</v>
      </c>
      <c r="C112" s="20" t="s">
        <v>127</v>
      </c>
      <c r="D112" s="20" t="s">
        <v>999</v>
      </c>
      <c r="E112" s="20"/>
      <c r="F112" s="6">
        <f>F113</f>
        <v>46</v>
      </c>
      <c r="G112" s="6">
        <f>G113</f>
        <v>0</v>
      </c>
      <c r="H112" s="416">
        <f t="shared" si="15"/>
        <v>0</v>
      </c>
    </row>
    <row r="113" spans="1:8" s="202" customFormat="1" ht="78.75" x14ac:dyDescent="0.25">
      <c r="A113" s="25" t="s">
        <v>134</v>
      </c>
      <c r="B113" s="20" t="s">
        <v>125</v>
      </c>
      <c r="C113" s="20" t="s">
        <v>127</v>
      </c>
      <c r="D113" s="20" t="s">
        <v>999</v>
      </c>
      <c r="E113" s="20" t="s">
        <v>135</v>
      </c>
      <c r="F113" s="6">
        <f>F114</f>
        <v>46</v>
      </c>
      <c r="G113" s="6">
        <f>G114</f>
        <v>0</v>
      </c>
      <c r="H113" s="416">
        <f t="shared" si="15"/>
        <v>0</v>
      </c>
    </row>
    <row r="114" spans="1:8" s="202" customFormat="1" ht="31.5" x14ac:dyDescent="0.25">
      <c r="A114" s="25" t="s">
        <v>136</v>
      </c>
      <c r="B114" s="20" t="s">
        <v>125</v>
      </c>
      <c r="C114" s="20" t="s">
        <v>127</v>
      </c>
      <c r="D114" s="20" t="s">
        <v>999</v>
      </c>
      <c r="E114" s="20" t="s">
        <v>137</v>
      </c>
      <c r="F114" s="6">
        <f>'Пр.4 ведом.21'!G1065</f>
        <v>46</v>
      </c>
      <c r="G114" s="6">
        <f>'Пр.4 ведом.21'!H1065</f>
        <v>0</v>
      </c>
      <c r="H114" s="416">
        <f t="shared" si="15"/>
        <v>0</v>
      </c>
    </row>
    <row r="115" spans="1:8" ht="15.75" x14ac:dyDescent="0.25">
      <c r="A115" s="23" t="s">
        <v>928</v>
      </c>
      <c r="B115" s="7" t="s">
        <v>125</v>
      </c>
      <c r="C115" s="7" t="s">
        <v>127</v>
      </c>
      <c r="D115" s="7" t="s">
        <v>869</v>
      </c>
      <c r="E115" s="7"/>
      <c r="F115" s="4">
        <f>F116+F123</f>
        <v>14838.2</v>
      </c>
      <c r="G115" s="4">
        <f>G116+G123</f>
        <v>3137.6109999999999</v>
      </c>
      <c r="H115" s="441">
        <f t="shared" si="15"/>
        <v>21.145496084430722</v>
      </c>
    </row>
    <row r="116" spans="1:8" ht="37.5" customHeight="1" x14ac:dyDescent="0.25">
      <c r="A116" s="29" t="s">
        <v>907</v>
      </c>
      <c r="B116" s="40" t="s">
        <v>125</v>
      </c>
      <c r="C116" s="40" t="s">
        <v>127</v>
      </c>
      <c r="D116" s="40" t="s">
        <v>870</v>
      </c>
      <c r="E116" s="40"/>
      <c r="F116" s="6">
        <f t="shared" ref="F116:G116" si="22">F117+F119+F121</f>
        <v>14372.2</v>
      </c>
      <c r="G116" s="6">
        <f t="shared" si="22"/>
        <v>3137.6109999999999</v>
      </c>
      <c r="H116" s="416">
        <f t="shared" si="15"/>
        <v>21.831111451273983</v>
      </c>
    </row>
    <row r="117" spans="1:8" ht="78.75" x14ac:dyDescent="0.25">
      <c r="A117" s="29" t="s">
        <v>134</v>
      </c>
      <c r="B117" s="40" t="s">
        <v>125</v>
      </c>
      <c r="C117" s="40" t="s">
        <v>127</v>
      </c>
      <c r="D117" s="40" t="s">
        <v>870</v>
      </c>
      <c r="E117" s="40" t="s">
        <v>135</v>
      </c>
      <c r="F117" s="6">
        <f t="shared" ref="F117:G117" si="23">F118</f>
        <v>13367.2</v>
      </c>
      <c r="G117" s="6">
        <f t="shared" si="23"/>
        <v>3029.3330000000001</v>
      </c>
      <c r="H117" s="416">
        <f t="shared" si="15"/>
        <v>22.662434915315099</v>
      </c>
    </row>
    <row r="118" spans="1:8" ht="31.5" x14ac:dyDescent="0.25">
      <c r="A118" s="29" t="s">
        <v>136</v>
      </c>
      <c r="B118" s="40" t="s">
        <v>125</v>
      </c>
      <c r="C118" s="40" t="s">
        <v>127</v>
      </c>
      <c r="D118" s="40" t="s">
        <v>870</v>
      </c>
      <c r="E118" s="40" t="s">
        <v>137</v>
      </c>
      <c r="F118" s="366">
        <f>'Пр.4 ведом.21'!G17+'Пр.4 ведом.21'!G115</f>
        <v>13367.2</v>
      </c>
      <c r="G118" s="366">
        <f>'Пр.4 ведом.21'!H17+'Пр.4 ведом.21'!H115</f>
        <v>3029.3330000000001</v>
      </c>
      <c r="H118" s="416">
        <f t="shared" si="15"/>
        <v>22.662434915315099</v>
      </c>
    </row>
    <row r="119" spans="1:8" ht="31.5" x14ac:dyDescent="0.25">
      <c r="A119" s="29" t="s">
        <v>138</v>
      </c>
      <c r="B119" s="40" t="s">
        <v>125</v>
      </c>
      <c r="C119" s="40" t="s">
        <v>127</v>
      </c>
      <c r="D119" s="40" t="s">
        <v>870</v>
      </c>
      <c r="E119" s="40" t="s">
        <v>139</v>
      </c>
      <c r="F119" s="6">
        <f t="shared" ref="F119:G119" si="24">F120</f>
        <v>980</v>
      </c>
      <c r="G119" s="6">
        <f t="shared" si="24"/>
        <v>108.27800000000001</v>
      </c>
      <c r="H119" s="416">
        <f t="shared" si="15"/>
        <v>11.048775510204083</v>
      </c>
    </row>
    <row r="120" spans="1:8" ht="31.5" x14ac:dyDescent="0.25">
      <c r="A120" s="29" t="s">
        <v>140</v>
      </c>
      <c r="B120" s="40" t="s">
        <v>125</v>
      </c>
      <c r="C120" s="40" t="s">
        <v>127</v>
      </c>
      <c r="D120" s="40" t="s">
        <v>870</v>
      </c>
      <c r="E120" s="40" t="s">
        <v>141</v>
      </c>
      <c r="F120" s="6">
        <f>'Пр.4 ведом.21'!G19</f>
        <v>980</v>
      </c>
      <c r="G120" s="6">
        <f>'Пр.4 ведом.21'!H19</f>
        <v>108.27800000000001</v>
      </c>
      <c r="H120" s="416">
        <f t="shared" si="15"/>
        <v>11.048775510204083</v>
      </c>
    </row>
    <row r="121" spans="1:8" ht="15.75" x14ac:dyDescent="0.25">
      <c r="A121" s="29" t="s">
        <v>142</v>
      </c>
      <c r="B121" s="40" t="s">
        <v>125</v>
      </c>
      <c r="C121" s="40" t="s">
        <v>127</v>
      </c>
      <c r="D121" s="40" t="s">
        <v>870</v>
      </c>
      <c r="E121" s="40" t="s">
        <v>152</v>
      </c>
      <c r="F121" s="6">
        <f t="shared" ref="F121:G121" si="25">F122</f>
        <v>25</v>
      </c>
      <c r="G121" s="6">
        <f t="shared" si="25"/>
        <v>0</v>
      </c>
      <c r="H121" s="416">
        <f t="shared" si="15"/>
        <v>0</v>
      </c>
    </row>
    <row r="122" spans="1:8" ht="15.75" x14ac:dyDescent="0.25">
      <c r="A122" s="29" t="s">
        <v>575</v>
      </c>
      <c r="B122" s="40" t="s">
        <v>125</v>
      </c>
      <c r="C122" s="40" t="s">
        <v>127</v>
      </c>
      <c r="D122" s="40" t="s">
        <v>870</v>
      </c>
      <c r="E122" s="40" t="s">
        <v>145</v>
      </c>
      <c r="F122" s="6">
        <f>'Пр.4 ведом.21'!G21</f>
        <v>25</v>
      </c>
      <c r="G122" s="6">
        <f>'Пр.4 ведом.21'!H21</f>
        <v>0</v>
      </c>
      <c r="H122" s="416">
        <f t="shared" si="15"/>
        <v>0</v>
      </c>
    </row>
    <row r="123" spans="1:8" s="202" customFormat="1" ht="54" customHeight="1" x14ac:dyDescent="0.25">
      <c r="A123" s="25" t="s">
        <v>849</v>
      </c>
      <c r="B123" s="20" t="s">
        <v>125</v>
      </c>
      <c r="C123" s="20" t="s">
        <v>127</v>
      </c>
      <c r="D123" s="20" t="s">
        <v>872</v>
      </c>
      <c r="E123" s="20"/>
      <c r="F123" s="6">
        <f>F124</f>
        <v>466</v>
      </c>
      <c r="G123" s="6">
        <f>G124</f>
        <v>0</v>
      </c>
      <c r="H123" s="416">
        <f t="shared" si="15"/>
        <v>0</v>
      </c>
    </row>
    <row r="124" spans="1:8" s="202" customFormat="1" ht="80.45" customHeight="1" x14ac:dyDescent="0.25">
      <c r="A124" s="25" t="s">
        <v>134</v>
      </c>
      <c r="B124" s="20" t="s">
        <v>125</v>
      </c>
      <c r="C124" s="20" t="s">
        <v>127</v>
      </c>
      <c r="D124" s="20" t="s">
        <v>872</v>
      </c>
      <c r="E124" s="20" t="s">
        <v>135</v>
      </c>
      <c r="F124" s="6">
        <f>F125</f>
        <v>466</v>
      </c>
      <c r="G124" s="6">
        <f>G125</f>
        <v>0</v>
      </c>
      <c r="H124" s="416">
        <f t="shared" si="15"/>
        <v>0</v>
      </c>
    </row>
    <row r="125" spans="1:8" s="202" customFormat="1" ht="36" customHeight="1" x14ac:dyDescent="0.25">
      <c r="A125" s="25" t="s">
        <v>136</v>
      </c>
      <c r="B125" s="20" t="s">
        <v>125</v>
      </c>
      <c r="C125" s="20" t="s">
        <v>127</v>
      </c>
      <c r="D125" s="20" t="s">
        <v>872</v>
      </c>
      <c r="E125" s="20" t="s">
        <v>137</v>
      </c>
      <c r="F125" s="6">
        <f>'Пр.4 ведом.21'!G24+'Пр.4 ведом.21'!G118</f>
        <v>466</v>
      </c>
      <c r="G125" s="6">
        <f>'Пр.4 ведом.21'!H24+'Пр.4 ведом.21'!H118</f>
        <v>0</v>
      </c>
      <c r="H125" s="416">
        <f t="shared" si="15"/>
        <v>0</v>
      </c>
    </row>
    <row r="126" spans="1:8" s="202" customFormat="1" ht="20.25" hidden="1" customHeight="1" x14ac:dyDescent="0.25">
      <c r="A126" s="23" t="s">
        <v>1161</v>
      </c>
      <c r="B126" s="24" t="s">
        <v>125</v>
      </c>
      <c r="C126" s="24" t="s">
        <v>271</v>
      </c>
      <c r="D126" s="24"/>
      <c r="E126" s="20"/>
      <c r="F126" s="21">
        <f t="shared" ref="F126:G128" si="26">F127</f>
        <v>0</v>
      </c>
      <c r="G126" s="21">
        <f t="shared" si="26"/>
        <v>0</v>
      </c>
      <c r="H126" s="416" t="e">
        <f t="shared" si="15"/>
        <v>#DIV/0!</v>
      </c>
    </row>
    <row r="127" spans="1:8" s="202" customFormat="1" ht="23.25" hidden="1" customHeight="1" x14ac:dyDescent="0.25">
      <c r="A127" s="23" t="s">
        <v>148</v>
      </c>
      <c r="B127" s="24" t="s">
        <v>125</v>
      </c>
      <c r="C127" s="24" t="s">
        <v>271</v>
      </c>
      <c r="D127" s="24" t="s">
        <v>876</v>
      </c>
      <c r="E127" s="20"/>
      <c r="F127" s="21">
        <f t="shared" si="26"/>
        <v>0</v>
      </c>
      <c r="G127" s="21">
        <f t="shared" si="26"/>
        <v>0</v>
      </c>
      <c r="H127" s="416" t="e">
        <f t="shared" si="15"/>
        <v>#DIV/0!</v>
      </c>
    </row>
    <row r="128" spans="1:8" s="202" customFormat="1" ht="36" hidden="1" customHeight="1" x14ac:dyDescent="0.25">
      <c r="A128" s="23" t="s">
        <v>880</v>
      </c>
      <c r="B128" s="24" t="s">
        <v>125</v>
      </c>
      <c r="C128" s="24" t="s">
        <v>271</v>
      </c>
      <c r="D128" s="24" t="s">
        <v>875</v>
      </c>
      <c r="E128" s="20"/>
      <c r="F128" s="21">
        <f t="shared" si="26"/>
        <v>0</v>
      </c>
      <c r="G128" s="21">
        <f t="shared" si="26"/>
        <v>0</v>
      </c>
      <c r="H128" s="416" t="e">
        <f t="shared" si="15"/>
        <v>#DIV/0!</v>
      </c>
    </row>
    <row r="129" spans="1:10" s="202" customFormat="1" ht="24" hidden="1" customHeight="1" x14ac:dyDescent="0.25">
      <c r="A129" s="45" t="s">
        <v>206</v>
      </c>
      <c r="B129" s="20" t="s">
        <v>125</v>
      </c>
      <c r="C129" s="20" t="s">
        <v>271</v>
      </c>
      <c r="D129" s="20" t="s">
        <v>1160</v>
      </c>
      <c r="E129" s="20"/>
      <c r="F129" s="26">
        <f>F130+F132</f>
        <v>0</v>
      </c>
      <c r="G129" s="26">
        <f>G130+G132</f>
        <v>0</v>
      </c>
      <c r="H129" s="416" t="e">
        <f t="shared" si="15"/>
        <v>#DIV/0!</v>
      </c>
    </row>
    <row r="130" spans="1:10" s="202" customFormat="1" ht="78.75" hidden="1" customHeight="1" x14ac:dyDescent="0.25">
      <c r="A130" s="25" t="s">
        <v>134</v>
      </c>
      <c r="B130" s="20" t="s">
        <v>125</v>
      </c>
      <c r="C130" s="20" t="s">
        <v>271</v>
      </c>
      <c r="D130" s="20" t="s">
        <v>1160</v>
      </c>
      <c r="E130" s="20" t="s">
        <v>135</v>
      </c>
      <c r="F130" s="26">
        <f>F131</f>
        <v>0</v>
      </c>
      <c r="G130" s="26">
        <f>G131</f>
        <v>0</v>
      </c>
      <c r="H130" s="416" t="e">
        <f t="shared" si="15"/>
        <v>#DIV/0!</v>
      </c>
    </row>
    <row r="131" spans="1:10" s="202" customFormat="1" ht="36" hidden="1" customHeight="1" x14ac:dyDescent="0.25">
      <c r="A131" s="25" t="s">
        <v>136</v>
      </c>
      <c r="B131" s="20" t="s">
        <v>125</v>
      </c>
      <c r="C131" s="20" t="s">
        <v>271</v>
      </c>
      <c r="D131" s="20" t="s">
        <v>1160</v>
      </c>
      <c r="E131" s="20" t="s">
        <v>137</v>
      </c>
      <c r="F131" s="26">
        <f>'Пр.4 ведом.21'!G124</f>
        <v>0</v>
      </c>
      <c r="G131" s="26">
        <f>'Пр.4 ведом.21'!H124</f>
        <v>0</v>
      </c>
      <c r="H131" s="416" t="e">
        <f t="shared" si="15"/>
        <v>#DIV/0!</v>
      </c>
    </row>
    <row r="132" spans="1:10" s="202" customFormat="1" ht="36" hidden="1" customHeight="1" x14ac:dyDescent="0.25">
      <c r="A132" s="25" t="s">
        <v>205</v>
      </c>
      <c r="B132" s="20" t="s">
        <v>125</v>
      </c>
      <c r="C132" s="20" t="s">
        <v>271</v>
      </c>
      <c r="D132" s="20" t="s">
        <v>1160</v>
      </c>
      <c r="E132" s="20" t="s">
        <v>139</v>
      </c>
      <c r="F132" s="26">
        <f>F133</f>
        <v>0</v>
      </c>
      <c r="G132" s="26">
        <f>G133</f>
        <v>0</v>
      </c>
      <c r="H132" s="416" t="e">
        <f t="shared" si="15"/>
        <v>#DIV/0!</v>
      </c>
    </row>
    <row r="133" spans="1:10" s="202" customFormat="1" ht="36" hidden="1" customHeight="1" x14ac:dyDescent="0.25">
      <c r="A133" s="25" t="s">
        <v>140</v>
      </c>
      <c r="B133" s="20" t="s">
        <v>125</v>
      </c>
      <c r="C133" s="20" t="s">
        <v>271</v>
      </c>
      <c r="D133" s="20" t="s">
        <v>1160</v>
      </c>
      <c r="E133" s="20" t="s">
        <v>141</v>
      </c>
      <c r="F133" s="26">
        <f>'Пр.4 ведом.21'!G126</f>
        <v>0</v>
      </c>
      <c r="G133" s="26">
        <f>'Пр.4 ведом.21'!H126</f>
        <v>0</v>
      </c>
      <c r="H133" s="416" t="e">
        <f t="shared" si="15"/>
        <v>#DIV/0!</v>
      </c>
    </row>
    <row r="134" spans="1:10" s="202" customFormat="1" ht="22.7" customHeight="1" x14ac:dyDescent="0.25">
      <c r="A134" s="23" t="s">
        <v>1417</v>
      </c>
      <c r="B134" s="24" t="s">
        <v>125</v>
      </c>
      <c r="C134" s="24" t="s">
        <v>498</v>
      </c>
      <c r="D134" s="24"/>
      <c r="E134" s="24"/>
      <c r="F134" s="21">
        <f>F135</f>
        <v>50</v>
      </c>
      <c r="G134" s="21">
        <f>G135</f>
        <v>0</v>
      </c>
      <c r="H134" s="441">
        <f t="shared" si="15"/>
        <v>0</v>
      </c>
    </row>
    <row r="135" spans="1:10" s="202" customFormat="1" ht="18.399999999999999" customHeight="1" x14ac:dyDescent="0.25">
      <c r="A135" s="23" t="s">
        <v>148</v>
      </c>
      <c r="B135" s="24" t="s">
        <v>125</v>
      </c>
      <c r="C135" s="24" t="s">
        <v>498</v>
      </c>
      <c r="D135" s="24" t="s">
        <v>876</v>
      </c>
      <c r="E135" s="24"/>
      <c r="F135" s="21">
        <f t="shared" ref="F135:G137" si="27">F136</f>
        <v>50</v>
      </c>
      <c r="G135" s="21">
        <f t="shared" si="27"/>
        <v>0</v>
      </c>
      <c r="H135" s="441">
        <f t="shared" si="15"/>
        <v>0</v>
      </c>
    </row>
    <row r="136" spans="1:10" s="202" customFormat="1" ht="36" customHeight="1" x14ac:dyDescent="0.25">
      <c r="A136" s="23" t="s">
        <v>880</v>
      </c>
      <c r="B136" s="24" t="s">
        <v>125</v>
      </c>
      <c r="C136" s="24" t="s">
        <v>498</v>
      </c>
      <c r="D136" s="24" t="s">
        <v>875</v>
      </c>
      <c r="E136" s="24"/>
      <c r="F136" s="21">
        <f t="shared" si="27"/>
        <v>50</v>
      </c>
      <c r="G136" s="21">
        <f t="shared" si="27"/>
        <v>0</v>
      </c>
      <c r="H136" s="441">
        <f t="shared" si="15"/>
        <v>0</v>
      </c>
    </row>
    <row r="137" spans="1:10" s="202" customFormat="1" ht="16.350000000000001" customHeight="1" x14ac:dyDescent="0.25">
      <c r="A137" s="25" t="s">
        <v>1151</v>
      </c>
      <c r="B137" s="20" t="s">
        <v>125</v>
      </c>
      <c r="C137" s="20" t="s">
        <v>498</v>
      </c>
      <c r="D137" s="20" t="s">
        <v>1152</v>
      </c>
      <c r="E137" s="20"/>
      <c r="F137" s="26">
        <f t="shared" si="27"/>
        <v>50</v>
      </c>
      <c r="G137" s="26">
        <f t="shared" si="27"/>
        <v>0</v>
      </c>
      <c r="H137" s="416">
        <f t="shared" si="15"/>
        <v>0</v>
      </c>
    </row>
    <row r="138" spans="1:10" s="202" customFormat="1" ht="23.85" customHeight="1" x14ac:dyDescent="0.25">
      <c r="A138" s="25" t="s">
        <v>142</v>
      </c>
      <c r="B138" s="20" t="s">
        <v>125</v>
      </c>
      <c r="C138" s="20" t="s">
        <v>498</v>
      </c>
      <c r="D138" s="20" t="s">
        <v>1152</v>
      </c>
      <c r="E138" s="20" t="s">
        <v>152</v>
      </c>
      <c r="F138" s="26">
        <f>F139</f>
        <v>50</v>
      </c>
      <c r="G138" s="26">
        <f>G139</f>
        <v>0</v>
      </c>
      <c r="H138" s="416">
        <f t="shared" si="15"/>
        <v>0</v>
      </c>
    </row>
    <row r="139" spans="1:10" s="202" customFormat="1" ht="19.7" customHeight="1" x14ac:dyDescent="0.25">
      <c r="A139" s="25" t="s">
        <v>1151</v>
      </c>
      <c r="B139" s="20" t="s">
        <v>125</v>
      </c>
      <c r="C139" s="20" t="s">
        <v>498</v>
      </c>
      <c r="D139" s="20" t="s">
        <v>1152</v>
      </c>
      <c r="E139" s="20" t="s">
        <v>1153</v>
      </c>
      <c r="F139" s="26">
        <f>'Пр.4 ведом.21'!G30</f>
        <v>50</v>
      </c>
      <c r="G139" s="26">
        <f>'Пр.4 ведом.21'!H30</f>
        <v>0</v>
      </c>
      <c r="H139" s="416">
        <f t="shared" ref="H139:H202" si="28">G139/F139*100</f>
        <v>0</v>
      </c>
    </row>
    <row r="140" spans="1:10" ht="15.75" x14ac:dyDescent="0.25">
      <c r="A140" s="41" t="s">
        <v>146</v>
      </c>
      <c r="B140" s="7" t="s">
        <v>125</v>
      </c>
      <c r="C140" s="7" t="s">
        <v>147</v>
      </c>
      <c r="D140" s="7"/>
      <c r="E140" s="7"/>
      <c r="F140" s="4">
        <f>F141+F169+F175+F192+F201+F206+F211</f>
        <v>53806.060000000005</v>
      </c>
      <c r="G140" s="4">
        <f>G141+G169+G175+G192+G201+G206+G211</f>
        <v>8974.6369999999988</v>
      </c>
      <c r="H140" s="441">
        <f t="shared" si="28"/>
        <v>16.679602632119874</v>
      </c>
      <c r="J140" s="22"/>
    </row>
    <row r="141" spans="1:10" s="202" customFormat="1" ht="15.75" x14ac:dyDescent="0.25">
      <c r="A141" s="23" t="s">
        <v>148</v>
      </c>
      <c r="B141" s="24" t="s">
        <v>125</v>
      </c>
      <c r="C141" s="24" t="s">
        <v>147</v>
      </c>
      <c r="D141" s="24" t="s">
        <v>876</v>
      </c>
      <c r="E141" s="24"/>
      <c r="F141" s="4">
        <f>F142+F153+F160</f>
        <v>52313.200000000004</v>
      </c>
      <c r="G141" s="4">
        <f>G142+G153+G160</f>
        <v>8912.1369999999988</v>
      </c>
      <c r="H141" s="441">
        <f t="shared" si="28"/>
        <v>17.036115167873497</v>
      </c>
      <c r="J141" s="22"/>
    </row>
    <row r="142" spans="1:10" s="202" customFormat="1" ht="15.75" x14ac:dyDescent="0.25">
      <c r="A142" s="23" t="s">
        <v>964</v>
      </c>
      <c r="B142" s="24" t="s">
        <v>125</v>
      </c>
      <c r="C142" s="24" t="s">
        <v>147</v>
      </c>
      <c r="D142" s="24" t="s">
        <v>963</v>
      </c>
      <c r="E142" s="24"/>
      <c r="F142" s="368">
        <f>F146+F143</f>
        <v>41282.100000000006</v>
      </c>
      <c r="G142" s="368">
        <f>G146+G143</f>
        <v>7343.3239999999996</v>
      </c>
      <c r="H142" s="441">
        <f t="shared" si="28"/>
        <v>17.788155156835526</v>
      </c>
      <c r="J142" s="22"/>
    </row>
    <row r="143" spans="1:10" s="202" customFormat="1" ht="47.25" x14ac:dyDescent="0.25">
      <c r="A143" s="25" t="s">
        <v>849</v>
      </c>
      <c r="B143" s="20" t="s">
        <v>125</v>
      </c>
      <c r="C143" s="20" t="s">
        <v>147</v>
      </c>
      <c r="D143" s="20" t="s">
        <v>966</v>
      </c>
      <c r="E143" s="20"/>
      <c r="F143" s="6">
        <f>F144</f>
        <v>1072</v>
      </c>
      <c r="G143" s="6">
        <f>G144</f>
        <v>475.86500000000001</v>
      </c>
      <c r="H143" s="416">
        <f t="shared" si="28"/>
        <v>44.390391791044777</v>
      </c>
      <c r="J143" s="22"/>
    </row>
    <row r="144" spans="1:10" s="202" customFormat="1" ht="78.75" x14ac:dyDescent="0.25">
      <c r="A144" s="25" t="s">
        <v>134</v>
      </c>
      <c r="B144" s="20" t="s">
        <v>125</v>
      </c>
      <c r="C144" s="20" t="s">
        <v>147</v>
      </c>
      <c r="D144" s="20" t="s">
        <v>966</v>
      </c>
      <c r="E144" s="20" t="s">
        <v>135</v>
      </c>
      <c r="F144" s="6">
        <f>F145</f>
        <v>1072</v>
      </c>
      <c r="G144" s="6">
        <f>G145</f>
        <v>475.86500000000001</v>
      </c>
      <c r="H144" s="416">
        <f t="shared" si="28"/>
        <v>44.390391791044777</v>
      </c>
      <c r="J144" s="22"/>
    </row>
    <row r="145" spans="1:10" s="202" customFormat="1" ht="31.5" x14ac:dyDescent="0.25">
      <c r="A145" s="25" t="s">
        <v>136</v>
      </c>
      <c r="B145" s="20" t="s">
        <v>125</v>
      </c>
      <c r="C145" s="20" t="s">
        <v>147</v>
      </c>
      <c r="D145" s="20" t="s">
        <v>966</v>
      </c>
      <c r="E145" s="20" t="s">
        <v>216</v>
      </c>
      <c r="F145" s="6">
        <f>'Пр.4 ведом.21'!G826</f>
        <v>1072</v>
      </c>
      <c r="G145" s="6">
        <f>'Пр.4 ведом.21'!H826</f>
        <v>475.86500000000001</v>
      </c>
      <c r="H145" s="416">
        <f t="shared" si="28"/>
        <v>44.390391791044777</v>
      </c>
      <c r="J145" s="22"/>
    </row>
    <row r="146" spans="1:10" s="202" customFormat="1" ht="15.75" x14ac:dyDescent="0.25">
      <c r="A146" s="25" t="s">
        <v>811</v>
      </c>
      <c r="B146" s="20" t="s">
        <v>125</v>
      </c>
      <c r="C146" s="20" t="s">
        <v>147</v>
      </c>
      <c r="D146" s="20" t="s">
        <v>965</v>
      </c>
      <c r="E146" s="20"/>
      <c r="F146" s="366">
        <f t="shared" ref="F146:G146" si="29">F147+F149+F151</f>
        <v>40210.100000000006</v>
      </c>
      <c r="G146" s="366">
        <f t="shared" si="29"/>
        <v>6867.4589999999998</v>
      </c>
      <c r="H146" s="416">
        <f t="shared" si="28"/>
        <v>17.078940365729007</v>
      </c>
      <c r="J146" s="22"/>
    </row>
    <row r="147" spans="1:10" s="202" customFormat="1" ht="78.75" x14ac:dyDescent="0.25">
      <c r="A147" s="25" t="s">
        <v>134</v>
      </c>
      <c r="B147" s="20" t="s">
        <v>125</v>
      </c>
      <c r="C147" s="20" t="s">
        <v>147</v>
      </c>
      <c r="D147" s="20" t="s">
        <v>965</v>
      </c>
      <c r="E147" s="20" t="s">
        <v>135</v>
      </c>
      <c r="F147" s="366">
        <f t="shared" ref="F147:G147" si="30">F148</f>
        <v>32825.800000000003</v>
      </c>
      <c r="G147" s="366">
        <f t="shared" si="30"/>
        <v>6101.0879999999997</v>
      </c>
      <c r="H147" s="416">
        <f t="shared" si="28"/>
        <v>18.586258369940715</v>
      </c>
      <c r="J147" s="22"/>
    </row>
    <row r="148" spans="1:10" s="202" customFormat="1" ht="20.25" customHeight="1" x14ac:dyDescent="0.25">
      <c r="A148" s="46" t="s">
        <v>349</v>
      </c>
      <c r="B148" s="20" t="s">
        <v>125</v>
      </c>
      <c r="C148" s="20" t="s">
        <v>147</v>
      </c>
      <c r="D148" s="20" t="s">
        <v>965</v>
      </c>
      <c r="E148" s="20" t="s">
        <v>216</v>
      </c>
      <c r="F148" s="366">
        <f>'Пр.4 ведом.21'!G829</f>
        <v>32825.800000000003</v>
      </c>
      <c r="G148" s="366">
        <f>'Пр.4 ведом.21'!H829</f>
        <v>6101.0879999999997</v>
      </c>
      <c r="H148" s="416">
        <f t="shared" si="28"/>
        <v>18.586258369940715</v>
      </c>
      <c r="J148" s="22"/>
    </row>
    <row r="149" spans="1:10" s="202" customFormat="1" ht="31.5" x14ac:dyDescent="0.25">
      <c r="A149" s="25" t="s">
        <v>138</v>
      </c>
      <c r="B149" s="20" t="s">
        <v>125</v>
      </c>
      <c r="C149" s="20" t="s">
        <v>147</v>
      </c>
      <c r="D149" s="20" t="s">
        <v>965</v>
      </c>
      <c r="E149" s="20" t="s">
        <v>139</v>
      </c>
      <c r="F149" s="366">
        <f t="shared" ref="F149:G149" si="31">F150</f>
        <v>6963.3</v>
      </c>
      <c r="G149" s="366">
        <f t="shared" si="31"/>
        <v>618.78200000000004</v>
      </c>
      <c r="H149" s="416">
        <f t="shared" si="28"/>
        <v>8.8863326296439915</v>
      </c>
      <c r="J149" s="22"/>
    </row>
    <row r="150" spans="1:10" s="202" customFormat="1" ht="31.5" x14ac:dyDescent="0.25">
      <c r="A150" s="25" t="s">
        <v>140</v>
      </c>
      <c r="B150" s="20" t="s">
        <v>125</v>
      </c>
      <c r="C150" s="20" t="s">
        <v>147</v>
      </c>
      <c r="D150" s="20" t="s">
        <v>965</v>
      </c>
      <c r="E150" s="20" t="s">
        <v>141</v>
      </c>
      <c r="F150" s="366">
        <f>'Пр.4 ведом.21'!G831</f>
        <v>6963.3</v>
      </c>
      <c r="G150" s="366">
        <f>'Пр.4 ведом.21'!H831</f>
        <v>618.78200000000004</v>
      </c>
      <c r="H150" s="416">
        <f t="shared" si="28"/>
        <v>8.8863326296439915</v>
      </c>
      <c r="J150" s="22"/>
    </row>
    <row r="151" spans="1:10" s="202" customFormat="1" ht="15.75" x14ac:dyDescent="0.25">
      <c r="A151" s="25" t="s">
        <v>142</v>
      </c>
      <c r="B151" s="20" t="s">
        <v>125</v>
      </c>
      <c r="C151" s="20" t="s">
        <v>147</v>
      </c>
      <c r="D151" s="20" t="s">
        <v>965</v>
      </c>
      <c r="E151" s="20" t="s">
        <v>152</v>
      </c>
      <c r="F151" s="366">
        <f t="shared" ref="F151:G151" si="32">F152</f>
        <v>421</v>
      </c>
      <c r="G151" s="366">
        <f t="shared" si="32"/>
        <v>147.589</v>
      </c>
      <c r="H151" s="416">
        <f t="shared" si="28"/>
        <v>35.05676959619953</v>
      </c>
      <c r="J151" s="22"/>
    </row>
    <row r="152" spans="1:10" s="202" customFormat="1" ht="15.75" x14ac:dyDescent="0.25">
      <c r="A152" s="25" t="s">
        <v>714</v>
      </c>
      <c r="B152" s="20" t="s">
        <v>125</v>
      </c>
      <c r="C152" s="20" t="s">
        <v>147</v>
      </c>
      <c r="D152" s="20" t="s">
        <v>965</v>
      </c>
      <c r="E152" s="20" t="s">
        <v>145</v>
      </c>
      <c r="F152" s="366">
        <f>'Пр.4 ведом.21'!G833</f>
        <v>421</v>
      </c>
      <c r="G152" s="366">
        <f>'Пр.4 ведом.21'!H833</f>
        <v>147.589</v>
      </c>
      <c r="H152" s="416">
        <f t="shared" si="28"/>
        <v>35.05676959619953</v>
      </c>
      <c r="J152" s="22"/>
    </row>
    <row r="153" spans="1:10" s="202" customFormat="1" ht="31.5" x14ac:dyDescent="0.25">
      <c r="A153" s="23" t="s">
        <v>880</v>
      </c>
      <c r="B153" s="24" t="s">
        <v>125</v>
      </c>
      <c r="C153" s="24" t="s">
        <v>147</v>
      </c>
      <c r="D153" s="24" t="s">
        <v>875</v>
      </c>
      <c r="E153" s="24"/>
      <c r="F153" s="4">
        <f>F154+F157</f>
        <v>5202.1000000000004</v>
      </c>
      <c r="G153" s="4">
        <f>G154+G157</f>
        <v>663.23500000000001</v>
      </c>
      <c r="H153" s="441">
        <f t="shared" si="28"/>
        <v>12.749370446550431</v>
      </c>
      <c r="J153" s="22"/>
    </row>
    <row r="154" spans="1:10" s="202" customFormat="1" ht="47.25" x14ac:dyDescent="0.25">
      <c r="A154" s="25" t="s">
        <v>395</v>
      </c>
      <c r="B154" s="20" t="s">
        <v>125</v>
      </c>
      <c r="C154" s="20" t="s">
        <v>147</v>
      </c>
      <c r="D154" s="20" t="s">
        <v>1021</v>
      </c>
      <c r="E154" s="20"/>
      <c r="F154" s="6">
        <f>F155</f>
        <v>5202.1000000000004</v>
      </c>
      <c r="G154" s="6">
        <f>G155</f>
        <v>663.23500000000001</v>
      </c>
      <c r="H154" s="416">
        <f t="shared" si="28"/>
        <v>12.749370446550431</v>
      </c>
      <c r="J154" s="22"/>
    </row>
    <row r="155" spans="1:10" s="202" customFormat="1" ht="31.5" x14ac:dyDescent="0.25">
      <c r="A155" s="25" t="s">
        <v>138</v>
      </c>
      <c r="B155" s="20" t="s">
        <v>125</v>
      </c>
      <c r="C155" s="20" t="s">
        <v>147</v>
      </c>
      <c r="D155" s="20" t="s">
        <v>1021</v>
      </c>
      <c r="E155" s="20" t="s">
        <v>139</v>
      </c>
      <c r="F155" s="6">
        <f>F156</f>
        <v>5202.1000000000004</v>
      </c>
      <c r="G155" s="6">
        <f>G156</f>
        <v>663.23500000000001</v>
      </c>
      <c r="H155" s="416">
        <f t="shared" si="28"/>
        <v>12.749370446550431</v>
      </c>
      <c r="J155" s="22"/>
    </row>
    <row r="156" spans="1:10" s="202" customFormat="1" ht="31.5" x14ac:dyDescent="0.25">
      <c r="A156" s="25" t="s">
        <v>140</v>
      </c>
      <c r="B156" s="20" t="s">
        <v>125</v>
      </c>
      <c r="C156" s="20" t="s">
        <v>147</v>
      </c>
      <c r="D156" s="20" t="s">
        <v>1021</v>
      </c>
      <c r="E156" s="20" t="s">
        <v>141</v>
      </c>
      <c r="F156" s="6">
        <f>'Пр.4 ведом.21'!G504</f>
        <v>5202.1000000000004</v>
      </c>
      <c r="G156" s="6">
        <f>'Пр.4 ведом.21'!H504</f>
        <v>663.23500000000001</v>
      </c>
      <c r="H156" s="416">
        <f t="shared" si="28"/>
        <v>12.749370446550431</v>
      </c>
      <c r="J156" s="22"/>
    </row>
    <row r="157" spans="1:10" s="202" customFormat="1" ht="31.5" hidden="1" x14ac:dyDescent="0.25">
      <c r="A157" s="25" t="s">
        <v>941</v>
      </c>
      <c r="B157" s="20" t="s">
        <v>125</v>
      </c>
      <c r="C157" s="20" t="s">
        <v>147</v>
      </c>
      <c r="D157" s="20" t="s">
        <v>1022</v>
      </c>
      <c r="E157" s="20"/>
      <c r="F157" s="6">
        <f>F158</f>
        <v>0</v>
      </c>
      <c r="G157" s="6">
        <f>G158</f>
        <v>0</v>
      </c>
      <c r="H157" s="416" t="e">
        <f t="shared" si="28"/>
        <v>#DIV/0!</v>
      </c>
      <c r="J157" s="22"/>
    </row>
    <row r="158" spans="1:10" s="202" customFormat="1" ht="31.5" hidden="1" x14ac:dyDescent="0.25">
      <c r="A158" s="25" t="s">
        <v>138</v>
      </c>
      <c r="B158" s="20" t="s">
        <v>125</v>
      </c>
      <c r="C158" s="20" t="s">
        <v>147</v>
      </c>
      <c r="D158" s="20" t="s">
        <v>1022</v>
      </c>
      <c r="E158" s="20" t="s">
        <v>139</v>
      </c>
      <c r="F158" s="6">
        <f>F159</f>
        <v>0</v>
      </c>
      <c r="G158" s="6">
        <f>G159</f>
        <v>0</v>
      </c>
      <c r="H158" s="416" t="e">
        <f t="shared" si="28"/>
        <v>#DIV/0!</v>
      </c>
      <c r="J158" s="22"/>
    </row>
    <row r="159" spans="1:10" s="202" customFormat="1" ht="31.5" hidden="1" x14ac:dyDescent="0.25">
      <c r="A159" s="25" t="s">
        <v>140</v>
      </c>
      <c r="B159" s="20" t="s">
        <v>125</v>
      </c>
      <c r="C159" s="20" t="s">
        <v>147</v>
      </c>
      <c r="D159" s="20" t="s">
        <v>1022</v>
      </c>
      <c r="E159" s="20" t="s">
        <v>141</v>
      </c>
      <c r="F159" s="6">
        <f>'Пр.4 ведом.21'!G507</f>
        <v>0</v>
      </c>
      <c r="G159" s="6">
        <f>'Пр.4 ведом.21'!H507</f>
        <v>0</v>
      </c>
      <c r="H159" s="416" t="e">
        <f t="shared" si="28"/>
        <v>#DIV/0!</v>
      </c>
      <c r="J159" s="22"/>
    </row>
    <row r="160" spans="1:10" s="202" customFormat="1" ht="31.5" x14ac:dyDescent="0.25">
      <c r="A160" s="23" t="s">
        <v>932</v>
      </c>
      <c r="B160" s="24" t="s">
        <v>125</v>
      </c>
      <c r="C160" s="24" t="s">
        <v>147</v>
      </c>
      <c r="D160" s="24" t="s">
        <v>877</v>
      </c>
      <c r="E160" s="24"/>
      <c r="F160" s="4">
        <f>F161+F166</f>
        <v>5829</v>
      </c>
      <c r="G160" s="4">
        <f>G161+G166</f>
        <v>905.57799999999997</v>
      </c>
      <c r="H160" s="441">
        <f t="shared" si="28"/>
        <v>15.53573511751587</v>
      </c>
      <c r="J160" s="22"/>
    </row>
    <row r="161" spans="1:10" s="202" customFormat="1" ht="31.5" x14ac:dyDescent="0.25">
      <c r="A161" s="25" t="s">
        <v>938</v>
      </c>
      <c r="B161" s="20" t="s">
        <v>125</v>
      </c>
      <c r="C161" s="20" t="s">
        <v>147</v>
      </c>
      <c r="D161" s="20" t="s">
        <v>878</v>
      </c>
      <c r="E161" s="20"/>
      <c r="F161" s="6">
        <f>F162+F164</f>
        <v>5701</v>
      </c>
      <c r="G161" s="6">
        <f>G162+G164</f>
        <v>905.57799999999997</v>
      </c>
      <c r="H161" s="416">
        <f t="shared" si="28"/>
        <v>15.884546570777056</v>
      </c>
      <c r="J161" s="22"/>
    </row>
    <row r="162" spans="1:10" s="202" customFormat="1" ht="78.75" x14ac:dyDescent="0.25">
      <c r="A162" s="25" t="s">
        <v>134</v>
      </c>
      <c r="B162" s="20" t="s">
        <v>125</v>
      </c>
      <c r="C162" s="20" t="s">
        <v>147</v>
      </c>
      <c r="D162" s="20" t="s">
        <v>878</v>
      </c>
      <c r="E162" s="20" t="s">
        <v>135</v>
      </c>
      <c r="F162" s="6">
        <f>F163</f>
        <v>4501</v>
      </c>
      <c r="G162" s="6">
        <f>G163</f>
        <v>882.04300000000001</v>
      </c>
      <c r="H162" s="416">
        <f t="shared" si="28"/>
        <v>19.596600755387691</v>
      </c>
      <c r="J162" s="22"/>
    </row>
    <row r="163" spans="1:10" s="202" customFormat="1" ht="15.75" x14ac:dyDescent="0.25">
      <c r="A163" s="25" t="s">
        <v>215</v>
      </c>
      <c r="B163" s="20" t="s">
        <v>125</v>
      </c>
      <c r="C163" s="20" t="s">
        <v>147</v>
      </c>
      <c r="D163" s="20" t="s">
        <v>878</v>
      </c>
      <c r="E163" s="20" t="s">
        <v>216</v>
      </c>
      <c r="F163" s="6">
        <f>'Пр.4 ведом.21'!G132</f>
        <v>4501</v>
      </c>
      <c r="G163" s="6">
        <f>'Пр.4 ведом.21'!H132</f>
        <v>882.04300000000001</v>
      </c>
      <c r="H163" s="416">
        <f t="shared" si="28"/>
        <v>19.596600755387691</v>
      </c>
      <c r="J163" s="22"/>
    </row>
    <row r="164" spans="1:10" s="202" customFormat="1" ht="31.5" x14ac:dyDescent="0.25">
      <c r="A164" s="25" t="s">
        <v>205</v>
      </c>
      <c r="B164" s="20" t="s">
        <v>125</v>
      </c>
      <c r="C164" s="20" t="s">
        <v>147</v>
      </c>
      <c r="D164" s="20" t="s">
        <v>878</v>
      </c>
      <c r="E164" s="20" t="s">
        <v>139</v>
      </c>
      <c r="F164" s="6">
        <f>F165</f>
        <v>1200</v>
      </c>
      <c r="G164" s="6">
        <f>G165</f>
        <v>23.535</v>
      </c>
      <c r="H164" s="416">
        <f t="shared" si="28"/>
        <v>1.9612500000000002</v>
      </c>
      <c r="J164" s="22"/>
    </row>
    <row r="165" spans="1:10" s="202" customFormat="1" ht="31.5" x14ac:dyDescent="0.25">
      <c r="A165" s="25" t="s">
        <v>140</v>
      </c>
      <c r="B165" s="20" t="s">
        <v>125</v>
      </c>
      <c r="C165" s="20" t="s">
        <v>147</v>
      </c>
      <c r="D165" s="20" t="s">
        <v>878</v>
      </c>
      <c r="E165" s="20" t="s">
        <v>141</v>
      </c>
      <c r="F165" s="6">
        <f>'Пр.4 ведом.21'!G134</f>
        <v>1200</v>
      </c>
      <c r="G165" s="6">
        <f>'Пр.4 ведом.21'!H134</f>
        <v>23.535</v>
      </c>
      <c r="H165" s="416">
        <f t="shared" si="28"/>
        <v>1.9612500000000002</v>
      </c>
      <c r="J165" s="22"/>
    </row>
    <row r="166" spans="1:10" s="202" customFormat="1" ht="47.25" x14ac:dyDescent="0.25">
      <c r="A166" s="25" t="s">
        <v>849</v>
      </c>
      <c r="B166" s="20" t="s">
        <v>125</v>
      </c>
      <c r="C166" s="20" t="s">
        <v>147</v>
      </c>
      <c r="D166" s="20" t="s">
        <v>879</v>
      </c>
      <c r="E166" s="20"/>
      <c r="F166" s="6">
        <f>F167</f>
        <v>128</v>
      </c>
      <c r="G166" s="6">
        <f>G167</f>
        <v>0</v>
      </c>
      <c r="H166" s="416">
        <f t="shared" si="28"/>
        <v>0</v>
      </c>
      <c r="J166" s="22"/>
    </row>
    <row r="167" spans="1:10" s="202" customFormat="1" ht="78.75" x14ac:dyDescent="0.25">
      <c r="A167" s="25" t="s">
        <v>134</v>
      </c>
      <c r="B167" s="20" t="s">
        <v>125</v>
      </c>
      <c r="C167" s="20" t="s">
        <v>147</v>
      </c>
      <c r="D167" s="20" t="s">
        <v>879</v>
      </c>
      <c r="E167" s="20" t="s">
        <v>135</v>
      </c>
      <c r="F167" s="6">
        <f>F168</f>
        <v>128</v>
      </c>
      <c r="G167" s="6">
        <f>G168</f>
        <v>0</v>
      </c>
      <c r="H167" s="416">
        <f t="shared" si="28"/>
        <v>0</v>
      </c>
      <c r="J167" s="22"/>
    </row>
    <row r="168" spans="1:10" s="202" customFormat="1" ht="31.5" x14ac:dyDescent="0.25">
      <c r="A168" s="25" t="s">
        <v>136</v>
      </c>
      <c r="B168" s="20" t="s">
        <v>125</v>
      </c>
      <c r="C168" s="20" t="s">
        <v>147</v>
      </c>
      <c r="D168" s="20" t="s">
        <v>879</v>
      </c>
      <c r="E168" s="20" t="s">
        <v>137</v>
      </c>
      <c r="F168" s="6">
        <f>'Пр.4 ведом.21'!G137</f>
        <v>128</v>
      </c>
      <c r="G168" s="6">
        <f>'Пр.4 ведом.21'!H137</f>
        <v>0</v>
      </c>
      <c r="H168" s="416">
        <f t="shared" si="28"/>
        <v>0</v>
      </c>
      <c r="J168" s="22"/>
    </row>
    <row r="169" spans="1:10" ht="47.25" x14ac:dyDescent="0.25">
      <c r="A169" s="23" t="s">
        <v>1389</v>
      </c>
      <c r="B169" s="7" t="s">
        <v>125</v>
      </c>
      <c r="C169" s="7" t="s">
        <v>147</v>
      </c>
      <c r="D169" s="7" t="s">
        <v>351</v>
      </c>
      <c r="E169" s="7"/>
      <c r="F169" s="4">
        <f t="shared" ref="F169:G171" si="33">F170</f>
        <v>200</v>
      </c>
      <c r="G169" s="4">
        <f t="shared" si="33"/>
        <v>62.5</v>
      </c>
      <c r="H169" s="441">
        <f t="shared" si="28"/>
        <v>31.25</v>
      </c>
    </row>
    <row r="170" spans="1:10" ht="78.75" x14ac:dyDescent="0.25">
      <c r="A170" s="41" t="s">
        <v>1365</v>
      </c>
      <c r="B170" s="7" t="s">
        <v>125</v>
      </c>
      <c r="C170" s="7" t="s">
        <v>147</v>
      </c>
      <c r="D170" s="7" t="s">
        <v>366</v>
      </c>
      <c r="E170" s="7"/>
      <c r="F170" s="4">
        <f t="shared" si="33"/>
        <v>200</v>
      </c>
      <c r="G170" s="4">
        <f t="shared" si="33"/>
        <v>62.5</v>
      </c>
      <c r="H170" s="441">
        <f t="shared" si="28"/>
        <v>31.25</v>
      </c>
    </row>
    <row r="171" spans="1:10" s="202" customFormat="1" ht="63" x14ac:dyDescent="0.25">
      <c r="A171" s="245" t="s">
        <v>1055</v>
      </c>
      <c r="B171" s="7" t="s">
        <v>125</v>
      </c>
      <c r="C171" s="7" t="s">
        <v>147</v>
      </c>
      <c r="D171" s="7" t="s">
        <v>919</v>
      </c>
      <c r="E171" s="7"/>
      <c r="F171" s="4">
        <f t="shared" si="33"/>
        <v>200</v>
      </c>
      <c r="G171" s="4">
        <f t="shared" si="33"/>
        <v>62.5</v>
      </c>
      <c r="H171" s="441">
        <f t="shared" si="28"/>
        <v>31.25</v>
      </c>
    </row>
    <row r="172" spans="1:10" ht="31.5" x14ac:dyDescent="0.25">
      <c r="A172" s="98" t="s">
        <v>1056</v>
      </c>
      <c r="B172" s="40" t="s">
        <v>125</v>
      </c>
      <c r="C172" s="40" t="s">
        <v>147</v>
      </c>
      <c r="D172" s="40" t="s">
        <v>1213</v>
      </c>
      <c r="E172" s="40"/>
      <c r="F172" s="6">
        <f t="shared" ref="F172:G173" si="34">F173</f>
        <v>200</v>
      </c>
      <c r="G172" s="6">
        <f t="shared" si="34"/>
        <v>62.5</v>
      </c>
      <c r="H172" s="416">
        <f t="shared" si="28"/>
        <v>31.25</v>
      </c>
    </row>
    <row r="173" spans="1:10" ht="31.5" x14ac:dyDescent="0.25">
      <c r="A173" s="29" t="s">
        <v>138</v>
      </c>
      <c r="B173" s="40" t="s">
        <v>125</v>
      </c>
      <c r="C173" s="40" t="s">
        <v>147</v>
      </c>
      <c r="D173" s="40" t="s">
        <v>1213</v>
      </c>
      <c r="E173" s="40" t="s">
        <v>139</v>
      </c>
      <c r="F173" s="6">
        <f t="shared" si="34"/>
        <v>200</v>
      </c>
      <c r="G173" s="6">
        <f t="shared" si="34"/>
        <v>62.5</v>
      </c>
      <c r="H173" s="416">
        <f t="shared" si="28"/>
        <v>31.25</v>
      </c>
    </row>
    <row r="174" spans="1:10" ht="31.5" x14ac:dyDescent="0.25">
      <c r="A174" s="29" t="s">
        <v>140</v>
      </c>
      <c r="B174" s="40" t="s">
        <v>125</v>
      </c>
      <c r="C174" s="40" t="s">
        <v>147</v>
      </c>
      <c r="D174" s="40" t="s">
        <v>1213</v>
      </c>
      <c r="E174" s="40" t="s">
        <v>141</v>
      </c>
      <c r="F174" s="6">
        <f>'Пр.4 ведом.21'!G236</f>
        <v>200</v>
      </c>
      <c r="G174" s="6">
        <f>'Пр.4 ведом.21'!H236</f>
        <v>62.5</v>
      </c>
      <c r="H174" s="416">
        <f t="shared" si="28"/>
        <v>31.25</v>
      </c>
    </row>
    <row r="175" spans="1:10" ht="47.25" x14ac:dyDescent="0.25">
      <c r="A175" s="23" t="s">
        <v>1366</v>
      </c>
      <c r="B175" s="24" t="s">
        <v>125</v>
      </c>
      <c r="C175" s="24" t="s">
        <v>147</v>
      </c>
      <c r="D175" s="24" t="s">
        <v>342</v>
      </c>
      <c r="E175" s="24"/>
      <c r="F175" s="59">
        <f>F176</f>
        <v>120</v>
      </c>
      <c r="G175" s="59">
        <f>G176</f>
        <v>0</v>
      </c>
      <c r="H175" s="441">
        <f t="shared" si="28"/>
        <v>0</v>
      </c>
    </row>
    <row r="176" spans="1:10" ht="31.5" x14ac:dyDescent="0.25">
      <c r="A176" s="23" t="s">
        <v>1060</v>
      </c>
      <c r="B176" s="24" t="s">
        <v>125</v>
      </c>
      <c r="C176" s="24" t="s">
        <v>147</v>
      </c>
      <c r="D176" s="24" t="s">
        <v>1061</v>
      </c>
      <c r="E176" s="24"/>
      <c r="F176" s="59">
        <f>F177+F180+F183+F186+F189</f>
        <v>120</v>
      </c>
      <c r="G176" s="59">
        <f>G177+G180+G183+G186+G189</f>
        <v>0</v>
      </c>
      <c r="H176" s="441">
        <f t="shared" si="28"/>
        <v>0</v>
      </c>
    </row>
    <row r="177" spans="1:8" ht="31.5" x14ac:dyDescent="0.25">
      <c r="A177" s="97" t="s">
        <v>343</v>
      </c>
      <c r="B177" s="20" t="s">
        <v>125</v>
      </c>
      <c r="C177" s="20" t="s">
        <v>147</v>
      </c>
      <c r="D177" s="20" t="s">
        <v>1062</v>
      </c>
      <c r="E177" s="20"/>
      <c r="F177" s="10">
        <f t="shared" ref="F177:G177" si="35">F178</f>
        <v>100</v>
      </c>
      <c r="G177" s="10">
        <f t="shared" si="35"/>
        <v>0</v>
      </c>
      <c r="H177" s="416">
        <f t="shared" si="28"/>
        <v>0</v>
      </c>
    </row>
    <row r="178" spans="1:8" ht="31.5" x14ac:dyDescent="0.25">
      <c r="A178" s="25" t="s">
        <v>138</v>
      </c>
      <c r="B178" s="20" t="s">
        <v>125</v>
      </c>
      <c r="C178" s="20" t="s">
        <v>147</v>
      </c>
      <c r="D178" s="20" t="s">
        <v>1062</v>
      </c>
      <c r="E178" s="20" t="s">
        <v>139</v>
      </c>
      <c r="F178" s="10">
        <f>F179</f>
        <v>100</v>
      </c>
      <c r="G178" s="10">
        <f>G179</f>
        <v>0</v>
      </c>
      <c r="H178" s="416">
        <f t="shared" si="28"/>
        <v>0</v>
      </c>
    </row>
    <row r="179" spans="1:8" ht="31.5" x14ac:dyDescent="0.25">
      <c r="A179" s="25" t="s">
        <v>140</v>
      </c>
      <c r="B179" s="20" t="s">
        <v>125</v>
      </c>
      <c r="C179" s="20" t="s">
        <v>147</v>
      </c>
      <c r="D179" s="20" t="s">
        <v>1062</v>
      </c>
      <c r="E179" s="20" t="s">
        <v>141</v>
      </c>
      <c r="F179" s="10">
        <f>'Пр.4 ведом.21'!G536+'Пр.4 ведом.21'!G241+'Пр.4 ведом.21'!G753</f>
        <v>100</v>
      </c>
      <c r="G179" s="10">
        <f>'Пр.4 ведом.21'!H536+'Пр.4 ведом.21'!H241+'Пр.4 ведом.21'!H753</f>
        <v>0</v>
      </c>
      <c r="H179" s="416">
        <f t="shared" si="28"/>
        <v>0</v>
      </c>
    </row>
    <row r="180" spans="1:8" ht="31.5" x14ac:dyDescent="0.25">
      <c r="A180" s="25" t="s">
        <v>345</v>
      </c>
      <c r="B180" s="20" t="s">
        <v>125</v>
      </c>
      <c r="C180" s="20" t="s">
        <v>147</v>
      </c>
      <c r="D180" s="20" t="s">
        <v>1063</v>
      </c>
      <c r="E180" s="20"/>
      <c r="F180" s="10">
        <f>F181</f>
        <v>20</v>
      </c>
      <c r="G180" s="10">
        <f>G181</f>
        <v>0</v>
      </c>
      <c r="H180" s="416">
        <f t="shared" si="28"/>
        <v>0</v>
      </c>
    </row>
    <row r="181" spans="1:8" ht="31.5" x14ac:dyDescent="0.25">
      <c r="A181" s="25" t="s">
        <v>138</v>
      </c>
      <c r="B181" s="20" t="s">
        <v>125</v>
      </c>
      <c r="C181" s="20" t="s">
        <v>147</v>
      </c>
      <c r="D181" s="20" t="s">
        <v>1063</v>
      </c>
      <c r="E181" s="20" t="s">
        <v>139</v>
      </c>
      <c r="F181" s="10">
        <f>F182</f>
        <v>20</v>
      </c>
      <c r="G181" s="10">
        <f>G182</f>
        <v>0</v>
      </c>
      <c r="H181" s="416">
        <f t="shared" si="28"/>
        <v>0</v>
      </c>
    </row>
    <row r="182" spans="1:8" ht="39.200000000000003" customHeight="1" x14ac:dyDescent="0.25">
      <c r="A182" s="25" t="s">
        <v>140</v>
      </c>
      <c r="B182" s="20" t="s">
        <v>125</v>
      </c>
      <c r="C182" s="20" t="s">
        <v>147</v>
      </c>
      <c r="D182" s="20" t="s">
        <v>1063</v>
      </c>
      <c r="E182" s="20" t="s">
        <v>141</v>
      </c>
      <c r="F182" s="10">
        <f>'Пр.4 ведом.21'!G244</f>
        <v>20</v>
      </c>
      <c r="G182" s="10">
        <f>'Пр.4 ведом.21'!H244</f>
        <v>0</v>
      </c>
      <c r="H182" s="416">
        <f t="shared" si="28"/>
        <v>0</v>
      </c>
    </row>
    <row r="183" spans="1:8" ht="47.25" hidden="1" x14ac:dyDescent="0.25">
      <c r="A183" s="31" t="s">
        <v>781</v>
      </c>
      <c r="B183" s="20" t="s">
        <v>125</v>
      </c>
      <c r="C183" s="20" t="s">
        <v>147</v>
      </c>
      <c r="D183" s="20" t="s">
        <v>1064</v>
      </c>
      <c r="E183" s="20"/>
      <c r="F183" s="10">
        <f t="shared" ref="F183:G183" si="36">F184</f>
        <v>0</v>
      </c>
      <c r="G183" s="10">
        <f t="shared" si="36"/>
        <v>0</v>
      </c>
      <c r="H183" s="416" t="e">
        <f t="shared" si="28"/>
        <v>#DIV/0!</v>
      </c>
    </row>
    <row r="184" spans="1:8" ht="31.5" hidden="1" x14ac:dyDescent="0.25">
      <c r="A184" s="25" t="s">
        <v>138</v>
      </c>
      <c r="B184" s="20" t="s">
        <v>125</v>
      </c>
      <c r="C184" s="20" t="s">
        <v>147</v>
      </c>
      <c r="D184" s="20" t="s">
        <v>1064</v>
      </c>
      <c r="E184" s="20" t="s">
        <v>139</v>
      </c>
      <c r="F184" s="10">
        <f>F185</f>
        <v>0</v>
      </c>
      <c r="G184" s="10">
        <f>G185</f>
        <v>0</v>
      </c>
      <c r="H184" s="416" t="e">
        <f t="shared" si="28"/>
        <v>#DIV/0!</v>
      </c>
    </row>
    <row r="185" spans="1:8" ht="31.5" hidden="1" x14ac:dyDescent="0.25">
      <c r="A185" s="25" t="s">
        <v>140</v>
      </c>
      <c r="B185" s="20" t="s">
        <v>125</v>
      </c>
      <c r="C185" s="20" t="s">
        <v>147</v>
      </c>
      <c r="D185" s="20" t="s">
        <v>1064</v>
      </c>
      <c r="E185" s="20" t="s">
        <v>141</v>
      </c>
      <c r="F185" s="10">
        <f>'Пр.4 ведом.21'!G247</f>
        <v>0</v>
      </c>
      <c r="G185" s="10">
        <f>'Пр.4 ведом.21'!H247</f>
        <v>0</v>
      </c>
      <c r="H185" s="416" t="e">
        <f t="shared" si="28"/>
        <v>#DIV/0!</v>
      </c>
    </row>
    <row r="186" spans="1:8" ht="15.75" hidden="1" x14ac:dyDescent="0.25">
      <c r="A186" s="25" t="s">
        <v>1004</v>
      </c>
      <c r="B186" s="20" t="s">
        <v>125</v>
      </c>
      <c r="C186" s="20" t="s">
        <v>147</v>
      </c>
      <c r="D186" s="20" t="s">
        <v>1065</v>
      </c>
      <c r="E186" s="20"/>
      <c r="F186" s="10">
        <f t="shared" ref="F186:G186" si="37">F187</f>
        <v>0</v>
      </c>
      <c r="G186" s="10">
        <f t="shared" si="37"/>
        <v>0</v>
      </c>
      <c r="H186" s="416" t="e">
        <f t="shared" si="28"/>
        <v>#DIV/0!</v>
      </c>
    </row>
    <row r="187" spans="1:8" ht="31.5" hidden="1" x14ac:dyDescent="0.25">
      <c r="A187" s="25" t="s">
        <v>138</v>
      </c>
      <c r="B187" s="20" t="s">
        <v>125</v>
      </c>
      <c r="C187" s="20" t="s">
        <v>147</v>
      </c>
      <c r="D187" s="20" t="s">
        <v>1065</v>
      </c>
      <c r="E187" s="20" t="s">
        <v>139</v>
      </c>
      <c r="F187" s="10">
        <f>F188</f>
        <v>0</v>
      </c>
      <c r="G187" s="10">
        <f>G188</f>
        <v>0</v>
      </c>
      <c r="H187" s="416" t="e">
        <f t="shared" si="28"/>
        <v>#DIV/0!</v>
      </c>
    </row>
    <row r="188" spans="1:8" ht="31.5" hidden="1" x14ac:dyDescent="0.25">
      <c r="A188" s="25" t="s">
        <v>140</v>
      </c>
      <c r="B188" s="20" t="s">
        <v>125</v>
      </c>
      <c r="C188" s="20" t="s">
        <v>147</v>
      </c>
      <c r="D188" s="20" t="s">
        <v>1065</v>
      </c>
      <c r="E188" s="20" t="s">
        <v>141</v>
      </c>
      <c r="F188" s="10">
        <f>'Пр.4 ведом.21'!G250</f>
        <v>0</v>
      </c>
      <c r="G188" s="10">
        <f>'Пр.4 ведом.21'!H250</f>
        <v>0</v>
      </c>
      <c r="H188" s="416" t="e">
        <f t="shared" si="28"/>
        <v>#DIV/0!</v>
      </c>
    </row>
    <row r="189" spans="1:8" ht="31.5" hidden="1" x14ac:dyDescent="0.25">
      <c r="A189" s="31" t="s">
        <v>782</v>
      </c>
      <c r="B189" s="20" t="s">
        <v>125</v>
      </c>
      <c r="C189" s="20" t="s">
        <v>147</v>
      </c>
      <c r="D189" s="20" t="s">
        <v>1066</v>
      </c>
      <c r="E189" s="20"/>
      <c r="F189" s="10">
        <f>F190</f>
        <v>0</v>
      </c>
      <c r="G189" s="10">
        <f>G190</f>
        <v>0</v>
      </c>
      <c r="H189" s="416" t="e">
        <f t="shared" si="28"/>
        <v>#DIV/0!</v>
      </c>
    </row>
    <row r="190" spans="1:8" ht="31.5" hidden="1" x14ac:dyDescent="0.25">
      <c r="A190" s="25" t="s">
        <v>138</v>
      </c>
      <c r="B190" s="20" t="s">
        <v>125</v>
      </c>
      <c r="C190" s="20" t="s">
        <v>147</v>
      </c>
      <c r="D190" s="20" t="s">
        <v>1066</v>
      </c>
      <c r="E190" s="20" t="s">
        <v>139</v>
      </c>
      <c r="F190" s="10">
        <f>F191</f>
        <v>0</v>
      </c>
      <c r="G190" s="10">
        <f>G191</f>
        <v>0</v>
      </c>
      <c r="H190" s="416" t="e">
        <f t="shared" si="28"/>
        <v>#DIV/0!</v>
      </c>
    </row>
    <row r="191" spans="1:8" ht="31.5" hidden="1" x14ac:dyDescent="0.25">
      <c r="A191" s="25" t="s">
        <v>140</v>
      </c>
      <c r="B191" s="20" t="s">
        <v>125</v>
      </c>
      <c r="C191" s="20" t="s">
        <v>147</v>
      </c>
      <c r="D191" s="20" t="s">
        <v>1066</v>
      </c>
      <c r="E191" s="20" t="s">
        <v>141</v>
      </c>
      <c r="F191" s="10">
        <f>'Пр.4 ведом.21'!G253</f>
        <v>0</v>
      </c>
      <c r="G191" s="10">
        <f>'Пр.4 ведом.21'!H253</f>
        <v>0</v>
      </c>
      <c r="H191" s="416" t="e">
        <f t="shared" si="28"/>
        <v>#DIV/0!</v>
      </c>
    </row>
    <row r="192" spans="1:8" ht="47.25" x14ac:dyDescent="0.25">
      <c r="A192" s="41" t="s">
        <v>1369</v>
      </c>
      <c r="B192" s="8" t="s">
        <v>125</v>
      </c>
      <c r="C192" s="8" t="s">
        <v>147</v>
      </c>
      <c r="D192" s="24" t="s">
        <v>715</v>
      </c>
      <c r="E192" s="217"/>
      <c r="F192" s="59">
        <f>F193+F197</f>
        <v>48</v>
      </c>
      <c r="G192" s="59">
        <f>G193+G197</f>
        <v>0</v>
      </c>
      <c r="H192" s="441">
        <f t="shared" si="28"/>
        <v>0</v>
      </c>
    </row>
    <row r="193" spans="1:8" s="202" customFormat="1" ht="47.25" x14ac:dyDescent="0.25">
      <c r="A193" s="206" t="s">
        <v>856</v>
      </c>
      <c r="B193" s="24" t="s">
        <v>125</v>
      </c>
      <c r="C193" s="24" t="s">
        <v>147</v>
      </c>
      <c r="D193" s="24" t="s">
        <v>862</v>
      </c>
      <c r="E193" s="24"/>
      <c r="F193" s="59">
        <f>F194</f>
        <v>33</v>
      </c>
      <c r="G193" s="59">
        <f>G194</f>
        <v>0</v>
      </c>
      <c r="H193" s="441">
        <f t="shared" si="28"/>
        <v>0</v>
      </c>
    </row>
    <row r="194" spans="1:8" ht="39.75" customHeight="1" x14ac:dyDescent="0.25">
      <c r="A194" s="98" t="s">
        <v>786</v>
      </c>
      <c r="B194" s="20" t="s">
        <v>125</v>
      </c>
      <c r="C194" s="20" t="s">
        <v>147</v>
      </c>
      <c r="D194" s="20" t="s">
        <v>857</v>
      </c>
      <c r="E194" s="20"/>
      <c r="F194" s="10">
        <f t="shared" ref="F194:G195" si="38">F195</f>
        <v>33</v>
      </c>
      <c r="G194" s="10">
        <f t="shared" si="38"/>
        <v>0</v>
      </c>
      <c r="H194" s="416">
        <f t="shared" si="28"/>
        <v>0</v>
      </c>
    </row>
    <row r="195" spans="1:8" ht="31.5" x14ac:dyDescent="0.25">
      <c r="A195" s="25" t="s">
        <v>138</v>
      </c>
      <c r="B195" s="20" t="s">
        <v>125</v>
      </c>
      <c r="C195" s="20" t="s">
        <v>147</v>
      </c>
      <c r="D195" s="20" t="s">
        <v>857</v>
      </c>
      <c r="E195" s="20" t="s">
        <v>139</v>
      </c>
      <c r="F195" s="10">
        <f t="shared" si="38"/>
        <v>33</v>
      </c>
      <c r="G195" s="10">
        <f t="shared" si="38"/>
        <v>0</v>
      </c>
      <c r="H195" s="416">
        <f t="shared" si="28"/>
        <v>0</v>
      </c>
    </row>
    <row r="196" spans="1:8" ht="31.5" x14ac:dyDescent="0.25">
      <c r="A196" s="25" t="s">
        <v>140</v>
      </c>
      <c r="B196" s="20" t="s">
        <v>125</v>
      </c>
      <c r="C196" s="20" t="s">
        <v>147</v>
      </c>
      <c r="D196" s="20" t="s">
        <v>857</v>
      </c>
      <c r="E196" s="20" t="s">
        <v>141</v>
      </c>
      <c r="F196" s="10">
        <f>'Пр.4 ведом.21'!G258+'Пр.4 ведом.21'!G142</f>
        <v>33</v>
      </c>
      <c r="G196" s="10">
        <f>'Пр.4 ведом.21'!H258+'Пр.4 ведом.21'!H142</f>
        <v>0</v>
      </c>
      <c r="H196" s="416">
        <f t="shared" si="28"/>
        <v>0</v>
      </c>
    </row>
    <row r="197" spans="1:8" s="202" customFormat="1" ht="31.5" x14ac:dyDescent="0.25">
      <c r="A197" s="207" t="s">
        <v>1033</v>
      </c>
      <c r="B197" s="24" t="s">
        <v>125</v>
      </c>
      <c r="C197" s="24" t="s">
        <v>147</v>
      </c>
      <c r="D197" s="24" t="s">
        <v>863</v>
      </c>
      <c r="E197" s="217"/>
      <c r="F197" s="59">
        <f>F198</f>
        <v>15</v>
      </c>
      <c r="G197" s="59">
        <f>G198</f>
        <v>0</v>
      </c>
      <c r="H197" s="441">
        <f t="shared" si="28"/>
        <v>0</v>
      </c>
    </row>
    <row r="198" spans="1:8" ht="33" customHeight="1" x14ac:dyDescent="0.25">
      <c r="A198" s="98" t="s">
        <v>787</v>
      </c>
      <c r="B198" s="20" t="s">
        <v>125</v>
      </c>
      <c r="C198" s="20" t="s">
        <v>147</v>
      </c>
      <c r="D198" s="20" t="s">
        <v>858</v>
      </c>
      <c r="E198" s="32"/>
      <c r="F198" s="10">
        <f t="shared" ref="F198:G199" si="39">F199</f>
        <v>15</v>
      </c>
      <c r="G198" s="10">
        <f t="shared" si="39"/>
        <v>0</v>
      </c>
      <c r="H198" s="416">
        <f t="shared" si="28"/>
        <v>0</v>
      </c>
    </row>
    <row r="199" spans="1:8" ht="31.7" customHeight="1" x14ac:dyDescent="0.25">
      <c r="A199" s="25" t="s">
        <v>138</v>
      </c>
      <c r="B199" s="20" t="s">
        <v>125</v>
      </c>
      <c r="C199" s="20" t="s">
        <v>147</v>
      </c>
      <c r="D199" s="20" t="s">
        <v>858</v>
      </c>
      <c r="E199" s="32" t="s">
        <v>139</v>
      </c>
      <c r="F199" s="10">
        <f t="shared" si="39"/>
        <v>15</v>
      </c>
      <c r="G199" s="10">
        <f t="shared" si="39"/>
        <v>0</v>
      </c>
      <c r="H199" s="416">
        <f t="shared" si="28"/>
        <v>0</v>
      </c>
    </row>
    <row r="200" spans="1:8" ht="40.700000000000003" customHeight="1" x14ac:dyDescent="0.25">
      <c r="A200" s="25" t="s">
        <v>140</v>
      </c>
      <c r="B200" s="20" t="s">
        <v>125</v>
      </c>
      <c r="C200" s="20" t="s">
        <v>147</v>
      </c>
      <c r="D200" s="20" t="s">
        <v>858</v>
      </c>
      <c r="E200" s="32" t="s">
        <v>141</v>
      </c>
      <c r="F200" s="10">
        <f>'Пр.4 ведом.21'!G146</f>
        <v>15</v>
      </c>
      <c r="G200" s="10">
        <f>'Пр.4 ведом.21'!H146</f>
        <v>0</v>
      </c>
      <c r="H200" s="416">
        <f t="shared" si="28"/>
        <v>0</v>
      </c>
    </row>
    <row r="201" spans="1:8" ht="63" x14ac:dyDescent="0.25">
      <c r="A201" s="212" t="s">
        <v>1578</v>
      </c>
      <c r="B201" s="24" t="s">
        <v>125</v>
      </c>
      <c r="C201" s="24" t="s">
        <v>147</v>
      </c>
      <c r="D201" s="24" t="s">
        <v>792</v>
      </c>
      <c r="E201" s="217"/>
      <c r="F201" s="59">
        <f>F203</f>
        <v>1014.8600000000001</v>
      </c>
      <c r="G201" s="59">
        <f>G203</f>
        <v>0</v>
      </c>
      <c r="H201" s="441">
        <f t="shared" si="28"/>
        <v>0</v>
      </c>
    </row>
    <row r="202" spans="1:8" s="202" customFormat="1" ht="31.5" x14ac:dyDescent="0.25">
      <c r="A202" s="23" t="s">
        <v>940</v>
      </c>
      <c r="B202" s="24" t="s">
        <v>125</v>
      </c>
      <c r="C202" s="24" t="s">
        <v>147</v>
      </c>
      <c r="D202" s="24" t="s">
        <v>1030</v>
      </c>
      <c r="E202" s="217"/>
      <c r="F202" s="59">
        <f t="shared" ref="F202:G204" si="40">F203</f>
        <v>1014.8600000000001</v>
      </c>
      <c r="G202" s="59">
        <f t="shared" si="40"/>
        <v>0</v>
      </c>
      <c r="H202" s="441">
        <f t="shared" si="28"/>
        <v>0</v>
      </c>
    </row>
    <row r="203" spans="1:8" ht="31.5" x14ac:dyDescent="0.25">
      <c r="A203" s="184" t="s">
        <v>800</v>
      </c>
      <c r="B203" s="20" t="s">
        <v>125</v>
      </c>
      <c r="C203" s="20" t="s">
        <v>147</v>
      </c>
      <c r="D203" s="20" t="s">
        <v>1031</v>
      </c>
      <c r="E203" s="32"/>
      <c r="F203" s="10">
        <f t="shared" si="40"/>
        <v>1014.8600000000001</v>
      </c>
      <c r="G203" s="10">
        <f t="shared" si="40"/>
        <v>0</v>
      </c>
      <c r="H203" s="416">
        <f t="shared" ref="H203:H266" si="41">G203/F203*100</f>
        <v>0</v>
      </c>
    </row>
    <row r="204" spans="1:8" ht="31.5" x14ac:dyDescent="0.25">
      <c r="A204" s="184" t="s">
        <v>138</v>
      </c>
      <c r="B204" s="20" t="s">
        <v>125</v>
      </c>
      <c r="C204" s="20" t="s">
        <v>147</v>
      </c>
      <c r="D204" s="20" t="s">
        <v>1031</v>
      </c>
      <c r="E204" s="32" t="s">
        <v>139</v>
      </c>
      <c r="F204" s="10">
        <f t="shared" si="40"/>
        <v>1014.8600000000001</v>
      </c>
      <c r="G204" s="10">
        <f t="shared" si="40"/>
        <v>0</v>
      </c>
      <c r="H204" s="416">
        <f t="shared" si="41"/>
        <v>0</v>
      </c>
    </row>
    <row r="205" spans="1:8" ht="31.5" x14ac:dyDescent="0.25">
      <c r="A205" s="184" t="s">
        <v>140</v>
      </c>
      <c r="B205" s="20" t="s">
        <v>125</v>
      </c>
      <c r="C205" s="20" t="s">
        <v>147</v>
      </c>
      <c r="D205" s="20" t="s">
        <v>1031</v>
      </c>
      <c r="E205" s="32" t="s">
        <v>141</v>
      </c>
      <c r="F205" s="10">
        <f>'Пр.4 ведом.21'!G512</f>
        <v>1014.8600000000001</v>
      </c>
      <c r="G205" s="10">
        <f>'Пр.4 ведом.21'!H512</f>
        <v>0</v>
      </c>
      <c r="H205" s="416">
        <f t="shared" si="41"/>
        <v>0</v>
      </c>
    </row>
    <row r="206" spans="1:8" ht="78.75" x14ac:dyDescent="0.25">
      <c r="A206" s="41" t="s">
        <v>1390</v>
      </c>
      <c r="B206" s="8" t="s">
        <v>125</v>
      </c>
      <c r="C206" s="8" t="s">
        <v>147</v>
      </c>
      <c r="D206" s="342" t="s">
        <v>827</v>
      </c>
      <c r="E206" s="8"/>
      <c r="F206" s="59">
        <f t="shared" ref="F206:G209" si="42">F207</f>
        <v>40</v>
      </c>
      <c r="G206" s="59">
        <f t="shared" si="42"/>
        <v>0</v>
      </c>
      <c r="H206" s="441">
        <f t="shared" si="41"/>
        <v>0</v>
      </c>
    </row>
    <row r="207" spans="1:8" s="202" customFormat="1" ht="47.25" x14ac:dyDescent="0.25">
      <c r="A207" s="208" t="s">
        <v>864</v>
      </c>
      <c r="B207" s="8" t="s">
        <v>125</v>
      </c>
      <c r="C207" s="8" t="s">
        <v>147</v>
      </c>
      <c r="D207" s="196" t="s">
        <v>1086</v>
      </c>
      <c r="E207" s="8"/>
      <c r="F207" s="59">
        <f t="shared" si="42"/>
        <v>40</v>
      </c>
      <c r="G207" s="59">
        <f t="shared" si="42"/>
        <v>0</v>
      </c>
      <c r="H207" s="441">
        <f t="shared" si="41"/>
        <v>0</v>
      </c>
    </row>
    <row r="208" spans="1:8" ht="31.5" x14ac:dyDescent="0.25">
      <c r="A208" s="97" t="s">
        <v>178</v>
      </c>
      <c r="B208" s="9" t="s">
        <v>125</v>
      </c>
      <c r="C208" s="9" t="s">
        <v>147</v>
      </c>
      <c r="D208" s="5" t="s">
        <v>865</v>
      </c>
      <c r="E208" s="9"/>
      <c r="F208" s="10">
        <f t="shared" si="42"/>
        <v>40</v>
      </c>
      <c r="G208" s="10">
        <f t="shared" si="42"/>
        <v>0</v>
      </c>
      <c r="H208" s="416">
        <f t="shared" si="41"/>
        <v>0</v>
      </c>
    </row>
    <row r="209" spans="1:10" ht="31.5" x14ac:dyDescent="0.25">
      <c r="A209" s="25" t="s">
        <v>138</v>
      </c>
      <c r="B209" s="9" t="s">
        <v>125</v>
      </c>
      <c r="C209" s="9" t="s">
        <v>147</v>
      </c>
      <c r="D209" s="5" t="s">
        <v>865</v>
      </c>
      <c r="E209" s="9" t="s">
        <v>139</v>
      </c>
      <c r="F209" s="10">
        <f t="shared" si="42"/>
        <v>40</v>
      </c>
      <c r="G209" s="10">
        <f t="shared" si="42"/>
        <v>0</v>
      </c>
      <c r="H209" s="416">
        <f t="shared" si="41"/>
        <v>0</v>
      </c>
    </row>
    <row r="210" spans="1:10" ht="31.5" x14ac:dyDescent="0.25">
      <c r="A210" s="25" t="s">
        <v>140</v>
      </c>
      <c r="B210" s="9" t="s">
        <v>125</v>
      </c>
      <c r="C210" s="9" t="s">
        <v>147</v>
      </c>
      <c r="D210" s="5" t="s">
        <v>865</v>
      </c>
      <c r="E210" s="9" t="s">
        <v>141</v>
      </c>
      <c r="F210" s="10">
        <f>'Пр.4 ведом.21'!G151</f>
        <v>40</v>
      </c>
      <c r="G210" s="10">
        <f>'Пр.4 ведом.21'!H151</f>
        <v>0</v>
      </c>
      <c r="H210" s="416">
        <f t="shared" si="41"/>
        <v>0</v>
      </c>
    </row>
    <row r="211" spans="1:10" ht="63" x14ac:dyDescent="0.25">
      <c r="A211" s="41" t="s">
        <v>1391</v>
      </c>
      <c r="B211" s="8" t="s">
        <v>125</v>
      </c>
      <c r="C211" s="8" t="s">
        <v>147</v>
      </c>
      <c r="D211" s="196" t="s">
        <v>828</v>
      </c>
      <c r="E211" s="8"/>
      <c r="F211" s="4">
        <f>F212</f>
        <v>70</v>
      </c>
      <c r="G211" s="4">
        <f>G212</f>
        <v>0</v>
      </c>
      <c r="H211" s="441">
        <f t="shared" si="41"/>
        <v>0</v>
      </c>
    </row>
    <row r="212" spans="1:10" ht="31.5" x14ac:dyDescent="0.25">
      <c r="A212" s="58" t="s">
        <v>866</v>
      </c>
      <c r="B212" s="8" t="s">
        <v>125</v>
      </c>
      <c r="C212" s="8" t="s">
        <v>147</v>
      </c>
      <c r="D212" s="196" t="s">
        <v>874</v>
      </c>
      <c r="E212" s="8"/>
      <c r="F212" s="4">
        <f t="shared" ref="F212:G213" si="43">F213</f>
        <v>70</v>
      </c>
      <c r="G212" s="4">
        <f t="shared" si="43"/>
        <v>0</v>
      </c>
      <c r="H212" s="441">
        <f t="shared" si="41"/>
        <v>0</v>
      </c>
    </row>
    <row r="213" spans="1:10" ht="15.75" x14ac:dyDescent="0.25">
      <c r="A213" s="45" t="s">
        <v>832</v>
      </c>
      <c r="B213" s="9" t="s">
        <v>125</v>
      </c>
      <c r="C213" s="9" t="s">
        <v>147</v>
      </c>
      <c r="D213" s="5" t="s">
        <v>867</v>
      </c>
      <c r="E213" s="9"/>
      <c r="F213" s="366">
        <f t="shared" si="43"/>
        <v>70</v>
      </c>
      <c r="G213" s="366">
        <f t="shared" si="43"/>
        <v>0</v>
      </c>
      <c r="H213" s="416">
        <f t="shared" si="41"/>
        <v>0</v>
      </c>
    </row>
    <row r="214" spans="1:10" ht="39.75" customHeight="1" x14ac:dyDescent="0.25">
      <c r="A214" s="25" t="s">
        <v>138</v>
      </c>
      <c r="B214" s="9" t="s">
        <v>125</v>
      </c>
      <c r="C214" s="9" t="s">
        <v>147</v>
      </c>
      <c r="D214" s="5" t="s">
        <v>867</v>
      </c>
      <c r="E214" s="9" t="s">
        <v>139</v>
      </c>
      <c r="F214" s="366">
        <f>F215</f>
        <v>70</v>
      </c>
      <c r="G214" s="366">
        <f>G215</f>
        <v>0</v>
      </c>
      <c r="H214" s="416">
        <f t="shared" si="41"/>
        <v>0</v>
      </c>
    </row>
    <row r="215" spans="1:10" ht="31.5" x14ac:dyDescent="0.25">
      <c r="A215" s="25" t="s">
        <v>140</v>
      </c>
      <c r="B215" s="9" t="s">
        <v>125</v>
      </c>
      <c r="C215" s="9" t="s">
        <v>147</v>
      </c>
      <c r="D215" s="5" t="s">
        <v>867</v>
      </c>
      <c r="E215" s="9" t="s">
        <v>141</v>
      </c>
      <c r="F215" s="6">
        <f>'Пр.4 ведом.21'!G156</f>
        <v>70</v>
      </c>
      <c r="G215" s="6">
        <f>'Пр.4 ведом.21'!H156</f>
        <v>0</v>
      </c>
      <c r="H215" s="416">
        <f t="shared" si="41"/>
        <v>0</v>
      </c>
    </row>
    <row r="216" spans="1:10" s="202" customFormat="1" ht="15.75" hidden="1" x14ac:dyDescent="0.25">
      <c r="A216" s="23" t="s">
        <v>219</v>
      </c>
      <c r="B216" s="24" t="s">
        <v>220</v>
      </c>
      <c r="C216" s="24"/>
      <c r="D216" s="24"/>
      <c r="E216" s="24"/>
      <c r="F216" s="4">
        <f t="shared" ref="F216:G221" si="44">F217</f>
        <v>0</v>
      </c>
      <c r="G216" s="4">
        <f t="shared" si="44"/>
        <v>0</v>
      </c>
      <c r="H216" s="416" t="e">
        <f t="shared" si="41"/>
        <v>#DIV/0!</v>
      </c>
    </row>
    <row r="217" spans="1:10" s="202" customFormat="1" ht="19.5" hidden="1" customHeight="1" x14ac:dyDescent="0.25">
      <c r="A217" s="23" t="s">
        <v>225</v>
      </c>
      <c r="B217" s="24" t="s">
        <v>220</v>
      </c>
      <c r="C217" s="24" t="s">
        <v>226</v>
      </c>
      <c r="D217" s="24"/>
      <c r="E217" s="24"/>
      <c r="F217" s="4">
        <f t="shared" si="44"/>
        <v>0</v>
      </c>
      <c r="G217" s="4">
        <f t="shared" si="44"/>
        <v>0</v>
      </c>
      <c r="H217" s="416" t="e">
        <f t="shared" si="41"/>
        <v>#DIV/0!</v>
      </c>
    </row>
    <row r="218" spans="1:10" s="202" customFormat="1" ht="15.75" hidden="1" x14ac:dyDescent="0.25">
      <c r="A218" s="23" t="s">
        <v>148</v>
      </c>
      <c r="B218" s="24" t="s">
        <v>220</v>
      </c>
      <c r="C218" s="24" t="s">
        <v>226</v>
      </c>
      <c r="D218" s="24" t="s">
        <v>876</v>
      </c>
      <c r="E218" s="24"/>
      <c r="F218" s="4">
        <f t="shared" si="44"/>
        <v>0</v>
      </c>
      <c r="G218" s="4">
        <f t="shared" si="44"/>
        <v>0</v>
      </c>
      <c r="H218" s="416" t="e">
        <f t="shared" si="41"/>
        <v>#DIV/0!</v>
      </c>
    </row>
    <row r="219" spans="1:10" s="202" customFormat="1" ht="31.5" hidden="1" x14ac:dyDescent="0.25">
      <c r="A219" s="23" t="s">
        <v>880</v>
      </c>
      <c r="B219" s="24" t="s">
        <v>220</v>
      </c>
      <c r="C219" s="24" t="s">
        <v>226</v>
      </c>
      <c r="D219" s="24" t="s">
        <v>875</v>
      </c>
      <c r="E219" s="24"/>
      <c r="F219" s="4">
        <f t="shared" si="44"/>
        <v>0</v>
      </c>
      <c r="G219" s="4">
        <f t="shared" si="44"/>
        <v>0</v>
      </c>
      <c r="H219" s="416" t="e">
        <f t="shared" si="41"/>
        <v>#DIV/0!</v>
      </c>
    </row>
    <row r="220" spans="1:10" s="202" customFormat="1" ht="15.75" hidden="1" x14ac:dyDescent="0.25">
      <c r="A220" s="25" t="s">
        <v>227</v>
      </c>
      <c r="B220" s="20" t="s">
        <v>220</v>
      </c>
      <c r="C220" s="20" t="s">
        <v>226</v>
      </c>
      <c r="D220" s="20" t="s">
        <v>881</v>
      </c>
      <c r="E220" s="20"/>
      <c r="F220" s="6">
        <f t="shared" si="44"/>
        <v>0</v>
      </c>
      <c r="G220" s="6">
        <f t="shared" si="44"/>
        <v>0</v>
      </c>
      <c r="H220" s="416" t="e">
        <f t="shared" si="41"/>
        <v>#DIV/0!</v>
      </c>
    </row>
    <row r="221" spans="1:10" s="202" customFormat="1" ht="31.5" hidden="1" x14ac:dyDescent="0.25">
      <c r="A221" s="25" t="s">
        <v>205</v>
      </c>
      <c r="B221" s="20" t="s">
        <v>220</v>
      </c>
      <c r="C221" s="20" t="s">
        <v>226</v>
      </c>
      <c r="D221" s="20" t="s">
        <v>881</v>
      </c>
      <c r="E221" s="20" t="s">
        <v>139</v>
      </c>
      <c r="F221" s="6">
        <f t="shared" si="44"/>
        <v>0</v>
      </c>
      <c r="G221" s="6">
        <f t="shared" si="44"/>
        <v>0</v>
      </c>
      <c r="H221" s="416" t="e">
        <f t="shared" si="41"/>
        <v>#DIV/0!</v>
      </c>
    </row>
    <row r="222" spans="1:10" s="202" customFormat="1" ht="31.5" hidden="1" x14ac:dyDescent="0.25">
      <c r="A222" s="25" t="s">
        <v>140</v>
      </c>
      <c r="B222" s="20" t="s">
        <v>220</v>
      </c>
      <c r="C222" s="20" t="s">
        <v>226</v>
      </c>
      <c r="D222" s="20" t="s">
        <v>881</v>
      </c>
      <c r="E222" s="20" t="s">
        <v>141</v>
      </c>
      <c r="F222" s="6">
        <f>'Пр.4 ведом.21'!G163</f>
        <v>0</v>
      </c>
      <c r="G222" s="6">
        <f>'Пр.4 ведом.21'!H163</f>
        <v>0</v>
      </c>
      <c r="H222" s="416" t="e">
        <f t="shared" si="41"/>
        <v>#DIV/0!</v>
      </c>
    </row>
    <row r="223" spans="1:10" ht="31.5" x14ac:dyDescent="0.25">
      <c r="A223" s="23" t="s">
        <v>229</v>
      </c>
      <c r="B223" s="24" t="s">
        <v>222</v>
      </c>
      <c r="C223" s="24"/>
      <c r="D223" s="24"/>
      <c r="E223" s="24"/>
      <c r="F223" s="4">
        <f t="shared" ref="F223:G224" si="45">F224</f>
        <v>8197.1</v>
      </c>
      <c r="G223" s="4">
        <f t="shared" si="45"/>
        <v>1399.7279999999998</v>
      </c>
      <c r="H223" s="441">
        <f t="shared" si="41"/>
        <v>17.075892693757545</v>
      </c>
    </row>
    <row r="224" spans="1:10" ht="47.25" x14ac:dyDescent="0.25">
      <c r="A224" s="23" t="s">
        <v>1362</v>
      </c>
      <c r="B224" s="24" t="s">
        <v>222</v>
      </c>
      <c r="C224" s="24" t="s">
        <v>251</v>
      </c>
      <c r="D224" s="20"/>
      <c r="E224" s="20"/>
      <c r="F224" s="4">
        <f t="shared" si="45"/>
        <v>8197.1</v>
      </c>
      <c r="G224" s="4">
        <f t="shared" si="45"/>
        <v>1399.7279999999998</v>
      </c>
      <c r="H224" s="441">
        <f t="shared" si="41"/>
        <v>17.075892693757545</v>
      </c>
      <c r="I224" s="22"/>
      <c r="J224" s="22"/>
    </row>
    <row r="225" spans="1:8" ht="15.75" x14ac:dyDescent="0.25">
      <c r="A225" s="23" t="s">
        <v>148</v>
      </c>
      <c r="B225" s="24" t="s">
        <v>222</v>
      </c>
      <c r="C225" s="24" t="s">
        <v>251</v>
      </c>
      <c r="D225" s="24" t="s">
        <v>876</v>
      </c>
      <c r="E225" s="24"/>
      <c r="F225" s="4">
        <f>F226+F233</f>
        <v>8197.1</v>
      </c>
      <c r="G225" s="4">
        <f>G226+G233</f>
        <v>1399.7279999999998</v>
      </c>
      <c r="H225" s="441">
        <f t="shared" si="41"/>
        <v>17.075892693757545</v>
      </c>
    </row>
    <row r="226" spans="1:8" ht="31.5" x14ac:dyDescent="0.25">
      <c r="A226" s="23" t="s">
        <v>880</v>
      </c>
      <c r="B226" s="24" t="s">
        <v>222</v>
      </c>
      <c r="C226" s="24" t="s">
        <v>251</v>
      </c>
      <c r="D226" s="24" t="s">
        <v>875</v>
      </c>
      <c r="E226" s="24"/>
      <c r="F226" s="4">
        <f>F227+F230</f>
        <v>2089</v>
      </c>
      <c r="G226" s="4">
        <f>G227+G230</f>
        <v>26.221</v>
      </c>
      <c r="H226" s="441">
        <f t="shared" si="41"/>
        <v>1.2551938726663476</v>
      </c>
    </row>
    <row r="227" spans="1:8" ht="47.25" x14ac:dyDescent="0.25">
      <c r="A227" s="25" t="s">
        <v>231</v>
      </c>
      <c r="B227" s="20" t="s">
        <v>222</v>
      </c>
      <c r="C227" s="20" t="s">
        <v>251</v>
      </c>
      <c r="D227" s="20" t="s">
        <v>885</v>
      </c>
      <c r="E227" s="20"/>
      <c r="F227" s="6">
        <f t="shared" ref="F227:G228" si="46">F228</f>
        <v>1785</v>
      </c>
      <c r="G227" s="6">
        <f t="shared" si="46"/>
        <v>26.221</v>
      </c>
      <c r="H227" s="416">
        <f t="shared" si="41"/>
        <v>1.4689635854341738</v>
      </c>
    </row>
    <row r="228" spans="1:8" ht="31.5" x14ac:dyDescent="0.25">
      <c r="A228" s="25" t="s">
        <v>205</v>
      </c>
      <c r="B228" s="20" t="s">
        <v>222</v>
      </c>
      <c r="C228" s="20" t="s">
        <v>251</v>
      </c>
      <c r="D228" s="20" t="s">
        <v>885</v>
      </c>
      <c r="E228" s="20" t="s">
        <v>139</v>
      </c>
      <c r="F228" s="6">
        <f t="shared" si="46"/>
        <v>1785</v>
      </c>
      <c r="G228" s="6">
        <f t="shared" si="46"/>
        <v>26.221</v>
      </c>
      <c r="H228" s="416">
        <f t="shared" si="41"/>
        <v>1.4689635854341738</v>
      </c>
    </row>
    <row r="229" spans="1:8" ht="31.5" x14ac:dyDescent="0.25">
      <c r="A229" s="25" t="s">
        <v>140</v>
      </c>
      <c r="B229" s="20" t="s">
        <v>222</v>
      </c>
      <c r="C229" s="20" t="s">
        <v>251</v>
      </c>
      <c r="D229" s="20" t="s">
        <v>885</v>
      </c>
      <c r="E229" s="20" t="s">
        <v>141</v>
      </c>
      <c r="F229" s="369">
        <f>'Пр.4 ведом.21'!G170</f>
        <v>1785</v>
      </c>
      <c r="G229" s="369">
        <f>'Пр.4 ведом.21'!H170</f>
        <v>26.221</v>
      </c>
      <c r="H229" s="416">
        <f t="shared" si="41"/>
        <v>1.4689635854341738</v>
      </c>
    </row>
    <row r="230" spans="1:8" ht="15.75" x14ac:dyDescent="0.25">
      <c r="A230" s="25" t="s">
        <v>237</v>
      </c>
      <c r="B230" s="20" t="s">
        <v>222</v>
      </c>
      <c r="C230" s="20" t="s">
        <v>251</v>
      </c>
      <c r="D230" s="20" t="s">
        <v>886</v>
      </c>
      <c r="E230" s="20"/>
      <c r="F230" s="369">
        <f t="shared" ref="F230:G231" si="47">F231</f>
        <v>304</v>
      </c>
      <c r="G230" s="369">
        <f t="shared" si="47"/>
        <v>0</v>
      </c>
      <c r="H230" s="416">
        <f t="shared" si="41"/>
        <v>0</v>
      </c>
    </row>
    <row r="231" spans="1:8" ht="31.5" x14ac:dyDescent="0.25">
      <c r="A231" s="25" t="s">
        <v>205</v>
      </c>
      <c r="B231" s="20" t="s">
        <v>222</v>
      </c>
      <c r="C231" s="20" t="s">
        <v>251</v>
      </c>
      <c r="D231" s="20" t="s">
        <v>886</v>
      </c>
      <c r="E231" s="20" t="s">
        <v>139</v>
      </c>
      <c r="F231" s="369">
        <f t="shared" si="47"/>
        <v>304</v>
      </c>
      <c r="G231" s="369">
        <f t="shared" si="47"/>
        <v>0</v>
      </c>
      <c r="H231" s="416">
        <f t="shared" si="41"/>
        <v>0</v>
      </c>
    </row>
    <row r="232" spans="1:8" ht="31.5" x14ac:dyDescent="0.25">
      <c r="A232" s="25" t="s">
        <v>140</v>
      </c>
      <c r="B232" s="20" t="s">
        <v>222</v>
      </c>
      <c r="C232" s="20" t="s">
        <v>251</v>
      </c>
      <c r="D232" s="20" t="s">
        <v>886</v>
      </c>
      <c r="E232" s="20" t="s">
        <v>141</v>
      </c>
      <c r="F232" s="369">
        <f>'Пр.4 ведом.21'!G173+'Пр.4 ведом.21'!G840</f>
        <v>304</v>
      </c>
      <c r="G232" s="369">
        <f>'Пр.4 ведом.21'!H173+'Пр.4 ведом.21'!H840</f>
        <v>0</v>
      </c>
      <c r="H232" s="416">
        <f t="shared" si="41"/>
        <v>0</v>
      </c>
    </row>
    <row r="233" spans="1:8" ht="31.5" x14ac:dyDescent="0.25">
      <c r="A233" s="23" t="s">
        <v>933</v>
      </c>
      <c r="B233" s="24" t="s">
        <v>222</v>
      </c>
      <c r="C233" s="24" t="s">
        <v>251</v>
      </c>
      <c r="D233" s="24" t="s">
        <v>882</v>
      </c>
      <c r="E233" s="24"/>
      <c r="F233" s="4">
        <f>F234+F239</f>
        <v>6108.1</v>
      </c>
      <c r="G233" s="4">
        <f>G234+G239</f>
        <v>1373.5069999999998</v>
      </c>
      <c r="H233" s="441">
        <f t="shared" si="41"/>
        <v>22.486648876082572</v>
      </c>
    </row>
    <row r="234" spans="1:8" ht="31.5" x14ac:dyDescent="0.25">
      <c r="A234" s="25" t="s">
        <v>937</v>
      </c>
      <c r="B234" s="20" t="s">
        <v>222</v>
      </c>
      <c r="C234" s="20" t="s">
        <v>251</v>
      </c>
      <c r="D234" s="20" t="s">
        <v>883</v>
      </c>
      <c r="E234" s="20"/>
      <c r="F234" s="366">
        <f>F235+F237</f>
        <v>5856.1</v>
      </c>
      <c r="G234" s="366">
        <f>G235+G237</f>
        <v>1293.5069999999998</v>
      </c>
      <c r="H234" s="416">
        <f t="shared" si="41"/>
        <v>22.088198630487863</v>
      </c>
    </row>
    <row r="235" spans="1:8" ht="78.75" x14ac:dyDescent="0.25">
      <c r="A235" s="25" t="s">
        <v>134</v>
      </c>
      <c r="B235" s="20" t="s">
        <v>222</v>
      </c>
      <c r="C235" s="20" t="s">
        <v>251</v>
      </c>
      <c r="D235" s="20" t="s">
        <v>883</v>
      </c>
      <c r="E235" s="20" t="s">
        <v>135</v>
      </c>
      <c r="F235" s="366">
        <f>'Пр.4 ведом.21'!G177</f>
        <v>5693.1</v>
      </c>
      <c r="G235" s="366">
        <f>'Пр.4 ведом.21'!H177</f>
        <v>1265.0409999999999</v>
      </c>
      <c r="H235" s="416">
        <f t="shared" si="41"/>
        <v>22.220600375893625</v>
      </c>
    </row>
    <row r="236" spans="1:8" ht="15.75" x14ac:dyDescent="0.25">
      <c r="A236" s="25" t="s">
        <v>215</v>
      </c>
      <c r="B236" s="20" t="s">
        <v>222</v>
      </c>
      <c r="C236" s="20" t="s">
        <v>251</v>
      </c>
      <c r="D236" s="20" t="s">
        <v>883</v>
      </c>
      <c r="E236" s="20" t="s">
        <v>216</v>
      </c>
      <c r="F236" s="6">
        <f>'Пр.4 ведом.21'!G177</f>
        <v>5693.1</v>
      </c>
      <c r="G236" s="6">
        <f>'Пр.4 ведом.21'!H177</f>
        <v>1265.0409999999999</v>
      </c>
      <c r="H236" s="416">
        <f t="shared" si="41"/>
        <v>22.220600375893625</v>
      </c>
    </row>
    <row r="237" spans="1:8" ht="31.5" x14ac:dyDescent="0.25">
      <c r="A237" s="25" t="s">
        <v>205</v>
      </c>
      <c r="B237" s="20" t="s">
        <v>222</v>
      </c>
      <c r="C237" s="20" t="s">
        <v>251</v>
      </c>
      <c r="D237" s="20" t="s">
        <v>883</v>
      </c>
      <c r="E237" s="20" t="s">
        <v>139</v>
      </c>
      <c r="F237" s="6">
        <f>'Пр.4 ведом.21'!G179</f>
        <v>163</v>
      </c>
      <c r="G237" s="6">
        <f>'Пр.4 ведом.21'!H179</f>
        <v>28.466000000000001</v>
      </c>
      <c r="H237" s="416">
        <f t="shared" si="41"/>
        <v>17.463803680981595</v>
      </c>
    </row>
    <row r="238" spans="1:8" ht="31.5" x14ac:dyDescent="0.25">
      <c r="A238" s="25" t="s">
        <v>140</v>
      </c>
      <c r="B238" s="20" t="s">
        <v>222</v>
      </c>
      <c r="C238" s="20" t="s">
        <v>251</v>
      </c>
      <c r="D238" s="20" t="s">
        <v>883</v>
      </c>
      <c r="E238" s="20" t="s">
        <v>141</v>
      </c>
      <c r="F238" s="6">
        <f>'Пр.4 ведом.21'!G179</f>
        <v>163</v>
      </c>
      <c r="G238" s="6">
        <f>'Пр.4 ведом.21'!H179</f>
        <v>28.466000000000001</v>
      </c>
      <c r="H238" s="416">
        <f t="shared" si="41"/>
        <v>17.463803680981595</v>
      </c>
    </row>
    <row r="239" spans="1:8" ht="47.25" x14ac:dyDescent="0.25">
      <c r="A239" s="25" t="s">
        <v>849</v>
      </c>
      <c r="B239" s="20" t="s">
        <v>222</v>
      </c>
      <c r="C239" s="20" t="s">
        <v>251</v>
      </c>
      <c r="D239" s="20" t="s">
        <v>884</v>
      </c>
      <c r="E239" s="20"/>
      <c r="F239" s="6">
        <f t="shared" ref="F239:G239" si="48">F240</f>
        <v>252</v>
      </c>
      <c r="G239" s="6">
        <f t="shared" si="48"/>
        <v>80</v>
      </c>
      <c r="H239" s="416">
        <f t="shared" si="41"/>
        <v>31.746031746031743</v>
      </c>
    </row>
    <row r="240" spans="1:8" ht="78.75" x14ac:dyDescent="0.25">
      <c r="A240" s="25" t="s">
        <v>134</v>
      </c>
      <c r="B240" s="20" t="s">
        <v>222</v>
      </c>
      <c r="C240" s="20" t="s">
        <v>251</v>
      </c>
      <c r="D240" s="20" t="s">
        <v>884</v>
      </c>
      <c r="E240" s="20" t="s">
        <v>135</v>
      </c>
      <c r="F240" s="6">
        <f>F241</f>
        <v>252</v>
      </c>
      <c r="G240" s="6">
        <f>G241</f>
        <v>80</v>
      </c>
      <c r="H240" s="416">
        <f t="shared" si="41"/>
        <v>31.746031746031743</v>
      </c>
    </row>
    <row r="241" spans="1:12" s="202" customFormat="1" ht="31.5" x14ac:dyDescent="0.25">
      <c r="A241" s="25" t="s">
        <v>136</v>
      </c>
      <c r="B241" s="20" t="s">
        <v>222</v>
      </c>
      <c r="C241" s="20" t="s">
        <v>251</v>
      </c>
      <c r="D241" s="20" t="s">
        <v>884</v>
      </c>
      <c r="E241" s="20" t="s">
        <v>137</v>
      </c>
      <c r="F241" s="6">
        <f>'Пр.4 ведом.21'!G182</f>
        <v>252</v>
      </c>
      <c r="G241" s="6">
        <f>'Пр.4 ведом.21'!H182</f>
        <v>80</v>
      </c>
      <c r="H241" s="416">
        <f t="shared" si="41"/>
        <v>31.746031746031743</v>
      </c>
    </row>
    <row r="242" spans="1:12" ht="15.75" x14ac:dyDescent="0.25">
      <c r="A242" s="23" t="s">
        <v>239</v>
      </c>
      <c r="B242" s="24" t="s">
        <v>157</v>
      </c>
      <c r="C242" s="24"/>
      <c r="D242" s="24"/>
      <c r="E242" s="20"/>
      <c r="F242" s="4">
        <f>F253+F259+F273+F243</f>
        <v>6473.8</v>
      </c>
      <c r="G242" s="4">
        <f>G253+G259+G273+G243</f>
        <v>1119.4370000000001</v>
      </c>
      <c r="H242" s="441">
        <f t="shared" si="41"/>
        <v>17.291806975810189</v>
      </c>
      <c r="K242" s="22">
        <f>F242-F275-'Пр.4 ведом.21'!V1080-'Пр.4 ведом.21'!X1080-'Пр.4 ведом.21'!AA1080</f>
        <v>5754.6</v>
      </c>
      <c r="L242" s="22">
        <f>F275+F288+F301-'Пр.4 ведом.21'!V1079-'Пр.4 ведом.21'!AA1079-'Пр.4 ведом.21'!X1079+F246</f>
        <v>719.19999999999993</v>
      </c>
    </row>
    <row r="243" spans="1:12" ht="15.75" x14ac:dyDescent="0.25">
      <c r="A243" s="23" t="s">
        <v>240</v>
      </c>
      <c r="B243" s="24" t="s">
        <v>157</v>
      </c>
      <c r="C243" s="24" t="s">
        <v>241</v>
      </c>
      <c r="D243" s="24"/>
      <c r="E243" s="20"/>
      <c r="F243" s="4">
        <f>F244</f>
        <v>274</v>
      </c>
      <c r="G243" s="4">
        <f>G244</f>
        <v>0</v>
      </c>
      <c r="H243" s="441">
        <f t="shared" si="41"/>
        <v>0</v>
      </c>
    </row>
    <row r="244" spans="1:12" ht="31.7" customHeight="1" x14ac:dyDescent="0.25">
      <c r="A244" s="34" t="s">
        <v>1392</v>
      </c>
      <c r="B244" s="24" t="s">
        <v>157</v>
      </c>
      <c r="C244" s="24" t="s">
        <v>241</v>
      </c>
      <c r="D244" s="196" t="s">
        <v>189</v>
      </c>
      <c r="E244" s="217"/>
      <c r="F244" s="4">
        <f>F245+F249</f>
        <v>274</v>
      </c>
      <c r="G244" s="4">
        <f>G245+G249</f>
        <v>0</v>
      </c>
      <c r="H244" s="441">
        <f t="shared" si="41"/>
        <v>0</v>
      </c>
    </row>
    <row r="245" spans="1:12" ht="31.5" x14ac:dyDescent="0.25">
      <c r="A245" s="34" t="s">
        <v>1016</v>
      </c>
      <c r="B245" s="24" t="s">
        <v>157</v>
      </c>
      <c r="C245" s="24" t="s">
        <v>241</v>
      </c>
      <c r="D245" s="246" t="s">
        <v>887</v>
      </c>
      <c r="E245" s="217"/>
      <c r="F245" s="4">
        <f t="shared" ref="F245:G247" si="49">F246</f>
        <v>274</v>
      </c>
      <c r="G245" s="4">
        <f t="shared" si="49"/>
        <v>0</v>
      </c>
      <c r="H245" s="441">
        <f t="shared" si="41"/>
        <v>0</v>
      </c>
    </row>
    <row r="246" spans="1:12" ht="31.5" x14ac:dyDescent="0.25">
      <c r="A246" s="25" t="s">
        <v>242</v>
      </c>
      <c r="B246" s="20" t="s">
        <v>157</v>
      </c>
      <c r="C246" s="20" t="s">
        <v>241</v>
      </c>
      <c r="D246" s="20" t="s">
        <v>908</v>
      </c>
      <c r="E246" s="32"/>
      <c r="F246" s="6">
        <f t="shared" si="49"/>
        <v>274</v>
      </c>
      <c r="G246" s="6">
        <f t="shared" si="49"/>
        <v>0</v>
      </c>
      <c r="H246" s="416">
        <f t="shared" si="41"/>
        <v>0</v>
      </c>
    </row>
    <row r="247" spans="1:12" ht="15.75" x14ac:dyDescent="0.25">
      <c r="A247" s="29" t="s">
        <v>142</v>
      </c>
      <c r="B247" s="20" t="s">
        <v>157</v>
      </c>
      <c r="C247" s="20" t="s">
        <v>241</v>
      </c>
      <c r="D247" s="20" t="s">
        <v>908</v>
      </c>
      <c r="E247" s="32" t="s">
        <v>152</v>
      </c>
      <c r="F247" s="6">
        <f t="shared" si="49"/>
        <v>274</v>
      </c>
      <c r="G247" s="6">
        <f t="shared" si="49"/>
        <v>0</v>
      </c>
      <c r="H247" s="416">
        <f t="shared" si="41"/>
        <v>0</v>
      </c>
    </row>
    <row r="248" spans="1:12" ht="47.25" x14ac:dyDescent="0.25">
      <c r="A248" s="29" t="s">
        <v>191</v>
      </c>
      <c r="B248" s="20" t="s">
        <v>157</v>
      </c>
      <c r="C248" s="20" t="s">
        <v>241</v>
      </c>
      <c r="D248" s="20" t="s">
        <v>908</v>
      </c>
      <c r="E248" s="32" t="s">
        <v>167</v>
      </c>
      <c r="F248" s="6">
        <f>'Пр.4 ведом.21'!G189</f>
        <v>274</v>
      </c>
      <c r="G248" s="6">
        <f>'Пр.4 ведом.21'!H189</f>
        <v>0</v>
      </c>
      <c r="H248" s="416">
        <f t="shared" si="41"/>
        <v>0</v>
      </c>
    </row>
    <row r="249" spans="1:12" ht="47.25" hidden="1" x14ac:dyDescent="0.25">
      <c r="A249" s="209" t="s">
        <v>1017</v>
      </c>
      <c r="B249" s="24" t="s">
        <v>157</v>
      </c>
      <c r="C249" s="24" t="s">
        <v>241</v>
      </c>
      <c r="D249" s="196" t="s">
        <v>889</v>
      </c>
      <c r="E249" s="217"/>
      <c r="F249" s="4">
        <f t="shared" ref="F249:G251" si="50">F250</f>
        <v>0</v>
      </c>
      <c r="G249" s="4">
        <f t="shared" si="50"/>
        <v>0</v>
      </c>
      <c r="H249" s="416" t="e">
        <f t="shared" si="41"/>
        <v>#DIV/0!</v>
      </c>
    </row>
    <row r="250" spans="1:12" s="202" customFormat="1" ht="15.75" hidden="1" x14ac:dyDescent="0.25">
      <c r="A250" s="25" t="s">
        <v>888</v>
      </c>
      <c r="B250" s="20" t="s">
        <v>157</v>
      </c>
      <c r="C250" s="20" t="s">
        <v>241</v>
      </c>
      <c r="D250" s="5" t="s">
        <v>909</v>
      </c>
      <c r="E250" s="32"/>
      <c r="F250" s="6">
        <f t="shared" si="50"/>
        <v>0</v>
      </c>
      <c r="G250" s="6">
        <f t="shared" si="50"/>
        <v>0</v>
      </c>
      <c r="H250" s="416" t="e">
        <f t="shared" si="41"/>
        <v>#DIV/0!</v>
      </c>
    </row>
    <row r="251" spans="1:12" s="202" customFormat="1" ht="15.75" hidden="1" x14ac:dyDescent="0.25">
      <c r="A251" s="29" t="s">
        <v>142</v>
      </c>
      <c r="B251" s="20" t="s">
        <v>157</v>
      </c>
      <c r="C251" s="20" t="s">
        <v>241</v>
      </c>
      <c r="D251" s="5" t="s">
        <v>909</v>
      </c>
      <c r="E251" s="32" t="s">
        <v>152</v>
      </c>
      <c r="F251" s="6">
        <f t="shared" si="50"/>
        <v>0</v>
      </c>
      <c r="G251" s="6">
        <f t="shared" si="50"/>
        <v>0</v>
      </c>
      <c r="H251" s="416" t="e">
        <f t="shared" si="41"/>
        <v>#DIV/0!</v>
      </c>
    </row>
    <row r="252" spans="1:12" s="202" customFormat="1" ht="47.25" hidden="1" x14ac:dyDescent="0.25">
      <c r="A252" s="29" t="s">
        <v>191</v>
      </c>
      <c r="B252" s="20" t="s">
        <v>157</v>
      </c>
      <c r="C252" s="20" t="s">
        <v>241</v>
      </c>
      <c r="D252" s="5" t="s">
        <v>909</v>
      </c>
      <c r="E252" s="32" t="s">
        <v>167</v>
      </c>
      <c r="F252" s="6">
        <f>'Пр.4 ведом.21'!G193</f>
        <v>0</v>
      </c>
      <c r="G252" s="6">
        <f>'Пр.4 ведом.21'!H193</f>
        <v>0</v>
      </c>
      <c r="H252" s="416" t="e">
        <f t="shared" si="41"/>
        <v>#DIV/0!</v>
      </c>
    </row>
    <row r="253" spans="1:12" ht="15.75" x14ac:dyDescent="0.25">
      <c r="A253" s="23" t="s">
        <v>512</v>
      </c>
      <c r="B253" s="24" t="s">
        <v>157</v>
      </c>
      <c r="C253" s="24" t="s">
        <v>306</v>
      </c>
      <c r="D253" s="24"/>
      <c r="E253" s="24"/>
      <c r="F253" s="4">
        <f t="shared" ref="F253:G257" si="51">F254</f>
        <v>3258</v>
      </c>
      <c r="G253" s="4">
        <f t="shared" si="51"/>
        <v>533.38400000000001</v>
      </c>
      <c r="H253" s="441">
        <f t="shared" si="41"/>
        <v>16.371516267648865</v>
      </c>
    </row>
    <row r="254" spans="1:12" ht="15.75" x14ac:dyDescent="0.25">
      <c r="A254" s="23" t="s">
        <v>148</v>
      </c>
      <c r="B254" s="24" t="s">
        <v>157</v>
      </c>
      <c r="C254" s="24" t="s">
        <v>306</v>
      </c>
      <c r="D254" s="24" t="s">
        <v>876</v>
      </c>
      <c r="E254" s="24"/>
      <c r="F254" s="4">
        <f t="shared" si="51"/>
        <v>3258</v>
      </c>
      <c r="G254" s="4">
        <f t="shared" si="51"/>
        <v>533.38400000000001</v>
      </c>
      <c r="H254" s="441">
        <f t="shared" si="41"/>
        <v>16.371516267648865</v>
      </c>
    </row>
    <row r="255" spans="1:12" ht="31.5" x14ac:dyDescent="0.25">
      <c r="A255" s="23" t="s">
        <v>880</v>
      </c>
      <c r="B255" s="24" t="s">
        <v>157</v>
      </c>
      <c r="C255" s="24" t="s">
        <v>306</v>
      </c>
      <c r="D255" s="24" t="s">
        <v>875</v>
      </c>
      <c r="E255" s="24"/>
      <c r="F255" s="4">
        <f t="shared" si="51"/>
        <v>3258</v>
      </c>
      <c r="G255" s="4">
        <f t="shared" si="51"/>
        <v>533.38400000000001</v>
      </c>
      <c r="H255" s="441">
        <f t="shared" si="41"/>
        <v>16.371516267648865</v>
      </c>
    </row>
    <row r="256" spans="1:12" ht="17.45" customHeight="1" x14ac:dyDescent="0.25">
      <c r="A256" s="25" t="s">
        <v>513</v>
      </c>
      <c r="B256" s="20" t="s">
        <v>157</v>
      </c>
      <c r="C256" s="20" t="s">
        <v>306</v>
      </c>
      <c r="D256" s="20" t="s">
        <v>967</v>
      </c>
      <c r="E256" s="20"/>
      <c r="F256" s="6">
        <f t="shared" si="51"/>
        <v>3258</v>
      </c>
      <c r="G256" s="6">
        <f t="shared" si="51"/>
        <v>533.38400000000001</v>
      </c>
      <c r="H256" s="416">
        <f t="shared" si="41"/>
        <v>16.371516267648865</v>
      </c>
    </row>
    <row r="257" spans="1:8" ht="34.5" customHeight="1" x14ac:dyDescent="0.25">
      <c r="A257" s="25" t="s">
        <v>138</v>
      </c>
      <c r="B257" s="20" t="s">
        <v>157</v>
      </c>
      <c r="C257" s="20" t="s">
        <v>306</v>
      </c>
      <c r="D257" s="20" t="s">
        <v>967</v>
      </c>
      <c r="E257" s="20" t="s">
        <v>139</v>
      </c>
      <c r="F257" s="6">
        <f t="shared" si="51"/>
        <v>3258</v>
      </c>
      <c r="G257" s="6">
        <f t="shared" si="51"/>
        <v>533.38400000000001</v>
      </c>
      <c r="H257" s="416">
        <f t="shared" si="41"/>
        <v>16.371516267648865</v>
      </c>
    </row>
    <row r="258" spans="1:8" ht="38.25" customHeight="1" x14ac:dyDescent="0.25">
      <c r="A258" s="25" t="s">
        <v>140</v>
      </c>
      <c r="B258" s="20" t="s">
        <v>157</v>
      </c>
      <c r="C258" s="20" t="s">
        <v>306</v>
      </c>
      <c r="D258" s="20" t="s">
        <v>967</v>
      </c>
      <c r="E258" s="20" t="s">
        <v>141</v>
      </c>
      <c r="F258" s="366">
        <f>'Пр.4 ведом.21'!G847</f>
        <v>3258</v>
      </c>
      <c r="G258" s="366">
        <f>'Пр.4 ведом.21'!H847</f>
        <v>533.38400000000001</v>
      </c>
      <c r="H258" s="416">
        <f t="shared" si="41"/>
        <v>16.371516267648865</v>
      </c>
    </row>
    <row r="259" spans="1:8" ht="15.75" x14ac:dyDescent="0.25">
      <c r="A259" s="23" t="s">
        <v>515</v>
      </c>
      <c r="B259" s="24" t="s">
        <v>157</v>
      </c>
      <c r="C259" s="24" t="s">
        <v>226</v>
      </c>
      <c r="D259" s="20"/>
      <c r="E259" s="24"/>
      <c r="F259" s="4">
        <f t="shared" ref="F259:G259" si="52">F260</f>
        <v>2319</v>
      </c>
      <c r="G259" s="4">
        <f t="shared" si="52"/>
        <v>544.15300000000002</v>
      </c>
      <c r="H259" s="441">
        <f t="shared" si="41"/>
        <v>23.464984907287626</v>
      </c>
    </row>
    <row r="260" spans="1:8" ht="47.25" x14ac:dyDescent="0.25">
      <c r="A260" s="34" t="s">
        <v>1387</v>
      </c>
      <c r="B260" s="24" t="s">
        <v>157</v>
      </c>
      <c r="C260" s="24" t="s">
        <v>226</v>
      </c>
      <c r="D260" s="24" t="s">
        <v>517</v>
      </c>
      <c r="E260" s="24"/>
      <c r="F260" s="59">
        <f>F261+F265</f>
        <v>2319</v>
      </c>
      <c r="G260" s="59">
        <f>G261+G265</f>
        <v>544.15300000000002</v>
      </c>
      <c r="H260" s="441">
        <f t="shared" si="41"/>
        <v>23.464984907287626</v>
      </c>
    </row>
    <row r="261" spans="1:8" ht="31.5" hidden="1" x14ac:dyDescent="0.25">
      <c r="A261" s="34" t="s">
        <v>1009</v>
      </c>
      <c r="B261" s="24" t="s">
        <v>157</v>
      </c>
      <c r="C261" s="24" t="s">
        <v>226</v>
      </c>
      <c r="D261" s="7" t="s">
        <v>968</v>
      </c>
      <c r="E261" s="24"/>
      <c r="F261" s="59">
        <f t="shared" ref="F261:G263" si="53">F262</f>
        <v>0</v>
      </c>
      <c r="G261" s="59">
        <f t="shared" si="53"/>
        <v>0</v>
      </c>
      <c r="H261" s="441" t="e">
        <f t="shared" si="41"/>
        <v>#DIV/0!</v>
      </c>
    </row>
    <row r="262" spans="1:8" ht="15.75" hidden="1" x14ac:dyDescent="0.25">
      <c r="A262" s="29" t="s">
        <v>1011</v>
      </c>
      <c r="B262" s="20" t="s">
        <v>157</v>
      </c>
      <c r="C262" s="20" t="s">
        <v>226</v>
      </c>
      <c r="D262" s="40" t="s">
        <v>1010</v>
      </c>
      <c r="E262" s="20"/>
      <c r="F262" s="10">
        <f t="shared" si="53"/>
        <v>0</v>
      </c>
      <c r="G262" s="10">
        <f t="shared" si="53"/>
        <v>0</v>
      </c>
      <c r="H262" s="441" t="e">
        <f t="shared" si="41"/>
        <v>#DIV/0!</v>
      </c>
    </row>
    <row r="263" spans="1:8" ht="31.5" hidden="1" x14ac:dyDescent="0.25">
      <c r="A263" s="25" t="s">
        <v>138</v>
      </c>
      <c r="B263" s="20" t="s">
        <v>157</v>
      </c>
      <c r="C263" s="20" t="s">
        <v>226</v>
      </c>
      <c r="D263" s="40" t="s">
        <v>1010</v>
      </c>
      <c r="E263" s="20" t="s">
        <v>139</v>
      </c>
      <c r="F263" s="366">
        <f t="shared" si="53"/>
        <v>0</v>
      </c>
      <c r="G263" s="366">
        <f t="shared" si="53"/>
        <v>0</v>
      </c>
      <c r="H263" s="441" t="e">
        <f t="shared" si="41"/>
        <v>#DIV/0!</v>
      </c>
    </row>
    <row r="264" spans="1:8" ht="31.5" hidden="1" x14ac:dyDescent="0.25">
      <c r="A264" s="25" t="s">
        <v>140</v>
      </c>
      <c r="B264" s="20" t="s">
        <v>157</v>
      </c>
      <c r="C264" s="20" t="s">
        <v>226</v>
      </c>
      <c r="D264" s="40" t="s">
        <v>1010</v>
      </c>
      <c r="E264" s="20" t="s">
        <v>141</v>
      </c>
      <c r="F264" s="366">
        <f>'Пр.4 ведом.21'!G853</f>
        <v>0</v>
      </c>
      <c r="G264" s="366">
        <f>'Пр.4 ведом.21'!H853</f>
        <v>0</v>
      </c>
      <c r="H264" s="441" t="e">
        <f t="shared" si="41"/>
        <v>#DIV/0!</v>
      </c>
    </row>
    <row r="265" spans="1:8" ht="31.5" x14ac:dyDescent="0.25">
      <c r="A265" s="34" t="s">
        <v>1071</v>
      </c>
      <c r="B265" s="24" t="s">
        <v>157</v>
      </c>
      <c r="C265" s="24" t="s">
        <v>226</v>
      </c>
      <c r="D265" s="24" t="s">
        <v>969</v>
      </c>
      <c r="E265" s="24"/>
      <c r="F265" s="368">
        <f>F266</f>
        <v>2319</v>
      </c>
      <c r="G265" s="368">
        <f>G266</f>
        <v>544.15300000000002</v>
      </c>
      <c r="H265" s="441">
        <f t="shared" si="41"/>
        <v>23.464984907287626</v>
      </c>
    </row>
    <row r="266" spans="1:8" s="202" customFormat="1" ht="15.75" x14ac:dyDescent="0.25">
      <c r="A266" s="29" t="s">
        <v>518</v>
      </c>
      <c r="B266" s="20" t="s">
        <v>157</v>
      </c>
      <c r="C266" s="20" t="s">
        <v>226</v>
      </c>
      <c r="D266" s="40" t="s">
        <v>1012</v>
      </c>
      <c r="E266" s="20"/>
      <c r="F266" s="366">
        <f>F269+F271+F267</f>
        <v>2319</v>
      </c>
      <c r="G266" s="366">
        <f>G269+G271+G267</f>
        <v>544.15300000000002</v>
      </c>
      <c r="H266" s="416">
        <f t="shared" si="41"/>
        <v>23.464984907287626</v>
      </c>
    </row>
    <row r="267" spans="1:8" s="202" customFormat="1" ht="78.75" x14ac:dyDescent="0.25">
      <c r="A267" s="25" t="s">
        <v>134</v>
      </c>
      <c r="B267" s="20" t="s">
        <v>157</v>
      </c>
      <c r="C267" s="20" t="s">
        <v>226</v>
      </c>
      <c r="D267" s="40" t="s">
        <v>1012</v>
      </c>
      <c r="E267" s="20" t="s">
        <v>135</v>
      </c>
      <c r="F267" s="366">
        <f>F268</f>
        <v>1807</v>
      </c>
      <c r="G267" s="366">
        <f>G268</f>
        <v>520.15300000000002</v>
      </c>
      <c r="H267" s="416">
        <f t="shared" ref="H267:H330" si="54">G267/F267*100</f>
        <v>28.785445489762036</v>
      </c>
    </row>
    <row r="268" spans="1:8" s="202" customFormat="1" ht="15.75" x14ac:dyDescent="0.25">
      <c r="A268" s="25" t="s">
        <v>215</v>
      </c>
      <c r="B268" s="20" t="s">
        <v>157</v>
      </c>
      <c r="C268" s="20" t="s">
        <v>226</v>
      </c>
      <c r="D268" s="40" t="s">
        <v>1012</v>
      </c>
      <c r="E268" s="20" t="s">
        <v>216</v>
      </c>
      <c r="F268" s="366">
        <f>'Пр.4 ведом.21'!G857</f>
        <v>1807</v>
      </c>
      <c r="G268" s="366">
        <f>'Пр.4 ведом.21'!H857</f>
        <v>520.15300000000002</v>
      </c>
      <c r="H268" s="416">
        <f t="shared" si="54"/>
        <v>28.785445489762036</v>
      </c>
    </row>
    <row r="269" spans="1:8" s="202" customFormat="1" ht="31.5" x14ac:dyDescent="0.25">
      <c r="A269" s="25" t="s">
        <v>138</v>
      </c>
      <c r="B269" s="20" t="s">
        <v>157</v>
      </c>
      <c r="C269" s="20" t="s">
        <v>226</v>
      </c>
      <c r="D269" s="40" t="s">
        <v>1012</v>
      </c>
      <c r="E269" s="20" t="s">
        <v>139</v>
      </c>
      <c r="F269" s="366">
        <f>F270</f>
        <v>512</v>
      </c>
      <c r="G269" s="366">
        <f>G270</f>
        <v>24</v>
      </c>
      <c r="H269" s="416">
        <f t="shared" si="54"/>
        <v>4.6875</v>
      </c>
    </row>
    <row r="270" spans="1:8" s="202" customFormat="1" ht="35.450000000000003" customHeight="1" x14ac:dyDescent="0.25">
      <c r="A270" s="25" t="s">
        <v>140</v>
      </c>
      <c r="B270" s="20" t="s">
        <v>157</v>
      </c>
      <c r="C270" s="20" t="s">
        <v>226</v>
      </c>
      <c r="D270" s="40" t="s">
        <v>1012</v>
      </c>
      <c r="E270" s="20" t="s">
        <v>141</v>
      </c>
      <c r="F270" s="366">
        <f>'Пр.4 ведом.21'!G859</f>
        <v>512</v>
      </c>
      <c r="G270" s="366">
        <f>'Пр.4 ведом.21'!H859</f>
        <v>24</v>
      </c>
      <c r="H270" s="416">
        <f t="shared" si="54"/>
        <v>4.6875</v>
      </c>
    </row>
    <row r="271" spans="1:8" s="202" customFormat="1" ht="15.75" hidden="1" x14ac:dyDescent="0.25">
      <c r="A271" s="25" t="s">
        <v>142</v>
      </c>
      <c r="B271" s="20" t="s">
        <v>157</v>
      </c>
      <c r="C271" s="20" t="s">
        <v>226</v>
      </c>
      <c r="D271" s="40" t="s">
        <v>1012</v>
      </c>
      <c r="E271" s="20" t="s">
        <v>152</v>
      </c>
      <c r="F271" s="366">
        <f>F272</f>
        <v>0</v>
      </c>
      <c r="G271" s="366">
        <f>G272</f>
        <v>0</v>
      </c>
      <c r="H271" s="416" t="e">
        <f t="shared" si="54"/>
        <v>#DIV/0!</v>
      </c>
    </row>
    <row r="272" spans="1:8" s="202" customFormat="1" ht="15.75" hidden="1" x14ac:dyDescent="0.25">
      <c r="A272" s="25" t="s">
        <v>575</v>
      </c>
      <c r="B272" s="20" t="s">
        <v>157</v>
      </c>
      <c r="C272" s="20" t="s">
        <v>226</v>
      </c>
      <c r="D272" s="40" t="s">
        <v>1012</v>
      </c>
      <c r="E272" s="20" t="s">
        <v>145</v>
      </c>
      <c r="F272" s="366">
        <f>'Пр.4 ведом.21'!G861</f>
        <v>0</v>
      </c>
      <c r="G272" s="366">
        <f>'Пр.4 ведом.21'!H861</f>
        <v>0</v>
      </c>
      <c r="H272" s="416" t="e">
        <f t="shared" si="54"/>
        <v>#DIV/0!</v>
      </c>
    </row>
    <row r="273" spans="1:8" ht="41.45" customHeight="1" x14ac:dyDescent="0.25">
      <c r="A273" s="23" t="s">
        <v>244</v>
      </c>
      <c r="B273" s="24" t="s">
        <v>157</v>
      </c>
      <c r="C273" s="24" t="s">
        <v>245</v>
      </c>
      <c r="D273" s="24"/>
      <c r="E273" s="24"/>
      <c r="F273" s="59">
        <f>F274+F281+F299</f>
        <v>622.79999999999995</v>
      </c>
      <c r="G273" s="59">
        <f>G274+G281+G299</f>
        <v>41.9</v>
      </c>
      <c r="H273" s="441">
        <f t="shared" si="54"/>
        <v>6.7276814386640975</v>
      </c>
    </row>
    <row r="274" spans="1:8" ht="31.5" x14ac:dyDescent="0.25">
      <c r="A274" s="23" t="s">
        <v>927</v>
      </c>
      <c r="B274" s="24" t="s">
        <v>157</v>
      </c>
      <c r="C274" s="24" t="s">
        <v>245</v>
      </c>
      <c r="D274" s="24" t="s">
        <v>868</v>
      </c>
      <c r="E274" s="24"/>
      <c r="F274" s="59">
        <f>F275</f>
        <v>264.2</v>
      </c>
      <c r="G274" s="59">
        <f>G275</f>
        <v>41.9</v>
      </c>
      <c r="H274" s="441">
        <f t="shared" si="54"/>
        <v>15.859197577592731</v>
      </c>
    </row>
    <row r="275" spans="1:8" ht="31.5" x14ac:dyDescent="0.25">
      <c r="A275" s="23" t="s">
        <v>895</v>
      </c>
      <c r="B275" s="24" t="s">
        <v>157</v>
      </c>
      <c r="C275" s="24" t="s">
        <v>245</v>
      </c>
      <c r="D275" s="24" t="s">
        <v>873</v>
      </c>
      <c r="E275" s="24"/>
      <c r="F275" s="59">
        <f>F276</f>
        <v>264.2</v>
      </c>
      <c r="G275" s="59">
        <f>G276</f>
        <v>41.9</v>
      </c>
      <c r="H275" s="441">
        <f t="shared" si="54"/>
        <v>15.859197577592731</v>
      </c>
    </row>
    <row r="276" spans="1:8" ht="63" x14ac:dyDescent="0.25">
      <c r="A276" s="31" t="s">
        <v>248</v>
      </c>
      <c r="B276" s="20" t="s">
        <v>157</v>
      </c>
      <c r="C276" s="20" t="s">
        <v>245</v>
      </c>
      <c r="D276" s="20" t="s">
        <v>934</v>
      </c>
      <c r="E276" s="20"/>
      <c r="F276" s="10">
        <f>F277+F279</f>
        <v>264.2</v>
      </c>
      <c r="G276" s="10">
        <f>G277+G279</f>
        <v>41.9</v>
      </c>
      <c r="H276" s="416">
        <f t="shared" si="54"/>
        <v>15.859197577592731</v>
      </c>
    </row>
    <row r="277" spans="1:8" ht="78.75" x14ac:dyDescent="0.25">
      <c r="A277" s="25" t="s">
        <v>134</v>
      </c>
      <c r="B277" s="20" t="s">
        <v>157</v>
      </c>
      <c r="C277" s="20" t="s">
        <v>245</v>
      </c>
      <c r="D277" s="20" t="s">
        <v>934</v>
      </c>
      <c r="E277" s="20" t="s">
        <v>135</v>
      </c>
      <c r="F277" s="10">
        <f>F278</f>
        <v>240.2</v>
      </c>
      <c r="G277" s="10">
        <f>G278</f>
        <v>39.799999999999997</v>
      </c>
      <c r="H277" s="416">
        <f t="shared" si="54"/>
        <v>16.569525395503746</v>
      </c>
    </row>
    <row r="278" spans="1:8" ht="32.25" customHeight="1" x14ac:dyDescent="0.25">
      <c r="A278" s="25" t="s">
        <v>136</v>
      </c>
      <c r="B278" s="20" t="s">
        <v>157</v>
      </c>
      <c r="C278" s="20" t="s">
        <v>245</v>
      </c>
      <c r="D278" s="20" t="s">
        <v>934</v>
      </c>
      <c r="E278" s="20" t="s">
        <v>137</v>
      </c>
      <c r="F278" s="10">
        <f>'Пр.4 ведом.21'!G199</f>
        <v>240.2</v>
      </c>
      <c r="G278" s="10">
        <f>'Пр.4 ведом.21'!H199</f>
        <v>39.799999999999997</v>
      </c>
      <c r="H278" s="416">
        <f t="shared" si="54"/>
        <v>16.569525395503746</v>
      </c>
    </row>
    <row r="279" spans="1:8" ht="31.5" x14ac:dyDescent="0.25">
      <c r="A279" s="25" t="s">
        <v>138</v>
      </c>
      <c r="B279" s="20" t="s">
        <v>157</v>
      </c>
      <c r="C279" s="20" t="s">
        <v>245</v>
      </c>
      <c r="D279" s="20" t="s">
        <v>934</v>
      </c>
      <c r="E279" s="20" t="s">
        <v>139</v>
      </c>
      <c r="F279" s="10">
        <f>F280</f>
        <v>24</v>
      </c>
      <c r="G279" s="10">
        <f>G280</f>
        <v>2.1</v>
      </c>
      <c r="H279" s="416">
        <f t="shared" si="54"/>
        <v>8.75</v>
      </c>
    </row>
    <row r="280" spans="1:8" ht="31.5" x14ac:dyDescent="0.25">
      <c r="A280" s="25" t="s">
        <v>140</v>
      </c>
      <c r="B280" s="20" t="s">
        <v>157</v>
      </c>
      <c r="C280" s="20" t="s">
        <v>245</v>
      </c>
      <c r="D280" s="20" t="s">
        <v>934</v>
      </c>
      <c r="E280" s="20" t="s">
        <v>141</v>
      </c>
      <c r="F280" s="10">
        <f>'Пр.4 ведом.21'!G201</f>
        <v>24</v>
      </c>
      <c r="G280" s="10">
        <f>'Пр.4 ведом.21'!H201</f>
        <v>2.1</v>
      </c>
      <c r="H280" s="416">
        <f t="shared" si="54"/>
        <v>8.75</v>
      </c>
    </row>
    <row r="281" spans="1:8" s="202" customFormat="1" ht="47.25" x14ac:dyDescent="0.25">
      <c r="A281" s="23" t="s">
        <v>1212</v>
      </c>
      <c r="B281" s="24" t="s">
        <v>157</v>
      </c>
      <c r="C281" s="24" t="s">
        <v>245</v>
      </c>
      <c r="D281" s="24" t="s">
        <v>351</v>
      </c>
      <c r="E281" s="217"/>
      <c r="F281" s="59">
        <f>F282</f>
        <v>208.6</v>
      </c>
      <c r="G281" s="59">
        <f>G282</f>
        <v>0</v>
      </c>
      <c r="H281" s="441">
        <f t="shared" si="54"/>
        <v>0</v>
      </c>
    </row>
    <row r="282" spans="1:8" s="202" customFormat="1" ht="63" x14ac:dyDescent="0.25">
      <c r="A282" s="23" t="s">
        <v>374</v>
      </c>
      <c r="B282" s="24" t="s">
        <v>157</v>
      </c>
      <c r="C282" s="24" t="s">
        <v>245</v>
      </c>
      <c r="D282" s="24" t="s">
        <v>363</v>
      </c>
      <c r="E282" s="24"/>
      <c r="F282" s="59">
        <f>F283+F287+F291+F295</f>
        <v>208.6</v>
      </c>
      <c r="G282" s="59">
        <f>G283+G287+G291+G295</f>
        <v>0</v>
      </c>
      <c r="H282" s="441">
        <f t="shared" si="54"/>
        <v>0</v>
      </c>
    </row>
    <row r="283" spans="1:8" s="202" customFormat="1" ht="47.25" hidden="1" x14ac:dyDescent="0.25">
      <c r="A283" s="210" t="s">
        <v>1053</v>
      </c>
      <c r="B283" s="24" t="s">
        <v>157</v>
      </c>
      <c r="C283" s="24" t="s">
        <v>245</v>
      </c>
      <c r="D283" s="24" t="s">
        <v>917</v>
      </c>
      <c r="E283" s="24"/>
      <c r="F283" s="59">
        <f t="shared" ref="F283:G285" si="55">F284</f>
        <v>0</v>
      </c>
      <c r="G283" s="59">
        <f t="shared" si="55"/>
        <v>0</v>
      </c>
      <c r="H283" s="441" t="e">
        <f t="shared" si="54"/>
        <v>#DIV/0!</v>
      </c>
    </row>
    <row r="284" spans="1:8" s="202" customFormat="1" ht="47.25" hidden="1" x14ac:dyDescent="0.25">
      <c r="A284" s="25" t="s">
        <v>382</v>
      </c>
      <c r="B284" s="20" t="s">
        <v>157</v>
      </c>
      <c r="C284" s="20" t="s">
        <v>245</v>
      </c>
      <c r="D284" s="20" t="s">
        <v>1331</v>
      </c>
      <c r="E284" s="20"/>
      <c r="F284" s="10">
        <f t="shared" si="55"/>
        <v>0</v>
      </c>
      <c r="G284" s="10">
        <f t="shared" si="55"/>
        <v>0</v>
      </c>
      <c r="H284" s="441" t="e">
        <f t="shared" si="54"/>
        <v>#DIV/0!</v>
      </c>
    </row>
    <row r="285" spans="1:8" s="202" customFormat="1" ht="21.2" hidden="1" customHeight="1" x14ac:dyDescent="0.25">
      <c r="A285" s="25" t="s">
        <v>255</v>
      </c>
      <c r="B285" s="20" t="s">
        <v>157</v>
      </c>
      <c r="C285" s="20" t="s">
        <v>245</v>
      </c>
      <c r="D285" s="20" t="s">
        <v>1331</v>
      </c>
      <c r="E285" s="20" t="s">
        <v>256</v>
      </c>
      <c r="F285" s="10">
        <f t="shared" si="55"/>
        <v>0</v>
      </c>
      <c r="G285" s="10">
        <f t="shared" si="55"/>
        <v>0</v>
      </c>
      <c r="H285" s="441" t="e">
        <f t="shared" si="54"/>
        <v>#DIV/0!</v>
      </c>
    </row>
    <row r="286" spans="1:8" s="202" customFormat="1" ht="31.5" hidden="1" x14ac:dyDescent="0.25">
      <c r="A286" s="25" t="s">
        <v>257</v>
      </c>
      <c r="B286" s="20" t="s">
        <v>157</v>
      </c>
      <c r="C286" s="20" t="s">
        <v>245</v>
      </c>
      <c r="D286" s="20" t="s">
        <v>1331</v>
      </c>
      <c r="E286" s="20" t="s">
        <v>258</v>
      </c>
      <c r="F286" s="10">
        <f>'Пр.4 ведом.21'!G266</f>
        <v>0</v>
      </c>
      <c r="G286" s="10">
        <f>'Пр.4 ведом.21'!H266</f>
        <v>0</v>
      </c>
      <c r="H286" s="441" t="e">
        <f t="shared" si="54"/>
        <v>#DIV/0!</v>
      </c>
    </row>
    <row r="287" spans="1:8" s="202" customFormat="1" ht="31.5" x14ac:dyDescent="0.25">
      <c r="A287" s="23" t="s">
        <v>1051</v>
      </c>
      <c r="B287" s="24" t="s">
        <v>157</v>
      </c>
      <c r="C287" s="24" t="s">
        <v>245</v>
      </c>
      <c r="D287" s="24" t="s">
        <v>1214</v>
      </c>
      <c r="E287" s="24"/>
      <c r="F287" s="59">
        <f t="shared" ref="F287:G289" si="56">F288</f>
        <v>208.6</v>
      </c>
      <c r="G287" s="59">
        <f t="shared" si="56"/>
        <v>0</v>
      </c>
      <c r="H287" s="441">
        <f t="shared" si="54"/>
        <v>0</v>
      </c>
    </row>
    <row r="288" spans="1:8" s="202" customFormat="1" ht="31.5" x14ac:dyDescent="0.25">
      <c r="A288" s="25" t="s">
        <v>1052</v>
      </c>
      <c r="B288" s="20" t="s">
        <v>157</v>
      </c>
      <c r="C288" s="20" t="s">
        <v>245</v>
      </c>
      <c r="D288" s="20" t="s">
        <v>1215</v>
      </c>
      <c r="E288" s="20"/>
      <c r="F288" s="10">
        <f t="shared" si="56"/>
        <v>208.6</v>
      </c>
      <c r="G288" s="10">
        <f t="shared" si="56"/>
        <v>0</v>
      </c>
      <c r="H288" s="416">
        <f t="shared" si="54"/>
        <v>0</v>
      </c>
    </row>
    <row r="289" spans="1:12" s="202" customFormat="1" ht="15.75" x14ac:dyDescent="0.25">
      <c r="A289" s="25" t="s">
        <v>142</v>
      </c>
      <c r="B289" s="20" t="s">
        <v>157</v>
      </c>
      <c r="C289" s="20" t="s">
        <v>245</v>
      </c>
      <c r="D289" s="20" t="s">
        <v>1215</v>
      </c>
      <c r="E289" s="20" t="s">
        <v>152</v>
      </c>
      <c r="F289" s="10">
        <f t="shared" si="56"/>
        <v>208.6</v>
      </c>
      <c r="G289" s="10">
        <f t="shared" si="56"/>
        <v>0</v>
      </c>
      <c r="H289" s="416">
        <f t="shared" si="54"/>
        <v>0</v>
      </c>
    </row>
    <row r="290" spans="1:12" s="202" customFormat="1" ht="47.25" x14ac:dyDescent="0.25">
      <c r="A290" s="25" t="s">
        <v>191</v>
      </c>
      <c r="B290" s="20" t="s">
        <v>157</v>
      </c>
      <c r="C290" s="20" t="s">
        <v>245</v>
      </c>
      <c r="D290" s="20" t="s">
        <v>1215</v>
      </c>
      <c r="E290" s="20" t="s">
        <v>167</v>
      </c>
      <c r="F290" s="10">
        <f>'Пр.4 ведом.21'!G270</f>
        <v>208.6</v>
      </c>
      <c r="G290" s="10">
        <f>'Пр.4 ведом.21'!H270</f>
        <v>0</v>
      </c>
      <c r="H290" s="416">
        <f t="shared" si="54"/>
        <v>0</v>
      </c>
    </row>
    <row r="291" spans="1:12" s="202" customFormat="1" ht="31.5" hidden="1" x14ac:dyDescent="0.25">
      <c r="A291" s="23" t="s">
        <v>1005</v>
      </c>
      <c r="B291" s="24" t="s">
        <v>157</v>
      </c>
      <c r="C291" s="24" t="s">
        <v>245</v>
      </c>
      <c r="D291" s="24" t="s">
        <v>1324</v>
      </c>
      <c r="E291" s="24"/>
      <c r="F291" s="59">
        <f t="shared" ref="F291:G293" si="57">F292</f>
        <v>0</v>
      </c>
      <c r="G291" s="59">
        <f t="shared" si="57"/>
        <v>0</v>
      </c>
      <c r="H291" s="416" t="e">
        <f t="shared" si="54"/>
        <v>#DIV/0!</v>
      </c>
    </row>
    <row r="292" spans="1:12" s="202" customFormat="1" ht="31.5" hidden="1" x14ac:dyDescent="0.25">
      <c r="A292" s="247" t="s">
        <v>1054</v>
      </c>
      <c r="B292" s="20" t="s">
        <v>157</v>
      </c>
      <c r="C292" s="20" t="s">
        <v>245</v>
      </c>
      <c r="D292" s="20" t="s">
        <v>1325</v>
      </c>
      <c r="E292" s="20"/>
      <c r="F292" s="10">
        <f t="shared" si="57"/>
        <v>0</v>
      </c>
      <c r="G292" s="10">
        <f t="shared" si="57"/>
        <v>0</v>
      </c>
      <c r="H292" s="416" t="e">
        <f t="shared" si="54"/>
        <v>#DIV/0!</v>
      </c>
    </row>
    <row r="293" spans="1:12" s="202" customFormat="1" ht="31.5" hidden="1" x14ac:dyDescent="0.25">
      <c r="A293" s="25" t="s">
        <v>138</v>
      </c>
      <c r="B293" s="20" t="s">
        <v>157</v>
      </c>
      <c r="C293" s="20" t="s">
        <v>245</v>
      </c>
      <c r="D293" s="20" t="s">
        <v>1325</v>
      </c>
      <c r="E293" s="20" t="s">
        <v>139</v>
      </c>
      <c r="F293" s="10">
        <f t="shared" si="57"/>
        <v>0</v>
      </c>
      <c r="G293" s="10">
        <f t="shared" si="57"/>
        <v>0</v>
      </c>
      <c r="H293" s="416" t="e">
        <f t="shared" si="54"/>
        <v>#DIV/0!</v>
      </c>
    </row>
    <row r="294" spans="1:12" s="202" customFormat="1" ht="31.5" hidden="1" x14ac:dyDescent="0.25">
      <c r="A294" s="25" t="s">
        <v>140</v>
      </c>
      <c r="B294" s="20" t="s">
        <v>157</v>
      </c>
      <c r="C294" s="20" t="s">
        <v>245</v>
      </c>
      <c r="D294" s="20" t="s">
        <v>1325</v>
      </c>
      <c r="E294" s="20" t="s">
        <v>141</v>
      </c>
      <c r="F294" s="10">
        <f>'Пр.4 ведом.21'!G274</f>
        <v>0</v>
      </c>
      <c r="G294" s="10">
        <f>'Пр.4 ведом.21'!H274</f>
        <v>0</v>
      </c>
      <c r="H294" s="416" t="e">
        <f t="shared" si="54"/>
        <v>#DIV/0!</v>
      </c>
    </row>
    <row r="295" spans="1:12" s="202" customFormat="1" ht="31.5" hidden="1" x14ac:dyDescent="0.25">
      <c r="A295" s="207" t="s">
        <v>1113</v>
      </c>
      <c r="B295" s="24" t="s">
        <v>157</v>
      </c>
      <c r="C295" s="24" t="s">
        <v>245</v>
      </c>
      <c r="D295" s="24" t="s">
        <v>1216</v>
      </c>
      <c r="E295" s="24"/>
      <c r="F295" s="21">
        <f t="shared" ref="F295:G297" si="58">F296</f>
        <v>0</v>
      </c>
      <c r="G295" s="21">
        <f t="shared" si="58"/>
        <v>0</v>
      </c>
      <c r="H295" s="416" t="e">
        <f t="shared" si="54"/>
        <v>#DIV/0!</v>
      </c>
    </row>
    <row r="296" spans="1:12" s="202" customFormat="1" ht="31.5" hidden="1" x14ac:dyDescent="0.25">
      <c r="A296" s="226" t="s">
        <v>1114</v>
      </c>
      <c r="B296" s="20" t="s">
        <v>157</v>
      </c>
      <c r="C296" s="20" t="s">
        <v>245</v>
      </c>
      <c r="D296" s="20" t="s">
        <v>1217</v>
      </c>
      <c r="E296" s="20"/>
      <c r="F296" s="26">
        <f t="shared" si="58"/>
        <v>0</v>
      </c>
      <c r="G296" s="26">
        <f t="shared" si="58"/>
        <v>0</v>
      </c>
      <c r="H296" s="416" t="e">
        <f t="shared" si="54"/>
        <v>#DIV/0!</v>
      </c>
    </row>
    <row r="297" spans="1:12" s="202" customFormat="1" ht="31.5" hidden="1" x14ac:dyDescent="0.25">
      <c r="A297" s="25" t="s">
        <v>138</v>
      </c>
      <c r="B297" s="20" t="s">
        <v>157</v>
      </c>
      <c r="C297" s="20" t="s">
        <v>245</v>
      </c>
      <c r="D297" s="20" t="s">
        <v>1217</v>
      </c>
      <c r="E297" s="20" t="s">
        <v>139</v>
      </c>
      <c r="F297" s="26">
        <f t="shared" si="58"/>
        <v>0</v>
      </c>
      <c r="G297" s="26">
        <f t="shared" si="58"/>
        <v>0</v>
      </c>
      <c r="H297" s="416" t="e">
        <f t="shared" si="54"/>
        <v>#DIV/0!</v>
      </c>
    </row>
    <row r="298" spans="1:12" s="202" customFormat="1" ht="31.5" hidden="1" x14ac:dyDescent="0.25">
      <c r="A298" s="25" t="s">
        <v>140</v>
      </c>
      <c r="B298" s="20" t="s">
        <v>157</v>
      </c>
      <c r="C298" s="20" t="s">
        <v>245</v>
      </c>
      <c r="D298" s="20" t="s">
        <v>1217</v>
      </c>
      <c r="E298" s="20" t="s">
        <v>141</v>
      </c>
      <c r="F298" s="26">
        <f>'Пр.4 ведом.21'!G278</f>
        <v>0</v>
      </c>
      <c r="G298" s="26">
        <f>'Пр.4 ведом.21'!H278</f>
        <v>0</v>
      </c>
      <c r="H298" s="416" t="e">
        <f t="shared" si="54"/>
        <v>#DIV/0!</v>
      </c>
    </row>
    <row r="299" spans="1:12" ht="47.25" x14ac:dyDescent="0.25">
      <c r="A299" s="23" t="s">
        <v>1353</v>
      </c>
      <c r="B299" s="24" t="s">
        <v>157</v>
      </c>
      <c r="C299" s="24" t="s">
        <v>245</v>
      </c>
      <c r="D299" s="24" t="s">
        <v>163</v>
      </c>
      <c r="E299" s="24"/>
      <c r="F299" s="59">
        <f t="shared" ref="F299:G302" si="59">F300</f>
        <v>150</v>
      </c>
      <c r="G299" s="59">
        <f t="shared" si="59"/>
        <v>0</v>
      </c>
      <c r="H299" s="441">
        <f t="shared" si="54"/>
        <v>0</v>
      </c>
    </row>
    <row r="300" spans="1:12" ht="47.25" x14ac:dyDescent="0.25">
      <c r="A300" s="23" t="s">
        <v>1075</v>
      </c>
      <c r="B300" s="24" t="s">
        <v>157</v>
      </c>
      <c r="C300" s="24" t="s">
        <v>245</v>
      </c>
      <c r="D300" s="24" t="s">
        <v>1072</v>
      </c>
      <c r="E300" s="24"/>
      <c r="F300" s="59">
        <f t="shared" si="59"/>
        <v>150</v>
      </c>
      <c r="G300" s="59">
        <f t="shared" si="59"/>
        <v>0</v>
      </c>
      <c r="H300" s="441">
        <f t="shared" si="54"/>
        <v>0</v>
      </c>
    </row>
    <row r="301" spans="1:12" ht="31.5" x14ac:dyDescent="0.25">
      <c r="A301" s="25" t="s">
        <v>1076</v>
      </c>
      <c r="B301" s="20" t="s">
        <v>157</v>
      </c>
      <c r="C301" s="20" t="s">
        <v>245</v>
      </c>
      <c r="D301" s="20" t="s">
        <v>1073</v>
      </c>
      <c r="E301" s="20"/>
      <c r="F301" s="10">
        <f t="shared" si="59"/>
        <v>150</v>
      </c>
      <c r="G301" s="10">
        <f t="shared" si="59"/>
        <v>0</v>
      </c>
      <c r="H301" s="416">
        <f t="shared" si="54"/>
        <v>0</v>
      </c>
    </row>
    <row r="302" spans="1:12" ht="15.75" x14ac:dyDescent="0.25">
      <c r="A302" s="25" t="s">
        <v>142</v>
      </c>
      <c r="B302" s="20" t="s">
        <v>157</v>
      </c>
      <c r="C302" s="20" t="s">
        <v>245</v>
      </c>
      <c r="D302" s="20" t="s">
        <v>1073</v>
      </c>
      <c r="E302" s="20" t="s">
        <v>152</v>
      </c>
      <c r="F302" s="10">
        <f t="shared" si="59"/>
        <v>150</v>
      </c>
      <c r="G302" s="10">
        <f t="shared" si="59"/>
        <v>0</v>
      </c>
      <c r="H302" s="416">
        <f t="shared" si="54"/>
        <v>0</v>
      </c>
    </row>
    <row r="303" spans="1:12" ht="47.25" x14ac:dyDescent="0.25">
      <c r="A303" s="25" t="s">
        <v>191</v>
      </c>
      <c r="B303" s="20" t="s">
        <v>157</v>
      </c>
      <c r="C303" s="20" t="s">
        <v>245</v>
      </c>
      <c r="D303" s="20" t="s">
        <v>1073</v>
      </c>
      <c r="E303" s="20" t="s">
        <v>167</v>
      </c>
      <c r="F303" s="10">
        <f>'Пр.4 ведом.21'!G206</f>
        <v>150</v>
      </c>
      <c r="G303" s="10">
        <f>'Пр.4 ведом.21'!H206</f>
        <v>0</v>
      </c>
      <c r="H303" s="416">
        <f t="shared" si="54"/>
        <v>0</v>
      </c>
    </row>
    <row r="304" spans="1:12" ht="15.75" x14ac:dyDescent="0.25">
      <c r="A304" s="23" t="s">
        <v>397</v>
      </c>
      <c r="B304" s="24" t="s">
        <v>241</v>
      </c>
      <c r="C304" s="24"/>
      <c r="D304" s="24"/>
      <c r="E304" s="24"/>
      <c r="F304" s="4">
        <f>F305++F319+F384+F434</f>
        <v>69787.11</v>
      </c>
      <c r="G304" s="4">
        <f>G305++G319+G384+G434</f>
        <v>7564.2820000000002</v>
      </c>
      <c r="H304" s="441">
        <f t="shared" si="54"/>
        <v>10.839081887758356</v>
      </c>
      <c r="K304" s="227">
        <f>F304-F422-'Пр.4 ведом.21'!K1070-'Пр.4 ведом.21'!Q1070</f>
        <v>46494.91</v>
      </c>
      <c r="L304" s="227">
        <f>F422+F431-'Пр.4 ведом.21'!K1069-'Пр.4 ведом.21'!Q1069</f>
        <v>23292.2</v>
      </c>
    </row>
    <row r="305" spans="1:12" ht="15.75" x14ac:dyDescent="0.25">
      <c r="A305" s="23" t="s">
        <v>398</v>
      </c>
      <c r="B305" s="24" t="s">
        <v>241</v>
      </c>
      <c r="C305" s="24" t="s">
        <v>125</v>
      </c>
      <c r="D305" s="24"/>
      <c r="E305" s="24"/>
      <c r="F305" s="4">
        <f t="shared" ref="F305:G306" si="60">F306</f>
        <v>6060.4</v>
      </c>
      <c r="G305" s="4">
        <f t="shared" si="60"/>
        <v>962.24800000000005</v>
      </c>
      <c r="H305" s="441">
        <f t="shared" si="54"/>
        <v>15.877631839482545</v>
      </c>
      <c r="I305" s="22"/>
      <c r="L305" s="22"/>
    </row>
    <row r="306" spans="1:12" ht="15.75" x14ac:dyDescent="0.25">
      <c r="A306" s="23" t="s">
        <v>148</v>
      </c>
      <c r="B306" s="24" t="s">
        <v>241</v>
      </c>
      <c r="C306" s="24" t="s">
        <v>125</v>
      </c>
      <c r="D306" s="24" t="s">
        <v>876</v>
      </c>
      <c r="E306" s="24"/>
      <c r="F306" s="4">
        <f t="shared" si="60"/>
        <v>6060.4</v>
      </c>
      <c r="G306" s="4">
        <f t="shared" si="60"/>
        <v>962.24800000000005</v>
      </c>
      <c r="H306" s="441">
        <f t="shared" si="54"/>
        <v>15.877631839482545</v>
      </c>
    </row>
    <row r="307" spans="1:12" ht="31.5" x14ac:dyDescent="0.25">
      <c r="A307" s="23" t="s">
        <v>880</v>
      </c>
      <c r="B307" s="24" t="s">
        <v>241</v>
      </c>
      <c r="C307" s="24" t="s">
        <v>125</v>
      </c>
      <c r="D307" s="24" t="s">
        <v>875</v>
      </c>
      <c r="E307" s="24"/>
      <c r="F307" s="4">
        <f>F308+F313+F316</f>
        <v>6060.4</v>
      </c>
      <c r="G307" s="4">
        <f>G308+G313+G316</f>
        <v>962.24800000000005</v>
      </c>
      <c r="H307" s="441">
        <f t="shared" si="54"/>
        <v>15.877631839482545</v>
      </c>
    </row>
    <row r="308" spans="1:12" ht="15.75" hidden="1" x14ac:dyDescent="0.25">
      <c r="A308" s="25" t="s">
        <v>522</v>
      </c>
      <c r="B308" s="20" t="s">
        <v>784</v>
      </c>
      <c r="C308" s="20" t="s">
        <v>125</v>
      </c>
      <c r="D308" s="20" t="s">
        <v>970</v>
      </c>
      <c r="E308" s="24"/>
      <c r="F308" s="6">
        <f t="shared" ref="F308:G308" si="61">F309+F311</f>
        <v>0</v>
      </c>
      <c r="G308" s="6">
        <f t="shared" si="61"/>
        <v>0</v>
      </c>
      <c r="H308" s="416" t="e">
        <f t="shared" si="54"/>
        <v>#DIV/0!</v>
      </c>
    </row>
    <row r="309" spans="1:12" ht="31.5" hidden="1" x14ac:dyDescent="0.25">
      <c r="A309" s="25" t="s">
        <v>138</v>
      </c>
      <c r="B309" s="20" t="s">
        <v>241</v>
      </c>
      <c r="C309" s="20" t="s">
        <v>125</v>
      </c>
      <c r="D309" s="20" t="s">
        <v>970</v>
      </c>
      <c r="E309" s="20" t="s">
        <v>139</v>
      </c>
      <c r="F309" s="6">
        <f t="shared" ref="F309:G309" si="62">F310</f>
        <v>0</v>
      </c>
      <c r="G309" s="6">
        <f t="shared" si="62"/>
        <v>0</v>
      </c>
      <c r="H309" s="416" t="e">
        <f t="shared" si="54"/>
        <v>#DIV/0!</v>
      </c>
    </row>
    <row r="310" spans="1:12" ht="31.5" hidden="1" x14ac:dyDescent="0.25">
      <c r="A310" s="25" t="s">
        <v>140</v>
      </c>
      <c r="B310" s="20" t="s">
        <v>241</v>
      </c>
      <c r="C310" s="20" t="s">
        <v>125</v>
      </c>
      <c r="D310" s="20" t="s">
        <v>970</v>
      </c>
      <c r="E310" s="20" t="s">
        <v>141</v>
      </c>
      <c r="F310" s="6">
        <f>'Пр.4 ведом.21'!G868</f>
        <v>0</v>
      </c>
      <c r="G310" s="6">
        <f>'Пр.4 ведом.21'!H868</f>
        <v>0</v>
      </c>
      <c r="H310" s="416" t="e">
        <f t="shared" si="54"/>
        <v>#DIV/0!</v>
      </c>
    </row>
    <row r="311" spans="1:12" ht="15.75" hidden="1" x14ac:dyDescent="0.25">
      <c r="A311" s="25" t="s">
        <v>142</v>
      </c>
      <c r="B311" s="20" t="s">
        <v>241</v>
      </c>
      <c r="C311" s="20" t="s">
        <v>125</v>
      </c>
      <c r="D311" s="20" t="s">
        <v>970</v>
      </c>
      <c r="E311" s="20" t="s">
        <v>152</v>
      </c>
      <c r="F311" s="6">
        <f t="shared" ref="F311:G311" si="63">F312</f>
        <v>0</v>
      </c>
      <c r="G311" s="6">
        <f t="shared" si="63"/>
        <v>0</v>
      </c>
      <c r="H311" s="416" t="e">
        <f t="shared" si="54"/>
        <v>#DIV/0!</v>
      </c>
    </row>
    <row r="312" spans="1:12" ht="47.25" hidden="1" x14ac:dyDescent="0.25">
      <c r="A312" s="25" t="s">
        <v>191</v>
      </c>
      <c r="B312" s="20" t="s">
        <v>241</v>
      </c>
      <c r="C312" s="20" t="s">
        <v>125</v>
      </c>
      <c r="D312" s="20" t="s">
        <v>970</v>
      </c>
      <c r="E312" s="20" t="s">
        <v>167</v>
      </c>
      <c r="F312" s="6">
        <f>'Пр.4 ведом.21'!G870</f>
        <v>0</v>
      </c>
      <c r="G312" s="6">
        <f>'Пр.4 ведом.21'!H870</f>
        <v>0</v>
      </c>
      <c r="H312" s="416" t="e">
        <f t="shared" si="54"/>
        <v>#DIV/0!</v>
      </c>
    </row>
    <row r="313" spans="1:12" ht="31.5" x14ac:dyDescent="0.25">
      <c r="A313" s="29" t="s">
        <v>405</v>
      </c>
      <c r="B313" s="20" t="s">
        <v>241</v>
      </c>
      <c r="C313" s="20" t="s">
        <v>125</v>
      </c>
      <c r="D313" s="20" t="s">
        <v>971</v>
      </c>
      <c r="E313" s="24"/>
      <c r="F313" s="6">
        <f t="shared" ref="F313:G314" si="64">F314</f>
        <v>4920.3999999999996</v>
      </c>
      <c r="G313" s="6">
        <f t="shared" si="64"/>
        <v>962.24800000000005</v>
      </c>
      <c r="H313" s="416">
        <f t="shared" si="54"/>
        <v>19.556296236078367</v>
      </c>
    </row>
    <row r="314" spans="1:12" ht="31.5" x14ac:dyDescent="0.25">
      <c r="A314" s="25" t="s">
        <v>138</v>
      </c>
      <c r="B314" s="20" t="s">
        <v>241</v>
      </c>
      <c r="C314" s="20" t="s">
        <v>125</v>
      </c>
      <c r="D314" s="20" t="s">
        <v>971</v>
      </c>
      <c r="E314" s="20" t="s">
        <v>139</v>
      </c>
      <c r="F314" s="6">
        <f t="shared" si="64"/>
        <v>4920.3999999999996</v>
      </c>
      <c r="G314" s="6">
        <f t="shared" si="64"/>
        <v>962.24800000000005</v>
      </c>
      <c r="H314" s="416">
        <f t="shared" si="54"/>
        <v>19.556296236078367</v>
      </c>
    </row>
    <row r="315" spans="1:12" ht="31.5" x14ac:dyDescent="0.25">
      <c r="A315" s="25" t="s">
        <v>140</v>
      </c>
      <c r="B315" s="20" t="s">
        <v>241</v>
      </c>
      <c r="C315" s="20" t="s">
        <v>125</v>
      </c>
      <c r="D315" s="20" t="s">
        <v>971</v>
      </c>
      <c r="E315" s="20" t="s">
        <v>141</v>
      </c>
      <c r="F315" s="6">
        <f>'Пр.4 ведом.21'!G519+'Пр.4 ведом.21'!G873</f>
        <v>4920.3999999999996</v>
      </c>
      <c r="G315" s="6">
        <f>'Пр.4 ведом.21'!H519+'Пр.4 ведом.21'!H873</f>
        <v>962.24800000000005</v>
      </c>
      <c r="H315" s="416">
        <f t="shared" si="54"/>
        <v>19.556296236078367</v>
      </c>
    </row>
    <row r="316" spans="1:12" ht="31.5" x14ac:dyDescent="0.25">
      <c r="A316" s="29" t="s">
        <v>942</v>
      </c>
      <c r="B316" s="20" t="s">
        <v>241</v>
      </c>
      <c r="C316" s="20" t="s">
        <v>125</v>
      </c>
      <c r="D316" s="20" t="s">
        <v>972</v>
      </c>
      <c r="E316" s="24"/>
      <c r="F316" s="6">
        <f>F317</f>
        <v>1140</v>
      </c>
      <c r="G316" s="6">
        <f>G317</f>
        <v>0</v>
      </c>
      <c r="H316" s="416">
        <f t="shared" si="54"/>
        <v>0</v>
      </c>
    </row>
    <row r="317" spans="1:12" ht="31.5" x14ac:dyDescent="0.25">
      <c r="A317" s="25" t="s">
        <v>138</v>
      </c>
      <c r="B317" s="20" t="s">
        <v>241</v>
      </c>
      <c r="C317" s="20" t="s">
        <v>125</v>
      </c>
      <c r="D317" s="20" t="s">
        <v>972</v>
      </c>
      <c r="E317" s="20" t="s">
        <v>139</v>
      </c>
      <c r="F317" s="6">
        <f>F318</f>
        <v>1140</v>
      </c>
      <c r="G317" s="6">
        <f>G318</f>
        <v>0</v>
      </c>
      <c r="H317" s="416">
        <f t="shared" si="54"/>
        <v>0</v>
      </c>
    </row>
    <row r="318" spans="1:12" ht="31.5" x14ac:dyDescent="0.25">
      <c r="A318" s="25" t="s">
        <v>140</v>
      </c>
      <c r="B318" s="20" t="s">
        <v>241</v>
      </c>
      <c r="C318" s="20" t="s">
        <v>125</v>
      </c>
      <c r="D318" s="20" t="s">
        <v>972</v>
      </c>
      <c r="E318" s="20" t="s">
        <v>141</v>
      </c>
      <c r="F318" s="6">
        <f>'Пр.4 ведом.21'!G876+'Пр.4 ведом.21'!G522</f>
        <v>1140</v>
      </c>
      <c r="G318" s="6">
        <f>'Пр.4 ведом.21'!H876+'Пр.4 ведом.21'!H522</f>
        <v>0</v>
      </c>
      <c r="H318" s="416">
        <f t="shared" si="54"/>
        <v>0</v>
      </c>
    </row>
    <row r="319" spans="1:12" ht="15.75" x14ac:dyDescent="0.25">
      <c r="A319" s="23" t="s">
        <v>524</v>
      </c>
      <c r="B319" s="24" t="s">
        <v>241</v>
      </c>
      <c r="C319" s="24" t="s">
        <v>220</v>
      </c>
      <c r="D319" s="24"/>
      <c r="E319" s="24"/>
      <c r="F319" s="4">
        <f>F350+F320+F379</f>
        <v>6788.01</v>
      </c>
      <c r="G319" s="4">
        <f>G350+G320+G379</f>
        <v>566.95100000000002</v>
      </c>
      <c r="H319" s="441">
        <f t="shared" si="54"/>
        <v>8.3522416731855138</v>
      </c>
    </row>
    <row r="320" spans="1:12" ht="15.75" x14ac:dyDescent="0.25">
      <c r="A320" s="23" t="s">
        <v>148</v>
      </c>
      <c r="B320" s="24" t="s">
        <v>241</v>
      </c>
      <c r="C320" s="24" t="s">
        <v>220</v>
      </c>
      <c r="D320" s="24" t="s">
        <v>876</v>
      </c>
      <c r="E320" s="24"/>
      <c r="F320" s="4">
        <f>F321+F333</f>
        <v>6398.01</v>
      </c>
      <c r="G320" s="4">
        <f>G321+G333</f>
        <v>177</v>
      </c>
      <c r="H320" s="441">
        <f t="shared" si="54"/>
        <v>2.7664852039931165</v>
      </c>
    </row>
    <row r="321" spans="1:8" ht="33" customHeight="1" x14ac:dyDescent="0.25">
      <c r="A321" s="23" t="s">
        <v>880</v>
      </c>
      <c r="B321" s="24" t="s">
        <v>241</v>
      </c>
      <c r="C321" s="24" t="s">
        <v>220</v>
      </c>
      <c r="D321" s="24" t="s">
        <v>875</v>
      </c>
      <c r="E321" s="24"/>
      <c r="F321" s="4">
        <f>F322+F328</f>
        <v>6398.01</v>
      </c>
      <c r="G321" s="4">
        <f>G322+G328</f>
        <v>177</v>
      </c>
      <c r="H321" s="441">
        <f t="shared" si="54"/>
        <v>2.7664852039931165</v>
      </c>
    </row>
    <row r="322" spans="1:8" ht="17.45" customHeight="1" x14ac:dyDescent="0.25">
      <c r="A322" s="35" t="s">
        <v>544</v>
      </c>
      <c r="B322" s="20" t="s">
        <v>241</v>
      </c>
      <c r="C322" s="20" t="s">
        <v>220</v>
      </c>
      <c r="D322" s="20" t="s">
        <v>989</v>
      </c>
      <c r="E322" s="20"/>
      <c r="F322" s="6">
        <f>F323+F325</f>
        <v>177</v>
      </c>
      <c r="G322" s="6">
        <f>G323+G325</f>
        <v>177</v>
      </c>
      <c r="H322" s="416">
        <f t="shared" si="54"/>
        <v>100</v>
      </c>
    </row>
    <row r="323" spans="1:8" ht="35.450000000000003" customHeight="1" x14ac:dyDescent="0.25">
      <c r="A323" s="25" t="s">
        <v>138</v>
      </c>
      <c r="B323" s="20" t="s">
        <v>241</v>
      </c>
      <c r="C323" s="20" t="s">
        <v>220</v>
      </c>
      <c r="D323" s="20" t="s">
        <v>989</v>
      </c>
      <c r="E323" s="20" t="s">
        <v>139</v>
      </c>
      <c r="F323" s="6">
        <f>F324</f>
        <v>177</v>
      </c>
      <c r="G323" s="6">
        <f>G324</f>
        <v>177</v>
      </c>
      <c r="H323" s="416">
        <f t="shared" si="54"/>
        <v>100</v>
      </c>
    </row>
    <row r="324" spans="1:8" ht="31.5" x14ac:dyDescent="0.25">
      <c r="A324" s="25" t="s">
        <v>140</v>
      </c>
      <c r="B324" s="20" t="s">
        <v>241</v>
      </c>
      <c r="C324" s="20" t="s">
        <v>220</v>
      </c>
      <c r="D324" s="20" t="s">
        <v>989</v>
      </c>
      <c r="E324" s="20" t="s">
        <v>141</v>
      </c>
      <c r="F324" s="6">
        <f>'Пр.4 ведом.21'!G882</f>
        <v>177</v>
      </c>
      <c r="G324" s="6">
        <f>'Пр.4 ведом.21'!H882</f>
        <v>177</v>
      </c>
      <c r="H324" s="416">
        <f t="shared" si="54"/>
        <v>100</v>
      </c>
    </row>
    <row r="325" spans="1:8" ht="15.75" hidden="1" x14ac:dyDescent="0.25">
      <c r="A325" s="25" t="s">
        <v>142</v>
      </c>
      <c r="B325" s="20" t="s">
        <v>241</v>
      </c>
      <c r="C325" s="20" t="s">
        <v>220</v>
      </c>
      <c r="D325" s="20" t="s">
        <v>989</v>
      </c>
      <c r="E325" s="20" t="s">
        <v>152</v>
      </c>
      <c r="F325" s="6">
        <f>F326+F327</f>
        <v>0</v>
      </c>
      <c r="G325" s="6">
        <f>G326+G327</f>
        <v>0</v>
      </c>
      <c r="H325" s="416" t="e">
        <f t="shared" si="54"/>
        <v>#DIV/0!</v>
      </c>
    </row>
    <row r="326" spans="1:8" ht="47.25" hidden="1" x14ac:dyDescent="0.25">
      <c r="A326" s="25" t="s">
        <v>191</v>
      </c>
      <c r="B326" s="20" t="s">
        <v>241</v>
      </c>
      <c r="C326" s="20" t="s">
        <v>220</v>
      </c>
      <c r="D326" s="20" t="s">
        <v>989</v>
      </c>
      <c r="E326" s="20" t="s">
        <v>167</v>
      </c>
      <c r="F326" s="6">
        <f>'Пр.4 ведом.21'!G884</f>
        <v>0</v>
      </c>
      <c r="G326" s="6">
        <f>'Пр.4 ведом.21'!H884</f>
        <v>0</v>
      </c>
      <c r="H326" s="416" t="e">
        <f t="shared" si="54"/>
        <v>#DIV/0!</v>
      </c>
    </row>
    <row r="327" spans="1:8" s="202" customFormat="1" ht="15.75" hidden="1" x14ac:dyDescent="0.25">
      <c r="A327" s="25" t="s">
        <v>1206</v>
      </c>
      <c r="B327" s="20" t="s">
        <v>241</v>
      </c>
      <c r="C327" s="20" t="s">
        <v>220</v>
      </c>
      <c r="D327" s="20" t="s">
        <v>989</v>
      </c>
      <c r="E327" s="20" t="s">
        <v>154</v>
      </c>
      <c r="F327" s="6">
        <f>'Пр.4 ведом.21'!G885</f>
        <v>0</v>
      </c>
      <c r="G327" s="6">
        <f>'Пр.4 ведом.21'!H885</f>
        <v>0</v>
      </c>
      <c r="H327" s="416" t="e">
        <f t="shared" si="54"/>
        <v>#DIV/0!</v>
      </c>
    </row>
    <row r="328" spans="1:8" ht="31.5" x14ac:dyDescent="0.25">
      <c r="A328" s="29" t="s">
        <v>942</v>
      </c>
      <c r="B328" s="20" t="s">
        <v>241</v>
      </c>
      <c r="C328" s="20" t="s">
        <v>220</v>
      </c>
      <c r="D328" s="20" t="s">
        <v>972</v>
      </c>
      <c r="E328" s="20"/>
      <c r="F328" s="6">
        <f>F329+F331</f>
        <v>6221.01</v>
      </c>
      <c r="G328" s="6">
        <f>G329+G331</f>
        <v>0</v>
      </c>
      <c r="H328" s="416">
        <f t="shared" si="54"/>
        <v>0</v>
      </c>
    </row>
    <row r="329" spans="1:8" ht="31.5" x14ac:dyDescent="0.25">
      <c r="A329" s="25" t="s">
        <v>138</v>
      </c>
      <c r="B329" s="20" t="s">
        <v>241</v>
      </c>
      <c r="C329" s="20" t="s">
        <v>220</v>
      </c>
      <c r="D329" s="20" t="s">
        <v>972</v>
      </c>
      <c r="E329" s="20" t="s">
        <v>139</v>
      </c>
      <c r="F329" s="6">
        <f t="shared" ref="F329:G329" si="65">F330</f>
        <v>6221.01</v>
      </c>
      <c r="G329" s="6">
        <f t="shared" si="65"/>
        <v>0</v>
      </c>
      <c r="H329" s="416">
        <f t="shared" si="54"/>
        <v>0</v>
      </c>
    </row>
    <row r="330" spans="1:8" ht="31.5" x14ac:dyDescent="0.25">
      <c r="A330" s="25" t="s">
        <v>140</v>
      </c>
      <c r="B330" s="20" t="s">
        <v>241</v>
      </c>
      <c r="C330" s="20" t="s">
        <v>220</v>
      </c>
      <c r="D330" s="20" t="s">
        <v>972</v>
      </c>
      <c r="E330" s="20" t="s">
        <v>141</v>
      </c>
      <c r="F330" s="6">
        <f>'Пр.4 ведом.21'!G888</f>
        <v>6221.01</v>
      </c>
      <c r="G330" s="6">
        <f>'Пр.4 ведом.21'!H888</f>
        <v>0</v>
      </c>
      <c r="H330" s="416">
        <f t="shared" si="54"/>
        <v>0</v>
      </c>
    </row>
    <row r="331" spans="1:8" ht="15.75" hidden="1" x14ac:dyDescent="0.25">
      <c r="A331" s="25" t="s">
        <v>142</v>
      </c>
      <c r="B331" s="20" t="s">
        <v>241</v>
      </c>
      <c r="C331" s="20" t="s">
        <v>220</v>
      </c>
      <c r="D331" s="20" t="s">
        <v>972</v>
      </c>
      <c r="E331" s="20" t="s">
        <v>152</v>
      </c>
      <c r="F331" s="6">
        <f>F332</f>
        <v>0</v>
      </c>
      <c r="G331" s="6">
        <f>G332</f>
        <v>0</v>
      </c>
      <c r="H331" s="416" t="e">
        <f t="shared" ref="H331:H394" si="66">G331/F331*100</f>
        <v>#DIV/0!</v>
      </c>
    </row>
    <row r="332" spans="1:8" ht="15.75" hidden="1" x14ac:dyDescent="0.25">
      <c r="A332" s="25" t="s">
        <v>153</v>
      </c>
      <c r="B332" s="20" t="s">
        <v>241</v>
      </c>
      <c r="C332" s="20" t="s">
        <v>220</v>
      </c>
      <c r="D332" s="20" t="s">
        <v>972</v>
      </c>
      <c r="E332" s="20" t="s">
        <v>154</v>
      </c>
      <c r="F332" s="6">
        <f>'Пр.4 ведом.21'!G890</f>
        <v>0</v>
      </c>
      <c r="G332" s="6">
        <f>'Пр.4 ведом.21'!H890</f>
        <v>0</v>
      </c>
      <c r="H332" s="416" t="e">
        <f t="shared" si="66"/>
        <v>#DIV/0!</v>
      </c>
    </row>
    <row r="333" spans="1:8" ht="47.25" hidden="1" x14ac:dyDescent="0.25">
      <c r="A333" s="23" t="s">
        <v>1023</v>
      </c>
      <c r="B333" s="24" t="s">
        <v>241</v>
      </c>
      <c r="C333" s="24" t="s">
        <v>220</v>
      </c>
      <c r="D333" s="24" t="s">
        <v>990</v>
      </c>
      <c r="E333" s="24"/>
      <c r="F333" s="4">
        <f>F334+F339+F342+F347</f>
        <v>0</v>
      </c>
      <c r="G333" s="4">
        <f>G334+G339+G342+G347</f>
        <v>0</v>
      </c>
      <c r="H333" s="416" t="e">
        <f t="shared" si="66"/>
        <v>#DIV/0!</v>
      </c>
    </row>
    <row r="334" spans="1:8" ht="47.25" hidden="1" x14ac:dyDescent="0.25">
      <c r="A334" s="25" t="s">
        <v>837</v>
      </c>
      <c r="B334" s="20" t="s">
        <v>241</v>
      </c>
      <c r="C334" s="20" t="s">
        <v>220</v>
      </c>
      <c r="D334" s="20" t="s">
        <v>991</v>
      </c>
      <c r="E334" s="20"/>
      <c r="F334" s="6">
        <f>F335+F337</f>
        <v>0</v>
      </c>
      <c r="G334" s="6">
        <f>G335+G337</f>
        <v>0</v>
      </c>
      <c r="H334" s="416" t="e">
        <f t="shared" si="66"/>
        <v>#DIV/0!</v>
      </c>
    </row>
    <row r="335" spans="1:8" ht="31.5" hidden="1" x14ac:dyDescent="0.25">
      <c r="A335" s="25" t="s">
        <v>138</v>
      </c>
      <c r="B335" s="20" t="s">
        <v>241</v>
      </c>
      <c r="C335" s="20" t="s">
        <v>220</v>
      </c>
      <c r="D335" s="20" t="s">
        <v>991</v>
      </c>
      <c r="E335" s="20" t="s">
        <v>139</v>
      </c>
      <c r="F335" s="6">
        <f>F336</f>
        <v>0</v>
      </c>
      <c r="G335" s="6">
        <f>G336</f>
        <v>0</v>
      </c>
      <c r="H335" s="416" t="e">
        <f t="shared" si="66"/>
        <v>#DIV/0!</v>
      </c>
    </row>
    <row r="336" spans="1:8" ht="31.5" hidden="1" x14ac:dyDescent="0.25">
      <c r="A336" s="25" t="s">
        <v>140</v>
      </c>
      <c r="B336" s="20" t="s">
        <v>241</v>
      </c>
      <c r="C336" s="20" t="s">
        <v>220</v>
      </c>
      <c r="D336" s="20" t="s">
        <v>991</v>
      </c>
      <c r="E336" s="20" t="s">
        <v>141</v>
      </c>
      <c r="F336" s="6">
        <f>'Пр.4 ведом.21'!G894</f>
        <v>0</v>
      </c>
      <c r="G336" s="6">
        <f>'Пр.4 ведом.21'!H894</f>
        <v>0</v>
      </c>
      <c r="H336" s="416" t="e">
        <f t="shared" si="66"/>
        <v>#DIV/0!</v>
      </c>
    </row>
    <row r="337" spans="1:8" ht="15.75" hidden="1" x14ac:dyDescent="0.25">
      <c r="A337" s="25" t="s">
        <v>142</v>
      </c>
      <c r="B337" s="20" t="s">
        <v>241</v>
      </c>
      <c r="C337" s="20" t="s">
        <v>220</v>
      </c>
      <c r="D337" s="20" t="s">
        <v>991</v>
      </c>
      <c r="E337" s="20" t="s">
        <v>847</v>
      </c>
      <c r="F337" s="6">
        <f>F338</f>
        <v>0</v>
      </c>
      <c r="G337" s="6">
        <f>G338</f>
        <v>0</v>
      </c>
      <c r="H337" s="416" t="e">
        <f t="shared" si="66"/>
        <v>#DIV/0!</v>
      </c>
    </row>
    <row r="338" spans="1:8" ht="15.75" hidden="1" x14ac:dyDescent="0.25">
      <c r="A338" s="25" t="s">
        <v>575</v>
      </c>
      <c r="B338" s="20" t="s">
        <v>241</v>
      </c>
      <c r="C338" s="20" t="s">
        <v>220</v>
      </c>
      <c r="D338" s="20" t="s">
        <v>991</v>
      </c>
      <c r="E338" s="20" t="s">
        <v>1078</v>
      </c>
      <c r="F338" s="6">
        <f>'Пр.4 ведом.21'!G896</f>
        <v>0</v>
      </c>
      <c r="G338" s="6">
        <f>'Пр.4 ведом.21'!H896</f>
        <v>0</v>
      </c>
      <c r="H338" s="416" t="e">
        <f t="shared" si="66"/>
        <v>#DIV/0!</v>
      </c>
    </row>
    <row r="339" spans="1:8" ht="49.7" hidden="1" customHeight="1" x14ac:dyDescent="0.25">
      <c r="A339" s="25" t="s">
        <v>803</v>
      </c>
      <c r="B339" s="20" t="s">
        <v>241</v>
      </c>
      <c r="C339" s="20" t="s">
        <v>220</v>
      </c>
      <c r="D339" s="20" t="s">
        <v>992</v>
      </c>
      <c r="E339" s="20"/>
      <c r="F339" s="6">
        <f>F340</f>
        <v>0</v>
      </c>
      <c r="G339" s="6">
        <f>G340</f>
        <v>0</v>
      </c>
      <c r="H339" s="416" t="e">
        <f t="shared" si="66"/>
        <v>#DIV/0!</v>
      </c>
    </row>
    <row r="340" spans="1:8" ht="31.5" hidden="1" x14ac:dyDescent="0.25">
      <c r="A340" s="25" t="s">
        <v>138</v>
      </c>
      <c r="B340" s="20" t="s">
        <v>241</v>
      </c>
      <c r="C340" s="20" t="s">
        <v>220</v>
      </c>
      <c r="D340" s="20" t="s">
        <v>992</v>
      </c>
      <c r="E340" s="20" t="s">
        <v>139</v>
      </c>
      <c r="F340" s="6">
        <f>F341</f>
        <v>0</v>
      </c>
      <c r="G340" s="6">
        <f>G341</f>
        <v>0</v>
      </c>
      <c r="H340" s="416" t="e">
        <f t="shared" si="66"/>
        <v>#DIV/0!</v>
      </c>
    </row>
    <row r="341" spans="1:8" ht="31.5" hidden="1" x14ac:dyDescent="0.25">
      <c r="A341" s="25" t="s">
        <v>140</v>
      </c>
      <c r="B341" s="20" t="s">
        <v>241</v>
      </c>
      <c r="C341" s="20" t="s">
        <v>220</v>
      </c>
      <c r="D341" s="20" t="s">
        <v>992</v>
      </c>
      <c r="E341" s="20" t="s">
        <v>141</v>
      </c>
      <c r="F341" s="6">
        <f>'Пр.4 ведом.21'!G899</f>
        <v>0</v>
      </c>
      <c r="G341" s="6">
        <f>'Пр.4 ведом.21'!H899</f>
        <v>0</v>
      </c>
      <c r="H341" s="416" t="e">
        <f t="shared" si="66"/>
        <v>#DIV/0!</v>
      </c>
    </row>
    <row r="342" spans="1:8" ht="47.25" hidden="1" x14ac:dyDescent="0.25">
      <c r="A342" s="97" t="s">
        <v>843</v>
      </c>
      <c r="B342" s="20" t="s">
        <v>241</v>
      </c>
      <c r="C342" s="20" t="s">
        <v>220</v>
      </c>
      <c r="D342" s="20" t="s">
        <v>993</v>
      </c>
      <c r="E342" s="20"/>
      <c r="F342" s="6">
        <f>F343+F345</f>
        <v>0</v>
      </c>
      <c r="G342" s="6">
        <f>G343+G345</f>
        <v>0</v>
      </c>
      <c r="H342" s="416" t="e">
        <f t="shared" si="66"/>
        <v>#DIV/0!</v>
      </c>
    </row>
    <row r="343" spans="1:8" ht="31.5" hidden="1" x14ac:dyDescent="0.25">
      <c r="A343" s="25" t="s">
        <v>848</v>
      </c>
      <c r="B343" s="20" t="s">
        <v>241</v>
      </c>
      <c r="C343" s="20" t="s">
        <v>220</v>
      </c>
      <c r="D343" s="20" t="s">
        <v>993</v>
      </c>
      <c r="E343" s="20" t="s">
        <v>847</v>
      </c>
      <c r="F343" s="6">
        <f>F344</f>
        <v>0</v>
      </c>
      <c r="G343" s="6">
        <f>G344</f>
        <v>0</v>
      </c>
      <c r="H343" s="416" t="e">
        <f t="shared" si="66"/>
        <v>#DIV/0!</v>
      </c>
    </row>
    <row r="344" spans="1:8" ht="31.7" hidden="1" customHeight="1" x14ac:dyDescent="0.25">
      <c r="A344" s="25" t="s">
        <v>1059</v>
      </c>
      <c r="B344" s="20" t="s">
        <v>241</v>
      </c>
      <c r="C344" s="20" t="s">
        <v>220</v>
      </c>
      <c r="D344" s="20" t="s">
        <v>993</v>
      </c>
      <c r="E344" s="20" t="s">
        <v>1078</v>
      </c>
      <c r="F344" s="6">
        <f>'Пр.4 ведом.21'!G902</f>
        <v>0</v>
      </c>
      <c r="G344" s="6">
        <f>'Пр.4 ведом.21'!H902</f>
        <v>0</v>
      </c>
      <c r="H344" s="416" t="e">
        <f t="shared" si="66"/>
        <v>#DIV/0!</v>
      </c>
    </row>
    <row r="345" spans="1:8" ht="21.2" hidden="1" customHeight="1" x14ac:dyDescent="0.25">
      <c r="A345" s="25" t="s">
        <v>142</v>
      </c>
      <c r="B345" s="20" t="s">
        <v>241</v>
      </c>
      <c r="C345" s="20" t="s">
        <v>220</v>
      </c>
      <c r="D345" s="20" t="s">
        <v>993</v>
      </c>
      <c r="E345" s="20" t="s">
        <v>152</v>
      </c>
      <c r="F345" s="6">
        <f>F346</f>
        <v>0</v>
      </c>
      <c r="G345" s="6">
        <f>G346</f>
        <v>0</v>
      </c>
      <c r="H345" s="416" t="e">
        <f t="shared" si="66"/>
        <v>#DIV/0!</v>
      </c>
    </row>
    <row r="346" spans="1:8" ht="21.75" hidden="1" customHeight="1" x14ac:dyDescent="0.25">
      <c r="A346" s="25" t="s">
        <v>714</v>
      </c>
      <c r="B346" s="20" t="s">
        <v>241</v>
      </c>
      <c r="C346" s="20" t="s">
        <v>220</v>
      </c>
      <c r="D346" s="20" t="s">
        <v>993</v>
      </c>
      <c r="E346" s="20" t="s">
        <v>145</v>
      </c>
      <c r="F346" s="6">
        <f>'Пр.4 ведом.21'!G904</f>
        <v>0</v>
      </c>
      <c r="G346" s="6">
        <f>'Пр.4 ведом.21'!H904</f>
        <v>0</v>
      </c>
      <c r="H346" s="416" t="e">
        <f t="shared" si="66"/>
        <v>#DIV/0!</v>
      </c>
    </row>
    <row r="347" spans="1:8" ht="31.5" hidden="1" x14ac:dyDescent="0.25">
      <c r="A347" s="25" t="s">
        <v>1079</v>
      </c>
      <c r="B347" s="20" t="s">
        <v>241</v>
      </c>
      <c r="C347" s="20" t="s">
        <v>220</v>
      </c>
      <c r="D347" s="20" t="s">
        <v>1080</v>
      </c>
      <c r="E347" s="20"/>
      <c r="F347" s="6">
        <f t="shared" ref="F347:G348" si="67">F348</f>
        <v>0</v>
      </c>
      <c r="G347" s="6">
        <f t="shared" si="67"/>
        <v>0</v>
      </c>
      <c r="H347" s="416" t="e">
        <f t="shared" si="66"/>
        <v>#DIV/0!</v>
      </c>
    </row>
    <row r="348" spans="1:8" ht="31.5" hidden="1" x14ac:dyDescent="0.25">
      <c r="A348" s="25" t="s">
        <v>138</v>
      </c>
      <c r="B348" s="20" t="s">
        <v>241</v>
      </c>
      <c r="C348" s="20" t="s">
        <v>220</v>
      </c>
      <c r="D348" s="20" t="s">
        <v>1080</v>
      </c>
      <c r="E348" s="20" t="s">
        <v>139</v>
      </c>
      <c r="F348" s="6">
        <f t="shared" si="67"/>
        <v>0</v>
      </c>
      <c r="G348" s="6">
        <f t="shared" si="67"/>
        <v>0</v>
      </c>
      <c r="H348" s="416" t="e">
        <f t="shared" si="66"/>
        <v>#DIV/0!</v>
      </c>
    </row>
    <row r="349" spans="1:8" ht="31.5" hidden="1" x14ac:dyDescent="0.25">
      <c r="A349" s="25" t="s">
        <v>140</v>
      </c>
      <c r="B349" s="20" t="s">
        <v>241</v>
      </c>
      <c r="C349" s="20" t="s">
        <v>220</v>
      </c>
      <c r="D349" s="20" t="s">
        <v>1080</v>
      </c>
      <c r="E349" s="20" t="s">
        <v>141</v>
      </c>
      <c r="F349" s="6">
        <f>'Пр.4 ведом.21'!G907</f>
        <v>0</v>
      </c>
      <c r="G349" s="6">
        <f>'Пр.4 ведом.21'!H907</f>
        <v>0</v>
      </c>
      <c r="H349" s="416" t="e">
        <f t="shared" si="66"/>
        <v>#DIV/0!</v>
      </c>
    </row>
    <row r="350" spans="1:8" ht="63" x14ac:dyDescent="0.25">
      <c r="A350" s="23" t="s">
        <v>1575</v>
      </c>
      <c r="B350" s="24" t="s">
        <v>241</v>
      </c>
      <c r="C350" s="24" t="s">
        <v>220</v>
      </c>
      <c r="D350" s="24" t="s">
        <v>525</v>
      </c>
      <c r="E350" s="24"/>
      <c r="F350" s="4">
        <f>F351+F355+F359+F363+F367+F371+F375</f>
        <v>390</v>
      </c>
      <c r="G350" s="4">
        <f>G351+G355+G359+G363+G367+G371+G375</f>
        <v>389.95100000000002</v>
      </c>
      <c r="H350" s="441">
        <f t="shared" si="66"/>
        <v>99.987435897435901</v>
      </c>
    </row>
    <row r="351" spans="1:8" ht="31.5" hidden="1" x14ac:dyDescent="0.25">
      <c r="A351" s="23" t="s">
        <v>973</v>
      </c>
      <c r="B351" s="24" t="s">
        <v>241</v>
      </c>
      <c r="C351" s="24" t="s">
        <v>220</v>
      </c>
      <c r="D351" s="24" t="s">
        <v>975</v>
      </c>
      <c r="E351" s="24"/>
      <c r="F351" s="4">
        <f>F352</f>
        <v>0</v>
      </c>
      <c r="G351" s="4">
        <f>G352</f>
        <v>0</v>
      </c>
      <c r="H351" s="441" t="e">
        <f t="shared" si="66"/>
        <v>#DIV/0!</v>
      </c>
    </row>
    <row r="352" spans="1:8" ht="15.75" hidden="1" x14ac:dyDescent="0.25">
      <c r="A352" s="45" t="s">
        <v>974</v>
      </c>
      <c r="B352" s="40" t="s">
        <v>241</v>
      </c>
      <c r="C352" s="40" t="s">
        <v>220</v>
      </c>
      <c r="D352" s="20" t="s">
        <v>976</v>
      </c>
      <c r="E352" s="40"/>
      <c r="F352" s="6">
        <f t="shared" ref="F352:G353" si="68">F353</f>
        <v>0</v>
      </c>
      <c r="G352" s="6">
        <f t="shared" si="68"/>
        <v>0</v>
      </c>
      <c r="H352" s="441" t="e">
        <f t="shared" si="66"/>
        <v>#DIV/0!</v>
      </c>
    </row>
    <row r="353" spans="1:8" ht="31.5" hidden="1" x14ac:dyDescent="0.25">
      <c r="A353" s="31" t="s">
        <v>138</v>
      </c>
      <c r="B353" s="40" t="s">
        <v>241</v>
      </c>
      <c r="C353" s="40" t="s">
        <v>220</v>
      </c>
      <c r="D353" s="20" t="s">
        <v>976</v>
      </c>
      <c r="E353" s="40" t="s">
        <v>139</v>
      </c>
      <c r="F353" s="6">
        <f t="shared" si="68"/>
        <v>0</v>
      </c>
      <c r="G353" s="6">
        <f t="shared" si="68"/>
        <v>0</v>
      </c>
      <c r="H353" s="441" t="e">
        <f t="shared" si="66"/>
        <v>#DIV/0!</v>
      </c>
    </row>
    <row r="354" spans="1:8" ht="31.5" hidden="1" x14ac:dyDescent="0.25">
      <c r="A354" s="31" t="s">
        <v>140</v>
      </c>
      <c r="B354" s="40" t="s">
        <v>241</v>
      </c>
      <c r="C354" s="40" t="s">
        <v>220</v>
      </c>
      <c r="D354" s="20" t="s">
        <v>976</v>
      </c>
      <c r="E354" s="40" t="s">
        <v>141</v>
      </c>
      <c r="F354" s="6">
        <f>'Пр.4 ведом.21'!G912</f>
        <v>0</v>
      </c>
      <c r="G354" s="6">
        <f>'Пр.4 ведом.21'!H912</f>
        <v>0</v>
      </c>
      <c r="H354" s="441" t="e">
        <f t="shared" si="66"/>
        <v>#DIV/0!</v>
      </c>
    </row>
    <row r="355" spans="1:8" ht="31.5" x14ac:dyDescent="0.25">
      <c r="A355" s="34" t="s">
        <v>977</v>
      </c>
      <c r="B355" s="7" t="s">
        <v>241</v>
      </c>
      <c r="C355" s="7" t="s">
        <v>220</v>
      </c>
      <c r="D355" s="24" t="s">
        <v>978</v>
      </c>
      <c r="E355" s="7"/>
      <c r="F355" s="4">
        <f t="shared" ref="F355:G357" si="69">F356</f>
        <v>390</v>
      </c>
      <c r="G355" s="4">
        <f t="shared" si="69"/>
        <v>389.95100000000002</v>
      </c>
      <c r="H355" s="441">
        <f t="shared" si="66"/>
        <v>99.987435897435901</v>
      </c>
    </row>
    <row r="356" spans="1:8" ht="15.75" x14ac:dyDescent="0.25">
      <c r="A356" s="45" t="s">
        <v>530</v>
      </c>
      <c r="B356" s="40" t="s">
        <v>241</v>
      </c>
      <c r="C356" s="40" t="s">
        <v>220</v>
      </c>
      <c r="D356" s="20" t="s">
        <v>981</v>
      </c>
      <c r="E356" s="40"/>
      <c r="F356" s="6">
        <f t="shared" si="69"/>
        <v>390</v>
      </c>
      <c r="G356" s="6">
        <f t="shared" si="69"/>
        <v>389.95100000000002</v>
      </c>
      <c r="H356" s="416">
        <f t="shared" si="66"/>
        <v>99.987435897435901</v>
      </c>
    </row>
    <row r="357" spans="1:8" ht="31.5" x14ac:dyDescent="0.25">
      <c r="A357" s="31" t="s">
        <v>138</v>
      </c>
      <c r="B357" s="40" t="s">
        <v>241</v>
      </c>
      <c r="C357" s="40" t="s">
        <v>220</v>
      </c>
      <c r="D357" s="20" t="s">
        <v>981</v>
      </c>
      <c r="E357" s="40" t="s">
        <v>139</v>
      </c>
      <c r="F357" s="6">
        <f t="shared" si="69"/>
        <v>390</v>
      </c>
      <c r="G357" s="6">
        <f t="shared" si="69"/>
        <v>389.95100000000002</v>
      </c>
      <c r="H357" s="416">
        <f t="shared" si="66"/>
        <v>99.987435897435901</v>
      </c>
    </row>
    <row r="358" spans="1:8" ht="31.5" x14ac:dyDescent="0.25">
      <c r="A358" s="31" t="s">
        <v>140</v>
      </c>
      <c r="B358" s="40" t="s">
        <v>241</v>
      </c>
      <c r="C358" s="40" t="s">
        <v>220</v>
      </c>
      <c r="D358" s="20" t="s">
        <v>981</v>
      </c>
      <c r="E358" s="40" t="s">
        <v>141</v>
      </c>
      <c r="F358" s="6">
        <f>'Пр.4 ведом.21'!G916</f>
        <v>390</v>
      </c>
      <c r="G358" s="6">
        <f>'Пр.4 ведом.21'!H916</f>
        <v>389.95100000000002</v>
      </c>
      <c r="H358" s="416">
        <f t="shared" si="66"/>
        <v>99.987435897435901</v>
      </c>
    </row>
    <row r="359" spans="1:8" ht="31.5" hidden="1" x14ac:dyDescent="0.25">
      <c r="A359" s="58" t="s">
        <v>979</v>
      </c>
      <c r="B359" s="7" t="s">
        <v>241</v>
      </c>
      <c r="C359" s="7" t="s">
        <v>220</v>
      </c>
      <c r="D359" s="24" t="s">
        <v>980</v>
      </c>
      <c r="E359" s="7"/>
      <c r="F359" s="4">
        <f t="shared" ref="F359:G361" si="70">F360</f>
        <v>0</v>
      </c>
      <c r="G359" s="4">
        <f t="shared" si="70"/>
        <v>0</v>
      </c>
      <c r="H359" s="416" t="e">
        <f t="shared" si="66"/>
        <v>#DIV/0!</v>
      </c>
    </row>
    <row r="360" spans="1:8" ht="15.75" hidden="1" x14ac:dyDescent="0.25">
      <c r="A360" s="45" t="s">
        <v>532</v>
      </c>
      <c r="B360" s="40" t="s">
        <v>241</v>
      </c>
      <c r="C360" s="40" t="s">
        <v>220</v>
      </c>
      <c r="D360" s="20" t="s">
        <v>982</v>
      </c>
      <c r="E360" s="40"/>
      <c r="F360" s="6">
        <f t="shared" si="70"/>
        <v>0</v>
      </c>
      <c r="G360" s="6">
        <f t="shared" si="70"/>
        <v>0</v>
      </c>
      <c r="H360" s="416" t="e">
        <f t="shared" si="66"/>
        <v>#DIV/0!</v>
      </c>
    </row>
    <row r="361" spans="1:8" ht="31.5" hidden="1" x14ac:dyDescent="0.25">
      <c r="A361" s="31" t="s">
        <v>138</v>
      </c>
      <c r="B361" s="40" t="s">
        <v>241</v>
      </c>
      <c r="C361" s="40" t="s">
        <v>220</v>
      </c>
      <c r="D361" s="20" t="s">
        <v>982</v>
      </c>
      <c r="E361" s="40" t="s">
        <v>139</v>
      </c>
      <c r="F361" s="6">
        <f t="shared" si="70"/>
        <v>0</v>
      </c>
      <c r="G361" s="6">
        <f t="shared" si="70"/>
        <v>0</v>
      </c>
      <c r="H361" s="416" t="e">
        <f t="shared" si="66"/>
        <v>#DIV/0!</v>
      </c>
    </row>
    <row r="362" spans="1:8" ht="31.5" hidden="1" x14ac:dyDescent="0.25">
      <c r="A362" s="31" t="s">
        <v>140</v>
      </c>
      <c r="B362" s="40" t="s">
        <v>241</v>
      </c>
      <c r="C362" s="40" t="s">
        <v>220</v>
      </c>
      <c r="D362" s="20" t="s">
        <v>982</v>
      </c>
      <c r="E362" s="40" t="s">
        <v>141</v>
      </c>
      <c r="F362" s="6">
        <f>'Пр.4 ведом.21'!G920</f>
        <v>0</v>
      </c>
      <c r="G362" s="6">
        <f>'Пр.4 ведом.21'!H920</f>
        <v>0</v>
      </c>
      <c r="H362" s="416" t="e">
        <f t="shared" si="66"/>
        <v>#DIV/0!</v>
      </c>
    </row>
    <row r="363" spans="1:8" ht="31.5" hidden="1" x14ac:dyDescent="0.25">
      <c r="A363" s="58" t="s">
        <v>983</v>
      </c>
      <c r="B363" s="7" t="s">
        <v>241</v>
      </c>
      <c r="C363" s="7" t="s">
        <v>220</v>
      </c>
      <c r="D363" s="24" t="s">
        <v>984</v>
      </c>
      <c r="E363" s="7"/>
      <c r="F363" s="4">
        <f t="shared" ref="F363:G365" si="71">F364</f>
        <v>0</v>
      </c>
      <c r="G363" s="4">
        <f t="shared" si="71"/>
        <v>0</v>
      </c>
      <c r="H363" s="416" t="e">
        <f t="shared" si="66"/>
        <v>#DIV/0!</v>
      </c>
    </row>
    <row r="364" spans="1:8" ht="15.75" hidden="1" x14ac:dyDescent="0.25">
      <c r="A364" s="45" t="s">
        <v>534</v>
      </c>
      <c r="B364" s="40" t="s">
        <v>241</v>
      </c>
      <c r="C364" s="40" t="s">
        <v>220</v>
      </c>
      <c r="D364" s="20" t="s">
        <v>985</v>
      </c>
      <c r="E364" s="40"/>
      <c r="F364" s="6">
        <f t="shared" si="71"/>
        <v>0</v>
      </c>
      <c r="G364" s="6">
        <f t="shared" si="71"/>
        <v>0</v>
      </c>
      <c r="H364" s="416" t="e">
        <f t="shared" si="66"/>
        <v>#DIV/0!</v>
      </c>
    </row>
    <row r="365" spans="1:8" ht="31.5" hidden="1" x14ac:dyDescent="0.25">
      <c r="A365" s="31" t="s">
        <v>138</v>
      </c>
      <c r="B365" s="40" t="s">
        <v>241</v>
      </c>
      <c r="C365" s="40" t="s">
        <v>220</v>
      </c>
      <c r="D365" s="20" t="s">
        <v>985</v>
      </c>
      <c r="E365" s="40" t="s">
        <v>139</v>
      </c>
      <c r="F365" s="6">
        <f t="shared" si="71"/>
        <v>0</v>
      </c>
      <c r="G365" s="6">
        <f t="shared" si="71"/>
        <v>0</v>
      </c>
      <c r="H365" s="416" t="e">
        <f t="shared" si="66"/>
        <v>#DIV/0!</v>
      </c>
    </row>
    <row r="366" spans="1:8" ht="31.5" hidden="1" x14ac:dyDescent="0.25">
      <c r="A366" s="31" t="s">
        <v>140</v>
      </c>
      <c r="B366" s="40" t="s">
        <v>241</v>
      </c>
      <c r="C366" s="40" t="s">
        <v>220</v>
      </c>
      <c r="D366" s="20" t="s">
        <v>985</v>
      </c>
      <c r="E366" s="40" t="s">
        <v>141</v>
      </c>
      <c r="F366" s="6">
        <f>'Пр.4 ведом.21'!G924</f>
        <v>0</v>
      </c>
      <c r="G366" s="6">
        <f>'Пр.4 ведом.21'!H924</f>
        <v>0</v>
      </c>
      <c r="H366" s="416" t="e">
        <f t="shared" si="66"/>
        <v>#DIV/0!</v>
      </c>
    </row>
    <row r="367" spans="1:8" ht="31.5" hidden="1" x14ac:dyDescent="0.25">
      <c r="A367" s="34" t="s">
        <v>1024</v>
      </c>
      <c r="B367" s="7" t="s">
        <v>241</v>
      </c>
      <c r="C367" s="7" t="s">
        <v>220</v>
      </c>
      <c r="D367" s="24" t="s">
        <v>1025</v>
      </c>
      <c r="E367" s="7"/>
      <c r="F367" s="4">
        <f t="shared" ref="F367:G369" si="72">F368</f>
        <v>0</v>
      </c>
      <c r="G367" s="4">
        <f t="shared" si="72"/>
        <v>0</v>
      </c>
      <c r="H367" s="416" t="e">
        <f t="shared" si="66"/>
        <v>#DIV/0!</v>
      </c>
    </row>
    <row r="368" spans="1:8" ht="18" hidden="1" customHeight="1" x14ac:dyDescent="0.25">
      <c r="A368" s="45" t="s">
        <v>536</v>
      </c>
      <c r="B368" s="40" t="s">
        <v>241</v>
      </c>
      <c r="C368" s="40" t="s">
        <v>220</v>
      </c>
      <c r="D368" s="20" t="s">
        <v>1028</v>
      </c>
      <c r="E368" s="40"/>
      <c r="F368" s="6">
        <f t="shared" si="72"/>
        <v>0</v>
      </c>
      <c r="G368" s="6">
        <f t="shared" si="72"/>
        <v>0</v>
      </c>
      <c r="H368" s="416" t="e">
        <f t="shared" si="66"/>
        <v>#DIV/0!</v>
      </c>
    </row>
    <row r="369" spans="1:8" ht="31.5" hidden="1" x14ac:dyDescent="0.25">
      <c r="A369" s="31" t="s">
        <v>138</v>
      </c>
      <c r="B369" s="40" t="s">
        <v>241</v>
      </c>
      <c r="C369" s="40" t="s">
        <v>220</v>
      </c>
      <c r="D369" s="20" t="s">
        <v>1028</v>
      </c>
      <c r="E369" s="40" t="s">
        <v>139</v>
      </c>
      <c r="F369" s="6">
        <f t="shared" si="72"/>
        <v>0</v>
      </c>
      <c r="G369" s="6">
        <f t="shared" si="72"/>
        <v>0</v>
      </c>
      <c r="H369" s="416" t="e">
        <f t="shared" si="66"/>
        <v>#DIV/0!</v>
      </c>
    </row>
    <row r="370" spans="1:8" ht="31.5" hidden="1" x14ac:dyDescent="0.25">
      <c r="A370" s="31" t="s">
        <v>140</v>
      </c>
      <c r="B370" s="40" t="s">
        <v>241</v>
      </c>
      <c r="C370" s="40" t="s">
        <v>220</v>
      </c>
      <c r="D370" s="20" t="s">
        <v>1028</v>
      </c>
      <c r="E370" s="40" t="s">
        <v>141</v>
      </c>
      <c r="F370" s="6">
        <f>'Пр.4 ведом.21'!G928</f>
        <v>0</v>
      </c>
      <c r="G370" s="6">
        <f>'Пр.4 ведом.21'!H928</f>
        <v>0</v>
      </c>
      <c r="H370" s="416" t="e">
        <f t="shared" si="66"/>
        <v>#DIV/0!</v>
      </c>
    </row>
    <row r="371" spans="1:8" ht="31.5" hidden="1" x14ac:dyDescent="0.25">
      <c r="A371" s="215" t="s">
        <v>1026</v>
      </c>
      <c r="B371" s="7" t="s">
        <v>241</v>
      </c>
      <c r="C371" s="7" t="s">
        <v>220</v>
      </c>
      <c r="D371" s="24" t="s">
        <v>1027</v>
      </c>
      <c r="E371" s="7"/>
      <c r="F371" s="4">
        <f t="shared" ref="F371:G373" si="73">F372</f>
        <v>0</v>
      </c>
      <c r="G371" s="4">
        <f t="shared" si="73"/>
        <v>0</v>
      </c>
      <c r="H371" s="416" t="e">
        <f t="shared" si="66"/>
        <v>#DIV/0!</v>
      </c>
    </row>
    <row r="372" spans="1:8" ht="31.5" hidden="1" x14ac:dyDescent="0.25">
      <c r="A372" s="176" t="s">
        <v>538</v>
      </c>
      <c r="B372" s="40" t="s">
        <v>241</v>
      </c>
      <c r="C372" s="40" t="s">
        <v>220</v>
      </c>
      <c r="D372" s="20" t="s">
        <v>1029</v>
      </c>
      <c r="E372" s="40"/>
      <c r="F372" s="6">
        <f t="shared" si="73"/>
        <v>0</v>
      </c>
      <c r="G372" s="6">
        <f t="shared" si="73"/>
        <v>0</v>
      </c>
      <c r="H372" s="416" t="e">
        <f t="shared" si="66"/>
        <v>#DIV/0!</v>
      </c>
    </row>
    <row r="373" spans="1:8" ht="31.5" hidden="1" x14ac:dyDescent="0.25">
      <c r="A373" s="31" t="s">
        <v>138</v>
      </c>
      <c r="B373" s="40" t="s">
        <v>241</v>
      </c>
      <c r="C373" s="40" t="s">
        <v>220</v>
      </c>
      <c r="D373" s="20" t="s">
        <v>1029</v>
      </c>
      <c r="E373" s="40" t="s">
        <v>139</v>
      </c>
      <c r="F373" s="6">
        <f t="shared" si="73"/>
        <v>0</v>
      </c>
      <c r="G373" s="6">
        <f t="shared" si="73"/>
        <v>0</v>
      </c>
      <c r="H373" s="416" t="e">
        <f t="shared" si="66"/>
        <v>#DIV/0!</v>
      </c>
    </row>
    <row r="374" spans="1:8" ht="31.5" hidden="1" x14ac:dyDescent="0.25">
      <c r="A374" s="31" t="s">
        <v>140</v>
      </c>
      <c r="B374" s="40" t="s">
        <v>241</v>
      </c>
      <c r="C374" s="40" t="s">
        <v>220</v>
      </c>
      <c r="D374" s="20" t="s">
        <v>1029</v>
      </c>
      <c r="E374" s="40" t="s">
        <v>141</v>
      </c>
      <c r="F374" s="6">
        <f>'Пр.4 ведом.21'!G932</f>
        <v>0</v>
      </c>
      <c r="G374" s="6">
        <f>'Пр.4 ведом.21'!H932</f>
        <v>0</v>
      </c>
      <c r="H374" s="416" t="e">
        <f t="shared" si="66"/>
        <v>#DIV/0!</v>
      </c>
    </row>
    <row r="375" spans="1:8" ht="31.5" hidden="1" x14ac:dyDescent="0.25">
      <c r="A375" s="215" t="s">
        <v>987</v>
      </c>
      <c r="B375" s="7" t="s">
        <v>241</v>
      </c>
      <c r="C375" s="7" t="s">
        <v>220</v>
      </c>
      <c r="D375" s="24" t="s">
        <v>988</v>
      </c>
      <c r="E375" s="7"/>
      <c r="F375" s="4">
        <f t="shared" ref="F375:G377" si="74">F376</f>
        <v>0</v>
      </c>
      <c r="G375" s="4">
        <f t="shared" si="74"/>
        <v>0</v>
      </c>
      <c r="H375" s="416" t="e">
        <f t="shared" si="66"/>
        <v>#DIV/0!</v>
      </c>
    </row>
    <row r="376" spans="1:8" ht="15.75" hidden="1" x14ac:dyDescent="0.25">
      <c r="A376" s="176" t="s">
        <v>540</v>
      </c>
      <c r="B376" s="40" t="s">
        <v>241</v>
      </c>
      <c r="C376" s="40" t="s">
        <v>220</v>
      </c>
      <c r="D376" s="20" t="s">
        <v>986</v>
      </c>
      <c r="E376" s="40"/>
      <c r="F376" s="6">
        <f t="shared" si="74"/>
        <v>0</v>
      </c>
      <c r="G376" s="6">
        <f t="shared" si="74"/>
        <v>0</v>
      </c>
      <c r="H376" s="416" t="e">
        <f t="shared" si="66"/>
        <v>#DIV/0!</v>
      </c>
    </row>
    <row r="377" spans="1:8" ht="31.5" hidden="1" x14ac:dyDescent="0.25">
      <c r="A377" s="25" t="s">
        <v>138</v>
      </c>
      <c r="B377" s="40" t="s">
        <v>241</v>
      </c>
      <c r="C377" s="40" t="s">
        <v>220</v>
      </c>
      <c r="D377" s="20" t="s">
        <v>986</v>
      </c>
      <c r="E377" s="40" t="s">
        <v>139</v>
      </c>
      <c r="F377" s="6">
        <f t="shared" si="74"/>
        <v>0</v>
      </c>
      <c r="G377" s="6">
        <f t="shared" si="74"/>
        <v>0</v>
      </c>
      <c r="H377" s="416" t="e">
        <f t="shared" si="66"/>
        <v>#DIV/0!</v>
      </c>
    </row>
    <row r="378" spans="1:8" s="202" customFormat="1" ht="31.5" hidden="1" x14ac:dyDescent="0.25">
      <c r="A378" s="25" t="s">
        <v>140</v>
      </c>
      <c r="B378" s="40" t="s">
        <v>241</v>
      </c>
      <c r="C378" s="40" t="s">
        <v>220</v>
      </c>
      <c r="D378" s="20" t="s">
        <v>986</v>
      </c>
      <c r="E378" s="40" t="s">
        <v>141</v>
      </c>
      <c r="F378" s="6">
        <f>'Пр.4 ведом.21'!G936</f>
        <v>0</v>
      </c>
      <c r="G378" s="6">
        <f>'Пр.4 ведом.21'!H936</f>
        <v>0</v>
      </c>
      <c r="H378" s="416" t="e">
        <f t="shared" si="66"/>
        <v>#DIV/0!</v>
      </c>
    </row>
    <row r="379" spans="1:8" s="202" customFormat="1" ht="47.25" hidden="1" x14ac:dyDescent="0.25">
      <c r="A379" s="23" t="s">
        <v>1577</v>
      </c>
      <c r="B379" s="7" t="s">
        <v>241</v>
      </c>
      <c r="C379" s="7" t="s">
        <v>220</v>
      </c>
      <c r="D379" s="24" t="s">
        <v>1155</v>
      </c>
      <c r="E379" s="7"/>
      <c r="F379" s="4">
        <f t="shared" ref="F379:G382" si="75">F380</f>
        <v>0</v>
      </c>
      <c r="G379" s="4">
        <f t="shared" si="75"/>
        <v>0</v>
      </c>
      <c r="H379" s="416" t="e">
        <f t="shared" si="66"/>
        <v>#DIV/0!</v>
      </c>
    </row>
    <row r="380" spans="1:8" s="202" customFormat="1" ht="31.5" hidden="1" x14ac:dyDescent="0.25">
      <c r="A380" s="23" t="s">
        <v>1156</v>
      </c>
      <c r="B380" s="7" t="s">
        <v>241</v>
      </c>
      <c r="C380" s="7" t="s">
        <v>220</v>
      </c>
      <c r="D380" s="24" t="s">
        <v>1157</v>
      </c>
      <c r="E380" s="7"/>
      <c r="F380" s="4">
        <f t="shared" si="75"/>
        <v>0</v>
      </c>
      <c r="G380" s="4">
        <f t="shared" si="75"/>
        <v>0</v>
      </c>
      <c r="H380" s="416" t="e">
        <f t="shared" si="66"/>
        <v>#DIV/0!</v>
      </c>
    </row>
    <row r="381" spans="1:8" s="202" customFormat="1" ht="15.75" hidden="1" x14ac:dyDescent="0.25">
      <c r="A381" s="25" t="s">
        <v>544</v>
      </c>
      <c r="B381" s="40" t="s">
        <v>241</v>
      </c>
      <c r="C381" s="40" t="s">
        <v>220</v>
      </c>
      <c r="D381" s="20" t="s">
        <v>1158</v>
      </c>
      <c r="E381" s="40"/>
      <c r="F381" s="6">
        <f t="shared" si="75"/>
        <v>0</v>
      </c>
      <c r="G381" s="6">
        <f t="shared" si="75"/>
        <v>0</v>
      </c>
      <c r="H381" s="416" t="e">
        <f t="shared" si="66"/>
        <v>#DIV/0!</v>
      </c>
    </row>
    <row r="382" spans="1:8" s="202" customFormat="1" ht="31.5" hidden="1" x14ac:dyDescent="0.25">
      <c r="A382" s="25" t="s">
        <v>138</v>
      </c>
      <c r="B382" s="40" t="s">
        <v>241</v>
      </c>
      <c r="C382" s="40" t="s">
        <v>220</v>
      </c>
      <c r="D382" s="20" t="s">
        <v>1158</v>
      </c>
      <c r="E382" s="40" t="s">
        <v>139</v>
      </c>
      <c r="F382" s="6">
        <f t="shared" si="75"/>
        <v>0</v>
      </c>
      <c r="G382" s="6">
        <f t="shared" si="75"/>
        <v>0</v>
      </c>
      <c r="H382" s="416" t="e">
        <f t="shared" si="66"/>
        <v>#DIV/0!</v>
      </c>
    </row>
    <row r="383" spans="1:8" s="202" customFormat="1" ht="31.5" hidden="1" x14ac:dyDescent="0.25">
      <c r="A383" s="25" t="s">
        <v>140</v>
      </c>
      <c r="B383" s="40" t="s">
        <v>241</v>
      </c>
      <c r="C383" s="40" t="s">
        <v>220</v>
      </c>
      <c r="D383" s="20" t="s">
        <v>1158</v>
      </c>
      <c r="E383" s="40" t="s">
        <v>141</v>
      </c>
      <c r="F383" s="6">
        <f>'Пр.4 ведом.21'!G941</f>
        <v>0</v>
      </c>
      <c r="G383" s="6">
        <f>'Пр.4 ведом.21'!H941</f>
        <v>0</v>
      </c>
      <c r="H383" s="416" t="e">
        <f t="shared" si="66"/>
        <v>#DIV/0!</v>
      </c>
    </row>
    <row r="384" spans="1:8" ht="15.75" x14ac:dyDescent="0.25">
      <c r="A384" s="41" t="s">
        <v>548</v>
      </c>
      <c r="B384" s="7" t="s">
        <v>241</v>
      </c>
      <c r="C384" s="7" t="s">
        <v>222</v>
      </c>
      <c r="D384" s="7"/>
      <c r="E384" s="7"/>
      <c r="F384" s="4">
        <f>F385+F390+F429</f>
        <v>27134.2</v>
      </c>
      <c r="G384" s="4">
        <f>G385+G390+G429</f>
        <v>421.90800000000002</v>
      </c>
      <c r="H384" s="441">
        <f t="shared" si="66"/>
        <v>1.5548938240301906</v>
      </c>
    </row>
    <row r="385" spans="1:8" s="202" customFormat="1" ht="15.75" x14ac:dyDescent="0.25">
      <c r="A385" s="23" t="s">
        <v>148</v>
      </c>
      <c r="B385" s="24" t="s">
        <v>241</v>
      </c>
      <c r="C385" s="24" t="s">
        <v>222</v>
      </c>
      <c r="D385" s="24" t="s">
        <v>876</v>
      </c>
      <c r="E385" s="24"/>
      <c r="F385" s="4">
        <f t="shared" ref="F385:G388" si="76">F386</f>
        <v>390</v>
      </c>
      <c r="G385" s="4">
        <f t="shared" si="76"/>
        <v>0</v>
      </c>
      <c r="H385" s="441">
        <f t="shared" si="66"/>
        <v>0</v>
      </c>
    </row>
    <row r="386" spans="1:8" s="202" customFormat="1" ht="31.5" x14ac:dyDescent="0.25">
      <c r="A386" s="23" t="s">
        <v>880</v>
      </c>
      <c r="B386" s="24" t="s">
        <v>241</v>
      </c>
      <c r="C386" s="24" t="s">
        <v>222</v>
      </c>
      <c r="D386" s="24" t="s">
        <v>875</v>
      </c>
      <c r="E386" s="24"/>
      <c r="F386" s="4">
        <f t="shared" si="76"/>
        <v>390</v>
      </c>
      <c r="G386" s="4">
        <f t="shared" si="76"/>
        <v>0</v>
      </c>
      <c r="H386" s="441">
        <f t="shared" si="66"/>
        <v>0</v>
      </c>
    </row>
    <row r="387" spans="1:8" s="202" customFormat="1" ht="15.75" x14ac:dyDescent="0.25">
      <c r="A387" s="25" t="s">
        <v>571</v>
      </c>
      <c r="B387" s="20" t="s">
        <v>241</v>
      </c>
      <c r="C387" s="20" t="s">
        <v>222</v>
      </c>
      <c r="D387" s="20" t="s">
        <v>1085</v>
      </c>
      <c r="E387" s="20"/>
      <c r="F387" s="6">
        <f t="shared" si="76"/>
        <v>390</v>
      </c>
      <c r="G387" s="6">
        <f t="shared" si="76"/>
        <v>0</v>
      </c>
      <c r="H387" s="416">
        <f t="shared" si="66"/>
        <v>0</v>
      </c>
    </row>
    <row r="388" spans="1:8" s="202" customFormat="1" ht="31.5" x14ac:dyDescent="0.25">
      <c r="A388" s="25" t="s">
        <v>138</v>
      </c>
      <c r="B388" s="20" t="s">
        <v>241</v>
      </c>
      <c r="C388" s="20" t="s">
        <v>222</v>
      </c>
      <c r="D388" s="20" t="s">
        <v>1085</v>
      </c>
      <c r="E388" s="20" t="s">
        <v>139</v>
      </c>
      <c r="F388" s="6">
        <f t="shared" si="76"/>
        <v>390</v>
      </c>
      <c r="G388" s="6">
        <f t="shared" si="76"/>
        <v>0</v>
      </c>
      <c r="H388" s="416">
        <f t="shared" si="66"/>
        <v>0</v>
      </c>
    </row>
    <row r="389" spans="1:8" s="202" customFormat="1" ht="31.5" x14ac:dyDescent="0.25">
      <c r="A389" s="25" t="s">
        <v>140</v>
      </c>
      <c r="B389" s="20" t="s">
        <v>241</v>
      </c>
      <c r="C389" s="20" t="s">
        <v>222</v>
      </c>
      <c r="D389" s="20" t="s">
        <v>1085</v>
      </c>
      <c r="E389" s="20" t="s">
        <v>141</v>
      </c>
      <c r="F389" s="6">
        <f>'Пр.4 ведом.21'!G947</f>
        <v>390</v>
      </c>
      <c r="G389" s="6">
        <f>'Пр.4 ведом.21'!H947</f>
        <v>0</v>
      </c>
      <c r="H389" s="416">
        <f t="shared" si="66"/>
        <v>0</v>
      </c>
    </row>
    <row r="390" spans="1:8" ht="39.4" customHeight="1" x14ac:dyDescent="0.25">
      <c r="A390" s="23" t="s">
        <v>1379</v>
      </c>
      <c r="B390" s="7" t="s">
        <v>241</v>
      </c>
      <c r="C390" s="7" t="s">
        <v>222</v>
      </c>
      <c r="D390" s="7" t="s">
        <v>550</v>
      </c>
      <c r="E390" s="7"/>
      <c r="F390" s="4">
        <f>F391+F395+F422</f>
        <v>3935.2</v>
      </c>
      <c r="G390" s="4">
        <f>G391+G395+G422</f>
        <v>421.90800000000002</v>
      </c>
      <c r="H390" s="441">
        <f t="shared" si="66"/>
        <v>10.721386460662737</v>
      </c>
    </row>
    <row r="391" spans="1:8" s="202" customFormat="1" ht="47.25" hidden="1" x14ac:dyDescent="0.25">
      <c r="A391" s="23" t="s">
        <v>1452</v>
      </c>
      <c r="B391" s="24" t="s">
        <v>241</v>
      </c>
      <c r="C391" s="24" t="s">
        <v>222</v>
      </c>
      <c r="D391" s="24" t="s">
        <v>1288</v>
      </c>
      <c r="E391" s="24"/>
      <c r="F391" s="4">
        <f t="shared" ref="F391:G393" si="77">F392</f>
        <v>0</v>
      </c>
      <c r="G391" s="4">
        <f t="shared" si="77"/>
        <v>0</v>
      </c>
      <c r="H391" s="441" t="e">
        <f t="shared" si="66"/>
        <v>#DIV/0!</v>
      </c>
    </row>
    <row r="392" spans="1:8" s="202" customFormat="1" ht="31.5" hidden="1" x14ac:dyDescent="0.25">
      <c r="A392" s="312" t="s">
        <v>1453</v>
      </c>
      <c r="B392" s="20" t="s">
        <v>241</v>
      </c>
      <c r="C392" s="20" t="s">
        <v>222</v>
      </c>
      <c r="D392" s="20" t="s">
        <v>1436</v>
      </c>
      <c r="E392" s="20"/>
      <c r="F392" s="26">
        <f t="shared" si="77"/>
        <v>0</v>
      </c>
      <c r="G392" s="26">
        <f t="shared" si="77"/>
        <v>0</v>
      </c>
      <c r="H392" s="441" t="e">
        <f t="shared" si="66"/>
        <v>#DIV/0!</v>
      </c>
    </row>
    <row r="393" spans="1:8" s="202" customFormat="1" ht="31.5" hidden="1" x14ac:dyDescent="0.25">
      <c r="A393" s="25" t="s">
        <v>138</v>
      </c>
      <c r="B393" s="20" t="s">
        <v>241</v>
      </c>
      <c r="C393" s="20" t="s">
        <v>222</v>
      </c>
      <c r="D393" s="20" t="s">
        <v>1436</v>
      </c>
      <c r="E393" s="20" t="s">
        <v>139</v>
      </c>
      <c r="F393" s="26">
        <f t="shared" si="77"/>
        <v>0</v>
      </c>
      <c r="G393" s="26">
        <f t="shared" si="77"/>
        <v>0</v>
      </c>
      <c r="H393" s="441" t="e">
        <f t="shared" si="66"/>
        <v>#DIV/0!</v>
      </c>
    </row>
    <row r="394" spans="1:8" s="202" customFormat="1" ht="31.5" hidden="1" x14ac:dyDescent="0.25">
      <c r="A394" s="25" t="s">
        <v>140</v>
      </c>
      <c r="B394" s="20" t="s">
        <v>241</v>
      </c>
      <c r="C394" s="20" t="s">
        <v>222</v>
      </c>
      <c r="D394" s="20" t="s">
        <v>1436</v>
      </c>
      <c r="E394" s="20" t="s">
        <v>141</v>
      </c>
      <c r="F394" s="26">
        <f>'Пр.4 ведом.21'!G952</f>
        <v>0</v>
      </c>
      <c r="G394" s="26">
        <f>'Пр.4 ведом.21'!H952</f>
        <v>0</v>
      </c>
      <c r="H394" s="441" t="e">
        <f t="shared" si="66"/>
        <v>#DIV/0!</v>
      </c>
    </row>
    <row r="395" spans="1:8" s="202" customFormat="1" ht="31.5" x14ac:dyDescent="0.25">
      <c r="A395" s="23" t="s">
        <v>1492</v>
      </c>
      <c r="B395" s="24" t="s">
        <v>241</v>
      </c>
      <c r="C395" s="24" t="s">
        <v>222</v>
      </c>
      <c r="D395" s="24" t="s">
        <v>1289</v>
      </c>
      <c r="E395" s="24"/>
      <c r="F395" s="4">
        <f>F396+F399+F405+F408+F411+F416+F419</f>
        <v>2078</v>
      </c>
      <c r="G395" s="4">
        <f>G396+G399+G405+G408+G411+G416+G419</f>
        <v>421.90800000000002</v>
      </c>
      <c r="H395" s="441">
        <f t="shared" ref="H395:H458" si="78">G395/F395*100</f>
        <v>20.303561116458134</v>
      </c>
    </row>
    <row r="396" spans="1:8" ht="24" customHeight="1" x14ac:dyDescent="0.25">
      <c r="A396" s="25" t="s">
        <v>553</v>
      </c>
      <c r="B396" s="20" t="s">
        <v>241</v>
      </c>
      <c r="C396" s="20" t="s">
        <v>222</v>
      </c>
      <c r="D396" s="20" t="s">
        <v>1451</v>
      </c>
      <c r="E396" s="20"/>
      <c r="F396" s="6">
        <f t="shared" ref="F396:G397" si="79">F397</f>
        <v>365</v>
      </c>
      <c r="G396" s="6">
        <f t="shared" si="79"/>
        <v>0</v>
      </c>
      <c r="H396" s="416">
        <f t="shared" si="78"/>
        <v>0</v>
      </c>
    </row>
    <row r="397" spans="1:8" ht="31.5" x14ac:dyDescent="0.25">
      <c r="A397" s="25" t="s">
        <v>138</v>
      </c>
      <c r="B397" s="20" t="s">
        <v>241</v>
      </c>
      <c r="C397" s="20" t="s">
        <v>222</v>
      </c>
      <c r="D397" s="20" t="s">
        <v>1451</v>
      </c>
      <c r="E397" s="20" t="s">
        <v>139</v>
      </c>
      <c r="F397" s="6">
        <f t="shared" si="79"/>
        <v>365</v>
      </c>
      <c r="G397" s="6">
        <f t="shared" si="79"/>
        <v>0</v>
      </c>
      <c r="H397" s="416">
        <f t="shared" si="78"/>
        <v>0</v>
      </c>
    </row>
    <row r="398" spans="1:8" ht="31.5" x14ac:dyDescent="0.25">
      <c r="A398" s="25" t="s">
        <v>140</v>
      </c>
      <c r="B398" s="20" t="s">
        <v>241</v>
      </c>
      <c r="C398" s="20" t="s">
        <v>222</v>
      </c>
      <c r="D398" s="20" t="s">
        <v>1451</v>
      </c>
      <c r="E398" s="20" t="s">
        <v>141</v>
      </c>
      <c r="F398" s="6">
        <f>'Пр.4 ведом.21'!G956</f>
        <v>365</v>
      </c>
      <c r="G398" s="6">
        <f>'Пр.4 ведом.21'!H956</f>
        <v>0</v>
      </c>
      <c r="H398" s="416">
        <f t="shared" si="78"/>
        <v>0</v>
      </c>
    </row>
    <row r="399" spans="1:8" ht="15.75" x14ac:dyDescent="0.25">
      <c r="A399" s="25" t="s">
        <v>555</v>
      </c>
      <c r="B399" s="20" t="s">
        <v>241</v>
      </c>
      <c r="C399" s="20" t="s">
        <v>222</v>
      </c>
      <c r="D399" s="20" t="s">
        <v>1435</v>
      </c>
      <c r="E399" s="20"/>
      <c r="F399" s="6">
        <f>F400+F402</f>
        <v>1238</v>
      </c>
      <c r="G399" s="6">
        <f>G400+G402</f>
        <v>421.90800000000002</v>
      </c>
      <c r="H399" s="416">
        <f t="shared" si="78"/>
        <v>34.079806138933769</v>
      </c>
    </row>
    <row r="400" spans="1:8" ht="31.5" x14ac:dyDescent="0.25">
      <c r="A400" s="25" t="s">
        <v>138</v>
      </c>
      <c r="B400" s="20" t="s">
        <v>241</v>
      </c>
      <c r="C400" s="20" t="s">
        <v>222</v>
      </c>
      <c r="D400" s="20" t="s">
        <v>1435</v>
      </c>
      <c r="E400" s="20" t="s">
        <v>139</v>
      </c>
      <c r="F400" s="6">
        <f t="shared" ref="F400:G400" si="80">F401</f>
        <v>1238</v>
      </c>
      <c r="G400" s="6">
        <f t="shared" si="80"/>
        <v>421.90800000000002</v>
      </c>
      <c r="H400" s="416">
        <f t="shared" si="78"/>
        <v>34.079806138933769</v>
      </c>
    </row>
    <row r="401" spans="1:8" ht="31.5" x14ac:dyDescent="0.25">
      <c r="A401" s="25" t="s">
        <v>140</v>
      </c>
      <c r="B401" s="20" t="s">
        <v>241</v>
      </c>
      <c r="C401" s="20" t="s">
        <v>222</v>
      </c>
      <c r="D401" s="20" t="s">
        <v>1435</v>
      </c>
      <c r="E401" s="20" t="s">
        <v>141</v>
      </c>
      <c r="F401" s="6">
        <f>'Пр.4 ведом.21'!G959</f>
        <v>1238</v>
      </c>
      <c r="G401" s="6">
        <f>'Пр.4 ведом.21'!H959</f>
        <v>421.90800000000002</v>
      </c>
      <c r="H401" s="416">
        <f t="shared" si="78"/>
        <v>34.079806138933769</v>
      </c>
    </row>
    <row r="402" spans="1:8" ht="15.75" hidden="1" x14ac:dyDescent="0.25">
      <c r="A402" s="29" t="s">
        <v>142</v>
      </c>
      <c r="B402" s="20" t="s">
        <v>241</v>
      </c>
      <c r="C402" s="20" t="s">
        <v>222</v>
      </c>
      <c r="D402" s="20" t="s">
        <v>1435</v>
      </c>
      <c r="E402" s="20" t="s">
        <v>152</v>
      </c>
      <c r="F402" s="6">
        <f>F404+F403</f>
        <v>0</v>
      </c>
      <c r="G402" s="6">
        <f>G404+G403</f>
        <v>0</v>
      </c>
      <c r="H402" s="416" t="e">
        <f t="shared" si="78"/>
        <v>#DIV/0!</v>
      </c>
    </row>
    <row r="403" spans="1:8" s="202" customFormat="1" ht="47.25" hidden="1" x14ac:dyDescent="0.25">
      <c r="A403" s="25" t="s">
        <v>846</v>
      </c>
      <c r="B403" s="20" t="s">
        <v>241</v>
      </c>
      <c r="C403" s="20" t="s">
        <v>222</v>
      </c>
      <c r="D403" s="20" t="s">
        <v>1435</v>
      </c>
      <c r="E403" s="20" t="s">
        <v>154</v>
      </c>
      <c r="F403" s="6">
        <f>'Пр.4 ведом.21'!G961</f>
        <v>0</v>
      </c>
      <c r="G403" s="6">
        <f>'Пр.4 ведом.21'!H961</f>
        <v>0</v>
      </c>
      <c r="H403" s="416" t="e">
        <f t="shared" si="78"/>
        <v>#DIV/0!</v>
      </c>
    </row>
    <row r="404" spans="1:8" ht="15.75" hidden="1" x14ac:dyDescent="0.25">
      <c r="A404" s="29" t="s">
        <v>575</v>
      </c>
      <c r="B404" s="20" t="s">
        <v>241</v>
      </c>
      <c r="C404" s="20" t="s">
        <v>222</v>
      </c>
      <c r="D404" s="20" t="s">
        <v>1435</v>
      </c>
      <c r="E404" s="20" t="s">
        <v>145</v>
      </c>
      <c r="F404" s="6">
        <f>'Пр.4 ведом.21'!G962</f>
        <v>0</v>
      </c>
      <c r="G404" s="6">
        <f>'Пр.4 ведом.21'!H962</f>
        <v>0</v>
      </c>
      <c r="H404" s="416" t="e">
        <f t="shared" si="78"/>
        <v>#DIV/0!</v>
      </c>
    </row>
    <row r="405" spans="1:8" ht="15.75" hidden="1" x14ac:dyDescent="0.25">
      <c r="A405" s="25" t="s">
        <v>557</v>
      </c>
      <c r="B405" s="20" t="s">
        <v>241</v>
      </c>
      <c r="C405" s="20" t="s">
        <v>222</v>
      </c>
      <c r="D405" s="20" t="s">
        <v>1313</v>
      </c>
      <c r="E405" s="20"/>
      <c r="F405" s="6">
        <f t="shared" ref="F405:G406" si="81">F406</f>
        <v>0</v>
      </c>
      <c r="G405" s="6">
        <f t="shared" si="81"/>
        <v>0</v>
      </c>
      <c r="H405" s="416" t="e">
        <f t="shared" si="78"/>
        <v>#DIV/0!</v>
      </c>
    </row>
    <row r="406" spans="1:8" ht="31.5" hidden="1" x14ac:dyDescent="0.25">
      <c r="A406" s="25" t="s">
        <v>138</v>
      </c>
      <c r="B406" s="20" t="s">
        <v>241</v>
      </c>
      <c r="C406" s="20" t="s">
        <v>222</v>
      </c>
      <c r="D406" s="20" t="s">
        <v>1313</v>
      </c>
      <c r="E406" s="20" t="s">
        <v>139</v>
      </c>
      <c r="F406" s="6">
        <f t="shared" si="81"/>
        <v>0</v>
      </c>
      <c r="G406" s="6">
        <f t="shared" si="81"/>
        <v>0</v>
      </c>
      <c r="H406" s="416" t="e">
        <f t="shared" si="78"/>
        <v>#DIV/0!</v>
      </c>
    </row>
    <row r="407" spans="1:8" ht="31.5" hidden="1" x14ac:dyDescent="0.25">
      <c r="A407" s="25" t="s">
        <v>140</v>
      </c>
      <c r="B407" s="20" t="s">
        <v>241</v>
      </c>
      <c r="C407" s="20" t="s">
        <v>222</v>
      </c>
      <c r="D407" s="20" t="s">
        <v>1313</v>
      </c>
      <c r="E407" s="20" t="s">
        <v>141</v>
      </c>
      <c r="F407" s="6">
        <f>'Пр.4 ведом.21'!G965</f>
        <v>0</v>
      </c>
      <c r="G407" s="6">
        <f>'Пр.4 ведом.21'!H965</f>
        <v>0</v>
      </c>
      <c r="H407" s="416" t="e">
        <f t="shared" si="78"/>
        <v>#DIV/0!</v>
      </c>
    </row>
    <row r="408" spans="1:8" ht="15.75" x14ac:dyDescent="0.25">
      <c r="A408" s="25" t="s">
        <v>562</v>
      </c>
      <c r="B408" s="20" t="s">
        <v>241</v>
      </c>
      <c r="C408" s="20" t="s">
        <v>222</v>
      </c>
      <c r="D408" s="20" t="s">
        <v>1290</v>
      </c>
      <c r="E408" s="20"/>
      <c r="F408" s="6">
        <f t="shared" ref="F408:G409" si="82">F409</f>
        <v>50</v>
      </c>
      <c r="G408" s="6">
        <f t="shared" si="82"/>
        <v>0</v>
      </c>
      <c r="H408" s="416">
        <f t="shared" si="78"/>
        <v>0</v>
      </c>
    </row>
    <row r="409" spans="1:8" ht="31.5" x14ac:dyDescent="0.25">
      <c r="A409" s="25" t="s">
        <v>138</v>
      </c>
      <c r="B409" s="20" t="s">
        <v>241</v>
      </c>
      <c r="C409" s="20" t="s">
        <v>222</v>
      </c>
      <c r="D409" s="20" t="s">
        <v>1290</v>
      </c>
      <c r="E409" s="20" t="s">
        <v>139</v>
      </c>
      <c r="F409" s="6">
        <f t="shared" si="82"/>
        <v>50</v>
      </c>
      <c r="G409" s="6">
        <f t="shared" si="82"/>
        <v>0</v>
      </c>
      <c r="H409" s="416">
        <f t="shared" si="78"/>
        <v>0</v>
      </c>
    </row>
    <row r="410" spans="1:8" ht="31.5" x14ac:dyDescent="0.25">
      <c r="A410" s="25" t="s">
        <v>140</v>
      </c>
      <c r="B410" s="20" t="s">
        <v>241</v>
      </c>
      <c r="C410" s="20" t="s">
        <v>222</v>
      </c>
      <c r="D410" s="20" t="s">
        <v>1290</v>
      </c>
      <c r="E410" s="20" t="s">
        <v>141</v>
      </c>
      <c r="F410" s="6">
        <f>'Пр.4 ведом.21'!G968</f>
        <v>50</v>
      </c>
      <c r="G410" s="6">
        <f>'Пр.4 ведом.21'!H968</f>
        <v>0</v>
      </c>
      <c r="H410" s="416">
        <f t="shared" si="78"/>
        <v>0</v>
      </c>
    </row>
    <row r="411" spans="1:8" ht="31.5" x14ac:dyDescent="0.25">
      <c r="A411" s="310" t="s">
        <v>1454</v>
      </c>
      <c r="B411" s="20" t="s">
        <v>241</v>
      </c>
      <c r="C411" s="20" t="s">
        <v>222</v>
      </c>
      <c r="D411" s="20" t="s">
        <v>1291</v>
      </c>
      <c r="E411" s="20"/>
      <c r="F411" s="6">
        <f>F412+F414</f>
        <v>375</v>
      </c>
      <c r="G411" s="6">
        <f>G412+G414</f>
        <v>0</v>
      </c>
      <c r="H411" s="416">
        <f t="shared" si="78"/>
        <v>0</v>
      </c>
    </row>
    <row r="412" spans="1:8" ht="31.5" x14ac:dyDescent="0.25">
      <c r="A412" s="25" t="s">
        <v>138</v>
      </c>
      <c r="B412" s="20" t="s">
        <v>241</v>
      </c>
      <c r="C412" s="20" t="s">
        <v>222</v>
      </c>
      <c r="D412" s="20" t="s">
        <v>1291</v>
      </c>
      <c r="E412" s="20" t="s">
        <v>139</v>
      </c>
      <c r="F412" s="6">
        <f t="shared" ref="F412:G412" si="83">F413</f>
        <v>300</v>
      </c>
      <c r="G412" s="6">
        <f t="shared" si="83"/>
        <v>0</v>
      </c>
      <c r="H412" s="416">
        <f t="shared" si="78"/>
        <v>0</v>
      </c>
    </row>
    <row r="413" spans="1:8" ht="31.5" x14ac:dyDescent="0.25">
      <c r="A413" s="25" t="s">
        <v>140</v>
      </c>
      <c r="B413" s="20" t="s">
        <v>241</v>
      </c>
      <c r="C413" s="20" t="s">
        <v>222</v>
      </c>
      <c r="D413" s="20" t="s">
        <v>1291</v>
      </c>
      <c r="E413" s="20" t="s">
        <v>141</v>
      </c>
      <c r="F413" s="6">
        <f>'Пр.4 ведом.21'!G971</f>
        <v>300</v>
      </c>
      <c r="G413" s="6">
        <f>'Пр.4 ведом.21'!H971</f>
        <v>0</v>
      </c>
      <c r="H413" s="416">
        <f t="shared" si="78"/>
        <v>0</v>
      </c>
    </row>
    <row r="414" spans="1:8" s="202" customFormat="1" ht="15.75" x14ac:dyDescent="0.25">
      <c r="A414" s="29" t="s">
        <v>142</v>
      </c>
      <c r="B414" s="20" t="s">
        <v>241</v>
      </c>
      <c r="C414" s="20" t="s">
        <v>222</v>
      </c>
      <c r="D414" s="20" t="s">
        <v>1291</v>
      </c>
      <c r="E414" s="20" t="s">
        <v>152</v>
      </c>
      <c r="F414" s="6">
        <f>F415</f>
        <v>75</v>
      </c>
      <c r="G414" s="6">
        <f>G415</f>
        <v>0</v>
      </c>
      <c r="H414" s="416">
        <f t="shared" si="78"/>
        <v>0</v>
      </c>
    </row>
    <row r="415" spans="1:8" s="202" customFormat="1" ht="15.75" x14ac:dyDescent="0.25">
      <c r="A415" s="29" t="s">
        <v>575</v>
      </c>
      <c r="B415" s="20" t="s">
        <v>241</v>
      </c>
      <c r="C415" s="20" t="s">
        <v>222</v>
      </c>
      <c r="D415" s="20" t="s">
        <v>1291</v>
      </c>
      <c r="E415" s="20" t="s">
        <v>145</v>
      </c>
      <c r="F415" s="6">
        <f>'Пр.4 ведом.21'!G973</f>
        <v>75</v>
      </c>
      <c r="G415" s="6">
        <f>'Пр.4 ведом.21'!H973</f>
        <v>0</v>
      </c>
      <c r="H415" s="416">
        <f t="shared" si="78"/>
        <v>0</v>
      </c>
    </row>
    <row r="416" spans="1:8" ht="15.75" hidden="1" x14ac:dyDescent="0.25">
      <c r="A416" s="98" t="s">
        <v>566</v>
      </c>
      <c r="B416" s="20" t="s">
        <v>241</v>
      </c>
      <c r="C416" s="20" t="s">
        <v>222</v>
      </c>
      <c r="D416" s="20" t="s">
        <v>1292</v>
      </c>
      <c r="E416" s="20"/>
      <c r="F416" s="6">
        <f t="shared" ref="F416:G417" si="84">F417</f>
        <v>0</v>
      </c>
      <c r="G416" s="6">
        <f t="shared" si="84"/>
        <v>0</v>
      </c>
      <c r="H416" s="416" t="e">
        <f t="shared" si="78"/>
        <v>#DIV/0!</v>
      </c>
    </row>
    <row r="417" spans="1:8" ht="31.5" hidden="1" x14ac:dyDescent="0.25">
      <c r="A417" s="25" t="s">
        <v>138</v>
      </c>
      <c r="B417" s="20" t="s">
        <v>241</v>
      </c>
      <c r="C417" s="20" t="s">
        <v>222</v>
      </c>
      <c r="D417" s="20" t="s">
        <v>1292</v>
      </c>
      <c r="E417" s="20" t="s">
        <v>139</v>
      </c>
      <c r="F417" s="6">
        <f t="shared" si="84"/>
        <v>0</v>
      </c>
      <c r="G417" s="6">
        <f t="shared" si="84"/>
        <v>0</v>
      </c>
      <c r="H417" s="416" t="e">
        <f t="shared" si="78"/>
        <v>#DIV/0!</v>
      </c>
    </row>
    <row r="418" spans="1:8" ht="31.5" hidden="1" x14ac:dyDescent="0.25">
      <c r="A418" s="25" t="s">
        <v>140</v>
      </c>
      <c r="B418" s="20" t="s">
        <v>241</v>
      </c>
      <c r="C418" s="20" t="s">
        <v>222</v>
      </c>
      <c r="D418" s="20" t="s">
        <v>1292</v>
      </c>
      <c r="E418" s="20" t="s">
        <v>141</v>
      </c>
      <c r="F418" s="6">
        <f>'Пр.4 ведом.21'!G976</f>
        <v>0</v>
      </c>
      <c r="G418" s="6">
        <f>'Пр.4 ведом.21'!H976</f>
        <v>0</v>
      </c>
      <c r="H418" s="416" t="e">
        <f t="shared" si="78"/>
        <v>#DIV/0!</v>
      </c>
    </row>
    <row r="419" spans="1:8" s="202" customFormat="1" ht="31.5" x14ac:dyDescent="0.25">
      <c r="A419" s="224" t="s">
        <v>1099</v>
      </c>
      <c r="B419" s="20" t="s">
        <v>241</v>
      </c>
      <c r="C419" s="20" t="s">
        <v>222</v>
      </c>
      <c r="D419" s="20" t="s">
        <v>1293</v>
      </c>
      <c r="E419" s="20"/>
      <c r="F419" s="26">
        <f>F420</f>
        <v>50</v>
      </c>
      <c r="G419" s="26">
        <f>G420</f>
        <v>0</v>
      </c>
      <c r="H419" s="416">
        <f t="shared" si="78"/>
        <v>0</v>
      </c>
    </row>
    <row r="420" spans="1:8" s="202" customFormat="1" ht="31.5" x14ac:dyDescent="0.25">
      <c r="A420" s="25" t="s">
        <v>138</v>
      </c>
      <c r="B420" s="20" t="s">
        <v>241</v>
      </c>
      <c r="C420" s="20" t="s">
        <v>222</v>
      </c>
      <c r="D420" s="20" t="s">
        <v>1293</v>
      </c>
      <c r="E420" s="20" t="s">
        <v>139</v>
      </c>
      <c r="F420" s="26">
        <f>F421</f>
        <v>50</v>
      </c>
      <c r="G420" s="26">
        <f>G421</f>
        <v>0</v>
      </c>
      <c r="H420" s="416">
        <f t="shared" si="78"/>
        <v>0</v>
      </c>
    </row>
    <row r="421" spans="1:8" s="202" customFormat="1" ht="31.5" x14ac:dyDescent="0.25">
      <c r="A421" s="25" t="s">
        <v>140</v>
      </c>
      <c r="B421" s="20" t="s">
        <v>241</v>
      </c>
      <c r="C421" s="20" t="s">
        <v>222</v>
      </c>
      <c r="D421" s="20" t="s">
        <v>1293</v>
      </c>
      <c r="E421" s="20" t="s">
        <v>141</v>
      </c>
      <c r="F421" s="26">
        <f>'Пр.4 ведом.21'!G979</f>
        <v>50</v>
      </c>
      <c r="G421" s="26">
        <f>'Пр.4 ведом.21'!H979</f>
        <v>0</v>
      </c>
      <c r="H421" s="416">
        <f t="shared" si="78"/>
        <v>0</v>
      </c>
    </row>
    <row r="422" spans="1:8" s="202" customFormat="1" ht="31.5" x14ac:dyDescent="0.25">
      <c r="A422" s="23" t="s">
        <v>901</v>
      </c>
      <c r="B422" s="7" t="s">
        <v>241</v>
      </c>
      <c r="C422" s="7" t="s">
        <v>222</v>
      </c>
      <c r="D422" s="24" t="s">
        <v>1311</v>
      </c>
      <c r="E422" s="24"/>
      <c r="F422" s="4">
        <f>F423+F426</f>
        <v>1857.2</v>
      </c>
      <c r="G422" s="4">
        <f>G423+G426</f>
        <v>0</v>
      </c>
      <c r="H422" s="441">
        <f t="shared" si="78"/>
        <v>0</v>
      </c>
    </row>
    <row r="423" spans="1:8" s="202" customFormat="1" ht="31.5" hidden="1" x14ac:dyDescent="0.25">
      <c r="A423" s="25" t="s">
        <v>698</v>
      </c>
      <c r="B423" s="20" t="s">
        <v>241</v>
      </c>
      <c r="C423" s="20" t="s">
        <v>222</v>
      </c>
      <c r="D423" s="20" t="s">
        <v>1342</v>
      </c>
      <c r="E423" s="20"/>
      <c r="F423" s="6">
        <f t="shared" ref="F423:G423" si="85">F424</f>
        <v>0</v>
      </c>
      <c r="G423" s="6">
        <f t="shared" si="85"/>
        <v>0</v>
      </c>
      <c r="H423" s="416" t="e">
        <f t="shared" si="78"/>
        <v>#DIV/0!</v>
      </c>
    </row>
    <row r="424" spans="1:8" s="202" customFormat="1" ht="31.5" hidden="1" x14ac:dyDescent="0.25">
      <c r="A424" s="25" t="s">
        <v>138</v>
      </c>
      <c r="B424" s="20" t="s">
        <v>241</v>
      </c>
      <c r="C424" s="20" t="s">
        <v>222</v>
      </c>
      <c r="D424" s="20" t="s">
        <v>1342</v>
      </c>
      <c r="E424" s="20" t="s">
        <v>139</v>
      </c>
      <c r="F424" s="6">
        <f>F425</f>
        <v>0</v>
      </c>
      <c r="G424" s="6">
        <f>G425</f>
        <v>0</v>
      </c>
      <c r="H424" s="416" t="e">
        <f t="shared" si="78"/>
        <v>#DIV/0!</v>
      </c>
    </row>
    <row r="425" spans="1:8" s="202" customFormat="1" ht="31.5" hidden="1" x14ac:dyDescent="0.25">
      <c r="A425" s="25" t="s">
        <v>140</v>
      </c>
      <c r="B425" s="20" t="s">
        <v>241</v>
      </c>
      <c r="C425" s="20" t="s">
        <v>222</v>
      </c>
      <c r="D425" s="20" t="s">
        <v>1342</v>
      </c>
      <c r="E425" s="20" t="s">
        <v>141</v>
      </c>
      <c r="F425" s="6">
        <f>'Пр.4 ведом.21'!G983</f>
        <v>0</v>
      </c>
      <c r="G425" s="6">
        <f>'Пр.4 ведом.21'!H983</f>
        <v>0</v>
      </c>
      <c r="H425" s="416" t="e">
        <f t="shared" si="78"/>
        <v>#DIV/0!</v>
      </c>
    </row>
    <row r="426" spans="1:8" s="202" customFormat="1" ht="63" x14ac:dyDescent="0.25">
      <c r="A426" s="25" t="s">
        <v>1081</v>
      </c>
      <c r="B426" s="20" t="s">
        <v>241</v>
      </c>
      <c r="C426" s="20" t="s">
        <v>222</v>
      </c>
      <c r="D426" s="20" t="s">
        <v>1310</v>
      </c>
      <c r="E426" s="20"/>
      <c r="F426" s="6">
        <f>F427</f>
        <v>1857.2</v>
      </c>
      <c r="G426" s="6">
        <f>G427</f>
        <v>0</v>
      </c>
      <c r="H426" s="416">
        <f t="shared" si="78"/>
        <v>0</v>
      </c>
    </row>
    <row r="427" spans="1:8" s="202" customFormat="1" ht="31.5" x14ac:dyDescent="0.25">
      <c r="A427" s="25" t="s">
        <v>138</v>
      </c>
      <c r="B427" s="20" t="s">
        <v>241</v>
      </c>
      <c r="C427" s="20" t="s">
        <v>222</v>
      </c>
      <c r="D427" s="20" t="s">
        <v>1310</v>
      </c>
      <c r="E427" s="20" t="s">
        <v>139</v>
      </c>
      <c r="F427" s="6">
        <f>F428</f>
        <v>1857.2</v>
      </c>
      <c r="G427" s="6">
        <f>G428</f>
        <v>0</v>
      </c>
      <c r="H427" s="416">
        <f t="shared" si="78"/>
        <v>0</v>
      </c>
    </row>
    <row r="428" spans="1:8" s="202" customFormat="1" ht="31.5" x14ac:dyDescent="0.25">
      <c r="A428" s="25" t="s">
        <v>140</v>
      </c>
      <c r="B428" s="20" t="s">
        <v>241</v>
      </c>
      <c r="C428" s="20" t="s">
        <v>222</v>
      </c>
      <c r="D428" s="20" t="s">
        <v>1310</v>
      </c>
      <c r="E428" s="20" t="s">
        <v>141</v>
      </c>
      <c r="F428" s="6">
        <f>'Пр.4 ведом.21'!G986</f>
        <v>1857.2</v>
      </c>
      <c r="G428" s="6">
        <f>'Пр.4 ведом.21'!H986</f>
        <v>0</v>
      </c>
      <c r="H428" s="416">
        <f t="shared" si="78"/>
        <v>0</v>
      </c>
    </row>
    <row r="429" spans="1:8" ht="63" x14ac:dyDescent="0.25">
      <c r="A429" s="23" t="s">
        <v>1579</v>
      </c>
      <c r="B429" s="24" t="s">
        <v>241</v>
      </c>
      <c r="C429" s="24" t="s">
        <v>222</v>
      </c>
      <c r="D429" s="24" t="s">
        <v>721</v>
      </c>
      <c r="E429" s="24"/>
      <c r="F429" s="4">
        <f t="shared" ref="F429:G429" si="86">F431</f>
        <v>22809</v>
      </c>
      <c r="G429" s="4">
        <f t="shared" si="86"/>
        <v>0</v>
      </c>
      <c r="H429" s="441">
        <f t="shared" si="78"/>
        <v>0</v>
      </c>
    </row>
    <row r="430" spans="1:8" s="202" customFormat="1" ht="31.5" x14ac:dyDescent="0.25">
      <c r="A430" s="23" t="s">
        <v>1077</v>
      </c>
      <c r="B430" s="24" t="s">
        <v>241</v>
      </c>
      <c r="C430" s="24" t="s">
        <v>222</v>
      </c>
      <c r="D430" s="24" t="s">
        <v>845</v>
      </c>
      <c r="E430" s="20"/>
      <c r="F430" s="4">
        <f>F431</f>
        <v>22809</v>
      </c>
      <c r="G430" s="4">
        <f>G431</f>
        <v>0</v>
      </c>
      <c r="H430" s="441">
        <f t="shared" si="78"/>
        <v>0</v>
      </c>
    </row>
    <row r="431" spans="1:8" ht="31.5" x14ac:dyDescent="0.25">
      <c r="A431" s="248" t="s">
        <v>720</v>
      </c>
      <c r="B431" s="20" t="s">
        <v>241</v>
      </c>
      <c r="C431" s="20" t="s">
        <v>222</v>
      </c>
      <c r="D431" s="20" t="s">
        <v>845</v>
      </c>
      <c r="E431" s="20"/>
      <c r="F431" s="6">
        <f t="shared" ref="F431:G432" si="87">F432</f>
        <v>22809</v>
      </c>
      <c r="G431" s="6">
        <f t="shared" si="87"/>
        <v>0</v>
      </c>
      <c r="H431" s="416">
        <f t="shared" si="78"/>
        <v>0</v>
      </c>
    </row>
    <row r="432" spans="1:8" ht="31.5" x14ac:dyDescent="0.25">
      <c r="A432" s="25" t="s">
        <v>138</v>
      </c>
      <c r="B432" s="20" t="s">
        <v>241</v>
      </c>
      <c r="C432" s="20" t="s">
        <v>222</v>
      </c>
      <c r="D432" s="20" t="s">
        <v>845</v>
      </c>
      <c r="E432" s="20" t="s">
        <v>139</v>
      </c>
      <c r="F432" s="6">
        <f t="shared" si="87"/>
        <v>22809</v>
      </c>
      <c r="G432" s="6">
        <f t="shared" si="87"/>
        <v>0</v>
      </c>
      <c r="H432" s="416">
        <f t="shared" si="78"/>
        <v>0</v>
      </c>
    </row>
    <row r="433" spans="1:8" ht="31.5" x14ac:dyDescent="0.25">
      <c r="A433" s="25" t="s">
        <v>140</v>
      </c>
      <c r="B433" s="20" t="s">
        <v>241</v>
      </c>
      <c r="C433" s="20" t="s">
        <v>222</v>
      </c>
      <c r="D433" s="20" t="s">
        <v>845</v>
      </c>
      <c r="E433" s="20" t="s">
        <v>141</v>
      </c>
      <c r="F433" s="6">
        <f>'Пр.4 ведом.21'!G991</f>
        <v>22809</v>
      </c>
      <c r="G433" s="6">
        <f>'Пр.4 ведом.21'!H991</f>
        <v>0</v>
      </c>
      <c r="H433" s="416">
        <f t="shared" si="78"/>
        <v>0</v>
      </c>
    </row>
    <row r="434" spans="1:8" ht="31.5" x14ac:dyDescent="0.25">
      <c r="A434" s="41" t="s">
        <v>576</v>
      </c>
      <c r="B434" s="7" t="s">
        <v>241</v>
      </c>
      <c r="C434" s="7" t="s">
        <v>241</v>
      </c>
      <c r="D434" s="7"/>
      <c r="E434" s="7"/>
      <c r="F434" s="4">
        <f>F435+F447+F466</f>
        <v>29804.5</v>
      </c>
      <c r="G434" s="4">
        <f>G435+G447+G466</f>
        <v>5613.1750000000002</v>
      </c>
      <c r="H434" s="441">
        <f t="shared" si="78"/>
        <v>18.833313761344765</v>
      </c>
    </row>
    <row r="435" spans="1:8" ht="31.5" x14ac:dyDescent="0.25">
      <c r="A435" s="23" t="s">
        <v>927</v>
      </c>
      <c r="B435" s="24" t="s">
        <v>241</v>
      </c>
      <c r="C435" s="24" t="s">
        <v>241</v>
      </c>
      <c r="D435" s="24" t="s">
        <v>868</v>
      </c>
      <c r="E435" s="24"/>
      <c r="F435" s="4">
        <f>F436</f>
        <v>12879.3</v>
      </c>
      <c r="G435" s="4">
        <f>G436</f>
        <v>3147.451</v>
      </c>
      <c r="H435" s="441">
        <f t="shared" si="78"/>
        <v>24.438059521868428</v>
      </c>
    </row>
    <row r="436" spans="1:8" ht="15.75" x14ac:dyDescent="0.25">
      <c r="A436" s="23" t="s">
        <v>928</v>
      </c>
      <c r="B436" s="24" t="s">
        <v>241</v>
      </c>
      <c r="C436" s="24" t="s">
        <v>241</v>
      </c>
      <c r="D436" s="24" t="s">
        <v>869</v>
      </c>
      <c r="E436" s="24"/>
      <c r="F436" s="4">
        <f>F437+F444</f>
        <v>12879.3</v>
      </c>
      <c r="G436" s="4">
        <f>G437+G444</f>
        <v>3147.451</v>
      </c>
      <c r="H436" s="441">
        <f t="shared" si="78"/>
        <v>24.438059521868428</v>
      </c>
    </row>
    <row r="437" spans="1:8" ht="31.5" x14ac:dyDescent="0.25">
      <c r="A437" s="25" t="s">
        <v>907</v>
      </c>
      <c r="B437" s="20" t="s">
        <v>241</v>
      </c>
      <c r="C437" s="20" t="s">
        <v>241</v>
      </c>
      <c r="D437" s="20" t="s">
        <v>870</v>
      </c>
      <c r="E437" s="20"/>
      <c r="F437" s="6">
        <f t="shared" ref="F437:G437" si="88">F438+F440+F442</f>
        <v>12511.3</v>
      </c>
      <c r="G437" s="6">
        <f t="shared" si="88"/>
        <v>2867.451</v>
      </c>
      <c r="H437" s="416">
        <f t="shared" si="78"/>
        <v>22.918889324051058</v>
      </c>
    </row>
    <row r="438" spans="1:8" ht="81.75" customHeight="1" x14ac:dyDescent="0.25">
      <c r="A438" s="25" t="s">
        <v>134</v>
      </c>
      <c r="B438" s="20" t="s">
        <v>241</v>
      </c>
      <c r="C438" s="20" t="s">
        <v>241</v>
      </c>
      <c r="D438" s="20" t="s">
        <v>870</v>
      </c>
      <c r="E438" s="20" t="s">
        <v>135</v>
      </c>
      <c r="F438" s="366">
        <f t="shared" ref="F438:G438" si="89">F439</f>
        <v>12439.3</v>
      </c>
      <c r="G438" s="366">
        <f t="shared" si="89"/>
        <v>2858.306</v>
      </c>
      <c r="H438" s="416">
        <f t="shared" si="78"/>
        <v>22.978029310330967</v>
      </c>
    </row>
    <row r="439" spans="1:8" ht="31.5" x14ac:dyDescent="0.25">
      <c r="A439" s="25" t="s">
        <v>136</v>
      </c>
      <c r="B439" s="20" t="s">
        <v>241</v>
      </c>
      <c r="C439" s="20" t="s">
        <v>241</v>
      </c>
      <c r="D439" s="20" t="s">
        <v>870</v>
      </c>
      <c r="E439" s="20" t="s">
        <v>137</v>
      </c>
      <c r="F439" s="366">
        <f>'Пр.4 ведом.21'!G997</f>
        <v>12439.3</v>
      </c>
      <c r="G439" s="366">
        <f>'Пр.4 ведом.21'!H997</f>
        <v>2858.306</v>
      </c>
      <c r="H439" s="416">
        <f t="shared" si="78"/>
        <v>22.978029310330967</v>
      </c>
    </row>
    <row r="440" spans="1:8" ht="31.5" x14ac:dyDescent="0.25">
      <c r="A440" s="25" t="s">
        <v>138</v>
      </c>
      <c r="B440" s="20" t="s">
        <v>241</v>
      </c>
      <c r="C440" s="20" t="s">
        <v>241</v>
      </c>
      <c r="D440" s="20" t="s">
        <v>870</v>
      </c>
      <c r="E440" s="20" t="s">
        <v>139</v>
      </c>
      <c r="F440" s="366">
        <f t="shared" ref="F440:G440" si="90">F441</f>
        <v>25</v>
      </c>
      <c r="G440" s="366">
        <f t="shared" si="90"/>
        <v>0</v>
      </c>
      <c r="H440" s="416">
        <f t="shared" si="78"/>
        <v>0</v>
      </c>
    </row>
    <row r="441" spans="1:8" ht="31.5" x14ac:dyDescent="0.25">
      <c r="A441" s="25" t="s">
        <v>140</v>
      </c>
      <c r="B441" s="20" t="s">
        <v>241</v>
      </c>
      <c r="C441" s="20" t="s">
        <v>241</v>
      </c>
      <c r="D441" s="20" t="s">
        <v>870</v>
      </c>
      <c r="E441" s="20" t="s">
        <v>141</v>
      </c>
      <c r="F441" s="366">
        <f>'Пр.4 ведом.21'!G999</f>
        <v>25</v>
      </c>
      <c r="G441" s="366">
        <f>'Пр.4 ведом.21'!H999</f>
        <v>0</v>
      </c>
      <c r="H441" s="416">
        <f t="shared" si="78"/>
        <v>0</v>
      </c>
    </row>
    <row r="442" spans="1:8" ht="15.75" x14ac:dyDescent="0.25">
      <c r="A442" s="25" t="s">
        <v>142</v>
      </c>
      <c r="B442" s="20" t="s">
        <v>241</v>
      </c>
      <c r="C442" s="20" t="s">
        <v>241</v>
      </c>
      <c r="D442" s="20" t="s">
        <v>870</v>
      </c>
      <c r="E442" s="20" t="s">
        <v>152</v>
      </c>
      <c r="F442" s="366">
        <f t="shared" ref="F442:G442" si="91">F443</f>
        <v>47</v>
      </c>
      <c r="G442" s="366">
        <f t="shared" si="91"/>
        <v>9.1449999999999996</v>
      </c>
      <c r="H442" s="416">
        <f t="shared" si="78"/>
        <v>19.457446808510635</v>
      </c>
    </row>
    <row r="443" spans="1:8" ht="15.75" x14ac:dyDescent="0.25">
      <c r="A443" s="25" t="s">
        <v>575</v>
      </c>
      <c r="B443" s="20" t="s">
        <v>241</v>
      </c>
      <c r="C443" s="20" t="s">
        <v>241</v>
      </c>
      <c r="D443" s="20" t="s">
        <v>870</v>
      </c>
      <c r="E443" s="20" t="s">
        <v>145</v>
      </c>
      <c r="F443" s="366">
        <f>'Пр.4 ведом.21'!G1001</f>
        <v>47</v>
      </c>
      <c r="G443" s="366">
        <f>'Пр.4 ведом.21'!H1001</f>
        <v>9.1449999999999996</v>
      </c>
      <c r="H443" s="416">
        <f t="shared" si="78"/>
        <v>19.457446808510635</v>
      </c>
    </row>
    <row r="444" spans="1:8" s="202" customFormat="1" ht="47.25" x14ac:dyDescent="0.25">
      <c r="A444" s="25" t="s">
        <v>849</v>
      </c>
      <c r="B444" s="20" t="s">
        <v>241</v>
      </c>
      <c r="C444" s="20" t="s">
        <v>241</v>
      </c>
      <c r="D444" s="20" t="s">
        <v>872</v>
      </c>
      <c r="E444" s="20"/>
      <c r="F444" s="366">
        <f>F445</f>
        <v>368</v>
      </c>
      <c r="G444" s="366">
        <f>G445</f>
        <v>280</v>
      </c>
      <c r="H444" s="416">
        <f t="shared" si="78"/>
        <v>76.08695652173914</v>
      </c>
    </row>
    <row r="445" spans="1:8" s="202" customFormat="1" ht="78.75" x14ac:dyDescent="0.25">
      <c r="A445" s="25" t="s">
        <v>134</v>
      </c>
      <c r="B445" s="20" t="s">
        <v>241</v>
      </c>
      <c r="C445" s="20" t="s">
        <v>241</v>
      </c>
      <c r="D445" s="20" t="s">
        <v>872</v>
      </c>
      <c r="E445" s="20" t="s">
        <v>135</v>
      </c>
      <c r="F445" s="366">
        <f>F446</f>
        <v>368</v>
      </c>
      <c r="G445" s="366">
        <f>G446</f>
        <v>280</v>
      </c>
      <c r="H445" s="416">
        <f t="shared" si="78"/>
        <v>76.08695652173914</v>
      </c>
    </row>
    <row r="446" spans="1:8" s="202" customFormat="1" ht="31.5" x14ac:dyDescent="0.25">
      <c r="A446" s="25" t="s">
        <v>136</v>
      </c>
      <c r="B446" s="20" t="s">
        <v>241</v>
      </c>
      <c r="C446" s="20" t="s">
        <v>241</v>
      </c>
      <c r="D446" s="20" t="s">
        <v>872</v>
      </c>
      <c r="E446" s="20" t="s">
        <v>137</v>
      </c>
      <c r="F446" s="366">
        <f>'Пр.4 ведом.21'!G1004</f>
        <v>368</v>
      </c>
      <c r="G446" s="366">
        <f>'Пр.4 ведом.21'!H1004</f>
        <v>280</v>
      </c>
      <c r="H446" s="416">
        <f t="shared" si="78"/>
        <v>76.08695652173914</v>
      </c>
    </row>
    <row r="447" spans="1:8" ht="15.75" x14ac:dyDescent="0.25">
      <c r="A447" s="23" t="s">
        <v>148</v>
      </c>
      <c r="B447" s="24" t="s">
        <v>241</v>
      </c>
      <c r="C447" s="24" t="s">
        <v>241</v>
      </c>
      <c r="D447" s="24" t="s">
        <v>876</v>
      </c>
      <c r="E447" s="24"/>
      <c r="F447" s="4">
        <f>F448+F457</f>
        <v>16925.2</v>
      </c>
      <c r="G447" s="4">
        <f>G448+G457</f>
        <v>2465.7240000000002</v>
      </c>
      <c r="H447" s="441">
        <f t="shared" si="78"/>
        <v>14.568359605794909</v>
      </c>
    </row>
    <row r="448" spans="1:8" ht="31.5" x14ac:dyDescent="0.25">
      <c r="A448" s="23" t="s">
        <v>880</v>
      </c>
      <c r="B448" s="24" t="s">
        <v>241</v>
      </c>
      <c r="C448" s="24" t="s">
        <v>241</v>
      </c>
      <c r="D448" s="24" t="s">
        <v>875</v>
      </c>
      <c r="E448" s="24"/>
      <c r="F448" s="368">
        <f>F449+F454</f>
        <v>5482</v>
      </c>
      <c r="G448" s="368">
        <f>G449+G454</f>
        <v>227.02199999999999</v>
      </c>
      <c r="H448" s="441">
        <f t="shared" si="78"/>
        <v>4.1412258299890548</v>
      </c>
    </row>
    <row r="449" spans="1:8" ht="31.5" x14ac:dyDescent="0.25">
      <c r="A449" s="25" t="s">
        <v>577</v>
      </c>
      <c r="B449" s="20" t="s">
        <v>241</v>
      </c>
      <c r="C449" s="20" t="s">
        <v>241</v>
      </c>
      <c r="D449" s="20" t="s">
        <v>994</v>
      </c>
      <c r="E449" s="20"/>
      <c r="F449" s="366">
        <f>F452+F450</f>
        <v>5482</v>
      </c>
      <c r="G449" s="366">
        <f>G452+G450</f>
        <v>227.02199999999999</v>
      </c>
      <c r="H449" s="416">
        <f t="shared" si="78"/>
        <v>4.1412258299890548</v>
      </c>
    </row>
    <row r="450" spans="1:8" s="202" customFormat="1" ht="19.5" customHeight="1" x14ac:dyDescent="0.25">
      <c r="A450" s="31" t="s">
        <v>255</v>
      </c>
      <c r="B450" s="20" t="s">
        <v>241</v>
      </c>
      <c r="C450" s="20" t="s">
        <v>241</v>
      </c>
      <c r="D450" s="20" t="s">
        <v>994</v>
      </c>
      <c r="E450" s="20" t="s">
        <v>256</v>
      </c>
      <c r="F450" s="366">
        <f>F451</f>
        <v>4500</v>
      </c>
      <c r="G450" s="366">
        <f>G451</f>
        <v>0</v>
      </c>
      <c r="H450" s="416">
        <f t="shared" si="78"/>
        <v>0</v>
      </c>
    </row>
    <row r="451" spans="1:8" s="202" customFormat="1" ht="15.75" x14ac:dyDescent="0.25">
      <c r="A451" s="25" t="s">
        <v>1584</v>
      </c>
      <c r="B451" s="20" t="s">
        <v>241</v>
      </c>
      <c r="C451" s="20" t="s">
        <v>241</v>
      </c>
      <c r="D451" s="20" t="s">
        <v>994</v>
      </c>
      <c r="E451" s="20" t="s">
        <v>1586</v>
      </c>
      <c r="F451" s="366">
        <f>'Пр.4 ведом.21'!G1009</f>
        <v>4500</v>
      </c>
      <c r="G451" s="366">
        <f>'Пр.4 ведом.21'!H1009</f>
        <v>0</v>
      </c>
      <c r="H451" s="416">
        <f t="shared" si="78"/>
        <v>0</v>
      </c>
    </row>
    <row r="452" spans="1:8" ht="15.75" x14ac:dyDescent="0.25">
      <c r="A452" s="25" t="s">
        <v>142</v>
      </c>
      <c r="B452" s="20" t="s">
        <v>241</v>
      </c>
      <c r="C452" s="20" t="s">
        <v>241</v>
      </c>
      <c r="D452" s="20" t="s">
        <v>994</v>
      </c>
      <c r="E452" s="20" t="s">
        <v>152</v>
      </c>
      <c r="F452" s="366">
        <f>F453</f>
        <v>982</v>
      </c>
      <c r="G452" s="366">
        <f>G453</f>
        <v>227.02199999999999</v>
      </c>
      <c r="H452" s="416">
        <f t="shared" si="78"/>
        <v>23.118329938900203</v>
      </c>
    </row>
    <row r="453" spans="1:8" ht="47.25" x14ac:dyDescent="0.25">
      <c r="A453" s="25" t="s">
        <v>191</v>
      </c>
      <c r="B453" s="20" t="s">
        <v>241</v>
      </c>
      <c r="C453" s="20" t="s">
        <v>241</v>
      </c>
      <c r="D453" s="20" t="s">
        <v>994</v>
      </c>
      <c r="E453" s="20" t="s">
        <v>167</v>
      </c>
      <c r="F453" s="6">
        <f>'Пр.4 ведом.21'!G1011</f>
        <v>982</v>
      </c>
      <c r="G453" s="6">
        <f>'Пр.4 ведом.21'!H1011</f>
        <v>227.02199999999999</v>
      </c>
      <c r="H453" s="416">
        <f t="shared" si="78"/>
        <v>23.118329938900203</v>
      </c>
    </row>
    <row r="454" spans="1:8" ht="31.5" hidden="1" x14ac:dyDescent="0.25">
      <c r="A454" s="25" t="s">
        <v>833</v>
      </c>
      <c r="B454" s="20" t="s">
        <v>241</v>
      </c>
      <c r="C454" s="20" t="s">
        <v>241</v>
      </c>
      <c r="D454" s="20" t="s">
        <v>1082</v>
      </c>
      <c r="E454" s="20"/>
      <c r="F454" s="366">
        <f t="shared" ref="F454:G454" si="92">F455</f>
        <v>0</v>
      </c>
      <c r="G454" s="366">
        <f t="shared" si="92"/>
        <v>0</v>
      </c>
      <c r="H454" s="416" t="e">
        <f t="shared" si="78"/>
        <v>#DIV/0!</v>
      </c>
    </row>
    <row r="455" spans="1:8" ht="15.75" hidden="1" x14ac:dyDescent="0.25">
      <c r="A455" s="25" t="s">
        <v>142</v>
      </c>
      <c r="B455" s="20" t="s">
        <v>241</v>
      </c>
      <c r="C455" s="20" t="s">
        <v>241</v>
      </c>
      <c r="D455" s="20" t="s">
        <v>1082</v>
      </c>
      <c r="E455" s="20" t="s">
        <v>152</v>
      </c>
      <c r="F455" s="366">
        <f>F456</f>
        <v>0</v>
      </c>
      <c r="G455" s="366">
        <f>G456</f>
        <v>0</v>
      </c>
      <c r="H455" s="416" t="e">
        <f t="shared" si="78"/>
        <v>#DIV/0!</v>
      </c>
    </row>
    <row r="456" spans="1:8" ht="47.25" hidden="1" x14ac:dyDescent="0.25">
      <c r="A456" s="25" t="s">
        <v>191</v>
      </c>
      <c r="B456" s="20" t="s">
        <v>241</v>
      </c>
      <c r="C456" s="20" t="s">
        <v>241</v>
      </c>
      <c r="D456" s="20" t="s">
        <v>1082</v>
      </c>
      <c r="E456" s="20" t="s">
        <v>167</v>
      </c>
      <c r="F456" s="366">
        <f>'Пр.4 ведом.21'!G1014</f>
        <v>0</v>
      </c>
      <c r="G456" s="366">
        <f>'Пр.4 ведом.21'!H1014</f>
        <v>0</v>
      </c>
      <c r="H456" s="416" t="e">
        <f t="shared" si="78"/>
        <v>#DIV/0!</v>
      </c>
    </row>
    <row r="457" spans="1:8" ht="31.5" x14ac:dyDescent="0.25">
      <c r="A457" s="23" t="s">
        <v>939</v>
      </c>
      <c r="B457" s="24" t="s">
        <v>241</v>
      </c>
      <c r="C457" s="24" t="s">
        <v>241</v>
      </c>
      <c r="D457" s="24" t="s">
        <v>924</v>
      </c>
      <c r="E457" s="24"/>
      <c r="F457" s="368">
        <f>F458+F463</f>
        <v>11443.2</v>
      </c>
      <c r="G457" s="368">
        <f>G458+G463</f>
        <v>2238.7020000000002</v>
      </c>
      <c r="H457" s="441">
        <f t="shared" si="78"/>
        <v>19.563601090604028</v>
      </c>
    </row>
    <row r="458" spans="1:8" ht="31.5" x14ac:dyDescent="0.25">
      <c r="A458" s="25" t="s">
        <v>913</v>
      </c>
      <c r="B458" s="20" t="s">
        <v>241</v>
      </c>
      <c r="C458" s="20" t="s">
        <v>241</v>
      </c>
      <c r="D458" s="20" t="s">
        <v>925</v>
      </c>
      <c r="E458" s="20"/>
      <c r="F458" s="366">
        <f>F459+F461</f>
        <v>10845.2</v>
      </c>
      <c r="G458" s="366">
        <f>G459+G461</f>
        <v>1974.077</v>
      </c>
      <c r="H458" s="416">
        <f t="shared" si="78"/>
        <v>18.202310699664366</v>
      </c>
    </row>
    <row r="459" spans="1:8" ht="78.75" x14ac:dyDescent="0.25">
      <c r="A459" s="25" t="s">
        <v>134</v>
      </c>
      <c r="B459" s="20" t="s">
        <v>241</v>
      </c>
      <c r="C459" s="20" t="s">
        <v>241</v>
      </c>
      <c r="D459" s="20" t="s">
        <v>925</v>
      </c>
      <c r="E459" s="20" t="s">
        <v>135</v>
      </c>
      <c r="F459" s="366">
        <f>F460</f>
        <v>9193</v>
      </c>
      <c r="G459" s="366">
        <f>G460</f>
        <v>1619.82</v>
      </c>
      <c r="H459" s="416">
        <f t="shared" ref="H459:H522" si="93">G459/F459*100</f>
        <v>17.620145763080604</v>
      </c>
    </row>
    <row r="460" spans="1:8" ht="21.75" customHeight="1" x14ac:dyDescent="0.25">
      <c r="A460" s="25" t="s">
        <v>349</v>
      </c>
      <c r="B460" s="20" t="s">
        <v>241</v>
      </c>
      <c r="C460" s="20" t="s">
        <v>241</v>
      </c>
      <c r="D460" s="20" t="s">
        <v>925</v>
      </c>
      <c r="E460" s="20" t="s">
        <v>216</v>
      </c>
      <c r="F460" s="366">
        <f>'Пр.4 ведом.21'!G1018</f>
        <v>9193</v>
      </c>
      <c r="G460" s="366">
        <f>'Пр.4 ведом.21'!H1018</f>
        <v>1619.82</v>
      </c>
      <c r="H460" s="416">
        <f t="shared" si="93"/>
        <v>17.620145763080604</v>
      </c>
    </row>
    <row r="461" spans="1:8" s="202" customFormat="1" ht="31.5" x14ac:dyDescent="0.25">
      <c r="A461" s="25" t="s">
        <v>138</v>
      </c>
      <c r="B461" s="20" t="s">
        <v>241</v>
      </c>
      <c r="C461" s="20" t="s">
        <v>241</v>
      </c>
      <c r="D461" s="20" t="s">
        <v>925</v>
      </c>
      <c r="E461" s="20" t="s">
        <v>139</v>
      </c>
      <c r="F461" s="366">
        <f>F462</f>
        <v>1652.2</v>
      </c>
      <c r="G461" s="366">
        <f>G462</f>
        <v>354.25700000000001</v>
      </c>
      <c r="H461" s="416">
        <f t="shared" si="93"/>
        <v>21.441532502118388</v>
      </c>
    </row>
    <row r="462" spans="1:8" s="202" customFormat="1" ht="31.5" x14ac:dyDescent="0.25">
      <c r="A462" s="25" t="s">
        <v>140</v>
      </c>
      <c r="B462" s="20" t="s">
        <v>241</v>
      </c>
      <c r="C462" s="20" t="s">
        <v>241</v>
      </c>
      <c r="D462" s="20" t="s">
        <v>925</v>
      </c>
      <c r="E462" s="20" t="s">
        <v>141</v>
      </c>
      <c r="F462" s="366">
        <f>'Пр.4 ведом.21'!G1020</f>
        <v>1652.2</v>
      </c>
      <c r="G462" s="366">
        <f>'Пр.4 ведом.21'!H1020</f>
        <v>354.25700000000001</v>
      </c>
      <c r="H462" s="416">
        <f t="shared" si="93"/>
        <v>21.441532502118388</v>
      </c>
    </row>
    <row r="463" spans="1:8" s="202" customFormat="1" ht="47.25" x14ac:dyDescent="0.25">
      <c r="A463" s="25" t="s">
        <v>849</v>
      </c>
      <c r="B463" s="20" t="s">
        <v>241</v>
      </c>
      <c r="C463" s="20" t="s">
        <v>241</v>
      </c>
      <c r="D463" s="20" t="s">
        <v>926</v>
      </c>
      <c r="E463" s="20"/>
      <c r="F463" s="366">
        <f>F464</f>
        <v>598</v>
      </c>
      <c r="G463" s="366">
        <f>G464</f>
        <v>264.625</v>
      </c>
      <c r="H463" s="416">
        <f t="shared" si="93"/>
        <v>44.251672240802677</v>
      </c>
    </row>
    <row r="464" spans="1:8" s="202" customFormat="1" ht="78.75" x14ac:dyDescent="0.25">
      <c r="A464" s="25" t="s">
        <v>134</v>
      </c>
      <c r="B464" s="20" t="s">
        <v>241</v>
      </c>
      <c r="C464" s="20" t="s">
        <v>241</v>
      </c>
      <c r="D464" s="20" t="s">
        <v>926</v>
      </c>
      <c r="E464" s="20" t="s">
        <v>135</v>
      </c>
      <c r="F464" s="366">
        <f>F465</f>
        <v>598</v>
      </c>
      <c r="G464" s="366">
        <f>G465</f>
        <v>264.625</v>
      </c>
      <c r="H464" s="416">
        <f t="shared" si="93"/>
        <v>44.251672240802677</v>
      </c>
    </row>
    <row r="465" spans="1:12" s="202" customFormat="1" ht="31.5" x14ac:dyDescent="0.25">
      <c r="A465" s="25" t="s">
        <v>136</v>
      </c>
      <c r="B465" s="20" t="s">
        <v>241</v>
      </c>
      <c r="C465" s="20" t="s">
        <v>241</v>
      </c>
      <c r="D465" s="20" t="s">
        <v>926</v>
      </c>
      <c r="E465" s="20" t="s">
        <v>137</v>
      </c>
      <c r="F465" s="366">
        <f>'Пр.4 ведом.21'!G1023</f>
        <v>598</v>
      </c>
      <c r="G465" s="366">
        <f>'Пр.4 ведом.21'!H1023</f>
        <v>264.625</v>
      </c>
      <c r="H465" s="416">
        <f t="shared" si="93"/>
        <v>44.251672240802677</v>
      </c>
    </row>
    <row r="466" spans="1:12" s="202" customFormat="1" ht="47.25" hidden="1" x14ac:dyDescent="0.25">
      <c r="A466" s="34" t="s">
        <v>1393</v>
      </c>
      <c r="B466" s="24" t="s">
        <v>241</v>
      </c>
      <c r="C466" s="24" t="s">
        <v>241</v>
      </c>
      <c r="D466" s="24" t="s">
        <v>331</v>
      </c>
      <c r="E466" s="24"/>
      <c r="F466" s="21">
        <f t="shared" ref="F466:G469" si="94">F467</f>
        <v>0</v>
      </c>
      <c r="G466" s="21">
        <f t="shared" si="94"/>
        <v>0</v>
      </c>
      <c r="H466" s="416" t="e">
        <f t="shared" si="93"/>
        <v>#DIV/0!</v>
      </c>
    </row>
    <row r="467" spans="1:12" s="202" customFormat="1" ht="63" hidden="1" x14ac:dyDescent="0.25">
      <c r="A467" s="34" t="s">
        <v>1019</v>
      </c>
      <c r="B467" s="24" t="s">
        <v>241</v>
      </c>
      <c r="C467" s="24" t="s">
        <v>241</v>
      </c>
      <c r="D467" s="24" t="s">
        <v>944</v>
      </c>
      <c r="E467" s="24"/>
      <c r="F467" s="21">
        <f t="shared" si="94"/>
        <v>0</v>
      </c>
      <c r="G467" s="21">
        <f t="shared" si="94"/>
        <v>0</v>
      </c>
      <c r="H467" s="416" t="e">
        <f t="shared" si="93"/>
        <v>#DIV/0!</v>
      </c>
    </row>
    <row r="468" spans="1:12" s="202" customFormat="1" ht="47.25" hidden="1" x14ac:dyDescent="0.25">
      <c r="A468" s="31" t="s">
        <v>1091</v>
      </c>
      <c r="B468" s="20" t="s">
        <v>241</v>
      </c>
      <c r="C468" s="20" t="s">
        <v>241</v>
      </c>
      <c r="D468" s="20" t="s">
        <v>1036</v>
      </c>
      <c r="E468" s="20"/>
      <c r="F468" s="26">
        <f t="shared" si="94"/>
        <v>0</v>
      </c>
      <c r="G468" s="26">
        <f t="shared" si="94"/>
        <v>0</v>
      </c>
      <c r="H468" s="416" t="e">
        <f t="shared" si="93"/>
        <v>#DIV/0!</v>
      </c>
    </row>
    <row r="469" spans="1:12" s="202" customFormat="1" ht="31.5" hidden="1" x14ac:dyDescent="0.25">
      <c r="A469" s="25" t="s">
        <v>138</v>
      </c>
      <c r="B469" s="20" t="s">
        <v>241</v>
      </c>
      <c r="C469" s="20" t="s">
        <v>241</v>
      </c>
      <c r="D469" s="20" t="s">
        <v>1036</v>
      </c>
      <c r="E469" s="20" t="s">
        <v>139</v>
      </c>
      <c r="F469" s="26">
        <f t="shared" si="94"/>
        <v>0</v>
      </c>
      <c r="G469" s="26">
        <f t="shared" si="94"/>
        <v>0</v>
      </c>
      <c r="H469" s="416" t="e">
        <f t="shared" si="93"/>
        <v>#DIV/0!</v>
      </c>
    </row>
    <row r="470" spans="1:12" s="202" customFormat="1" ht="31.5" hidden="1" x14ac:dyDescent="0.25">
      <c r="A470" s="25" t="s">
        <v>140</v>
      </c>
      <c r="B470" s="20" t="s">
        <v>241</v>
      </c>
      <c r="C470" s="20" t="s">
        <v>241</v>
      </c>
      <c r="D470" s="20" t="s">
        <v>1036</v>
      </c>
      <c r="E470" s="20" t="s">
        <v>141</v>
      </c>
      <c r="F470" s="26">
        <f>'Пр.4 ведом.21'!G1028</f>
        <v>0</v>
      </c>
      <c r="G470" s="26">
        <f>'Пр.4 ведом.21'!H1028</f>
        <v>0</v>
      </c>
      <c r="H470" s="416" t="e">
        <f t="shared" si="93"/>
        <v>#DIV/0!</v>
      </c>
    </row>
    <row r="471" spans="1:12" ht="15.75" x14ac:dyDescent="0.25">
      <c r="A471" s="41" t="s">
        <v>270</v>
      </c>
      <c r="B471" s="7" t="s">
        <v>271</v>
      </c>
      <c r="C471" s="40"/>
      <c r="D471" s="40"/>
      <c r="E471" s="40"/>
      <c r="F471" s="4">
        <f>F472+F529+F712+F612+F687</f>
        <v>406385.67</v>
      </c>
      <c r="G471" s="4">
        <f>G472+G529+G712+G612+G687</f>
        <v>92526.801999999996</v>
      </c>
      <c r="H471" s="441">
        <f t="shared" si="93"/>
        <v>22.768224578391262</v>
      </c>
      <c r="K471" s="227">
        <f>F471-F478-F535-F621-F664-'Пр.4 ведом.21'!P1070-'Пр.4 ведом.21'!R1070-'Пр.4 ведом.21'!S1070-'Пр.4 ведом.21'!L1080-'Пр.4 ведом.21'!M1080-'Пр.4 ведом.21'!N1080-'Пр.4 ведом.21'!O1080-'Пр.4 ведом.21'!P1080-'Пр.4 ведом.21'!Q1080-'Пр.4 ведом.21'!R1080-'Пр.4 ведом.21'!S1080-'Пр.4 ведом.21'!T1080</f>
        <v>136519.86999999994</v>
      </c>
      <c r="L471" s="227">
        <f>F478+F512+F516+F535+F575+F579+F583+F587+F591+F595+F599+F618+F621+F648+F664+F709-'Пр.4 ведом.21'!P1069-'Пр.4 ведом.21'!R1069-'Пр.4 ведом.21'!S1069-'Пр.4 ведом.21'!L1079-'Пр.4 ведом.21'!M1079-'Пр.4 ведом.21'!N1079-'Пр.4 ведом.21'!O1079-'Пр.4 ведом.21'!P1079-'Пр.4 ведом.21'!Q1079-'Пр.4 ведом.21'!R1079-'Пр.4 ведом.21'!S1079-'Пр.4 ведом.21'!T1079</f>
        <v>269865.79999999987</v>
      </c>
    </row>
    <row r="472" spans="1:12" ht="15.75" x14ac:dyDescent="0.25">
      <c r="A472" s="41" t="s">
        <v>411</v>
      </c>
      <c r="B472" s="7" t="s">
        <v>271</v>
      </c>
      <c r="C472" s="7" t="s">
        <v>125</v>
      </c>
      <c r="D472" s="7"/>
      <c r="E472" s="7"/>
      <c r="F472" s="4">
        <f>F473+F519+F524</f>
        <v>122150.90000000002</v>
      </c>
      <c r="G472" s="4">
        <f>G473+G519+G524</f>
        <v>30514.512999999999</v>
      </c>
      <c r="H472" s="441">
        <f t="shared" si="93"/>
        <v>24.980997274682377</v>
      </c>
    </row>
    <row r="473" spans="1:12" ht="40.700000000000003" customHeight="1" x14ac:dyDescent="0.25">
      <c r="A473" s="23" t="s">
        <v>1394</v>
      </c>
      <c r="B473" s="24" t="s">
        <v>271</v>
      </c>
      <c r="C473" s="24" t="s">
        <v>125</v>
      </c>
      <c r="D473" s="24" t="s">
        <v>413</v>
      </c>
      <c r="E473" s="24"/>
      <c r="F473" s="4">
        <f>F474+F478+F491+F501+F511+F515</f>
        <v>121506.90000000002</v>
      </c>
      <c r="G473" s="4">
        <f>G474+G478+G491+G501+G511+G515</f>
        <v>30424.52</v>
      </c>
      <c r="H473" s="441">
        <f t="shared" si="93"/>
        <v>25.039335214707968</v>
      </c>
    </row>
    <row r="474" spans="1:12" s="202" customFormat="1" ht="31.5" x14ac:dyDescent="0.25">
      <c r="A474" s="23" t="s">
        <v>947</v>
      </c>
      <c r="B474" s="24" t="s">
        <v>271</v>
      </c>
      <c r="C474" s="24" t="s">
        <v>125</v>
      </c>
      <c r="D474" s="24" t="s">
        <v>1245</v>
      </c>
      <c r="E474" s="24"/>
      <c r="F474" s="4">
        <f t="shared" ref="F474:G476" si="95">F475</f>
        <v>14795.6</v>
      </c>
      <c r="G474" s="4">
        <f t="shared" si="95"/>
        <v>3897.848</v>
      </c>
      <c r="H474" s="441">
        <f t="shared" si="93"/>
        <v>26.344643001973562</v>
      </c>
    </row>
    <row r="475" spans="1:12" ht="42.75" customHeight="1" x14ac:dyDescent="0.25">
      <c r="A475" s="25" t="s">
        <v>1244</v>
      </c>
      <c r="B475" s="20" t="s">
        <v>271</v>
      </c>
      <c r="C475" s="20" t="s">
        <v>125</v>
      </c>
      <c r="D475" s="20" t="s">
        <v>1246</v>
      </c>
      <c r="E475" s="20"/>
      <c r="F475" s="6">
        <f t="shared" si="95"/>
        <v>14795.6</v>
      </c>
      <c r="G475" s="6">
        <f t="shared" si="95"/>
        <v>3897.848</v>
      </c>
      <c r="H475" s="416">
        <f t="shared" si="93"/>
        <v>26.344643001973562</v>
      </c>
    </row>
    <row r="476" spans="1:12" ht="40.700000000000003" customHeight="1" x14ac:dyDescent="0.25">
      <c r="A476" s="25" t="s">
        <v>279</v>
      </c>
      <c r="B476" s="20" t="s">
        <v>271</v>
      </c>
      <c r="C476" s="20" t="s">
        <v>125</v>
      </c>
      <c r="D476" s="20" t="s">
        <v>1246</v>
      </c>
      <c r="E476" s="20" t="s">
        <v>280</v>
      </c>
      <c r="F476" s="6">
        <f t="shared" si="95"/>
        <v>14795.6</v>
      </c>
      <c r="G476" s="6">
        <f t="shared" si="95"/>
        <v>3897.848</v>
      </c>
      <c r="H476" s="416">
        <f t="shared" si="93"/>
        <v>26.344643001973562</v>
      </c>
    </row>
    <row r="477" spans="1:12" ht="15.75" x14ac:dyDescent="0.25">
      <c r="A477" s="25" t="s">
        <v>281</v>
      </c>
      <c r="B477" s="20" t="s">
        <v>271</v>
      </c>
      <c r="C477" s="20" t="s">
        <v>125</v>
      </c>
      <c r="D477" s="20" t="s">
        <v>1246</v>
      </c>
      <c r="E477" s="20" t="s">
        <v>282</v>
      </c>
      <c r="F477" s="366">
        <f>'Пр.4 ведом.21'!G543</f>
        <v>14795.6</v>
      </c>
      <c r="G477" s="366">
        <f>'Пр.4 ведом.21'!H543</f>
        <v>3897.848</v>
      </c>
      <c r="H477" s="416">
        <f t="shared" si="93"/>
        <v>26.344643001973562</v>
      </c>
    </row>
    <row r="478" spans="1:12" ht="47.25" x14ac:dyDescent="0.25">
      <c r="A478" s="23" t="s">
        <v>910</v>
      </c>
      <c r="B478" s="24" t="s">
        <v>271</v>
      </c>
      <c r="C478" s="24" t="s">
        <v>125</v>
      </c>
      <c r="D478" s="24" t="s">
        <v>1247</v>
      </c>
      <c r="E478" s="24"/>
      <c r="F478" s="4">
        <f>F482+F485+F488+F479</f>
        <v>96405.6</v>
      </c>
      <c r="G478" s="4">
        <f>G482+G485+G488+G479</f>
        <v>20854.251</v>
      </c>
      <c r="H478" s="441">
        <f t="shared" si="93"/>
        <v>21.631783838283251</v>
      </c>
    </row>
    <row r="479" spans="1:12" s="202" customFormat="1" ht="94.5" x14ac:dyDescent="0.25">
      <c r="A479" s="31" t="s">
        <v>300</v>
      </c>
      <c r="B479" s="20" t="s">
        <v>271</v>
      </c>
      <c r="C479" s="20" t="s">
        <v>125</v>
      </c>
      <c r="D479" s="20" t="s">
        <v>1407</v>
      </c>
      <c r="E479" s="20"/>
      <c r="F479" s="6">
        <f t="shared" ref="F479:G480" si="96">F480</f>
        <v>3230</v>
      </c>
      <c r="G479" s="6">
        <f t="shared" si="96"/>
        <v>828</v>
      </c>
      <c r="H479" s="416">
        <f t="shared" si="93"/>
        <v>25.63467492260062</v>
      </c>
    </row>
    <row r="480" spans="1:12" s="202" customFormat="1" ht="31.5" x14ac:dyDescent="0.25">
      <c r="A480" s="25" t="s">
        <v>279</v>
      </c>
      <c r="B480" s="20" t="s">
        <v>271</v>
      </c>
      <c r="C480" s="20" t="s">
        <v>125</v>
      </c>
      <c r="D480" s="20" t="s">
        <v>1407</v>
      </c>
      <c r="E480" s="20" t="s">
        <v>280</v>
      </c>
      <c r="F480" s="6">
        <f t="shared" si="96"/>
        <v>3230</v>
      </c>
      <c r="G480" s="6">
        <f t="shared" si="96"/>
        <v>828</v>
      </c>
      <c r="H480" s="416">
        <f t="shared" si="93"/>
        <v>25.63467492260062</v>
      </c>
    </row>
    <row r="481" spans="1:8" s="202" customFormat="1" ht="15.75" x14ac:dyDescent="0.25">
      <c r="A481" s="25" t="s">
        <v>281</v>
      </c>
      <c r="B481" s="20" t="s">
        <v>271</v>
      </c>
      <c r="C481" s="20" t="s">
        <v>125</v>
      </c>
      <c r="D481" s="20" t="s">
        <v>1407</v>
      </c>
      <c r="E481" s="20" t="s">
        <v>282</v>
      </c>
      <c r="F481" s="6">
        <f>'Пр.4 ведом.21'!G547</f>
        <v>3230</v>
      </c>
      <c r="G481" s="6">
        <f>'Пр.4 ведом.21'!H547</f>
        <v>828</v>
      </c>
      <c r="H481" s="416">
        <f t="shared" si="93"/>
        <v>25.63467492260062</v>
      </c>
    </row>
    <row r="482" spans="1:8" ht="47.25" customHeight="1" x14ac:dyDescent="0.25">
      <c r="A482" s="31" t="s">
        <v>296</v>
      </c>
      <c r="B482" s="20" t="s">
        <v>271</v>
      </c>
      <c r="C482" s="20" t="s">
        <v>125</v>
      </c>
      <c r="D482" s="20" t="s">
        <v>1248</v>
      </c>
      <c r="E482" s="20"/>
      <c r="F482" s="6">
        <f t="shared" ref="F482:G483" si="97">F483</f>
        <v>589</v>
      </c>
      <c r="G482" s="6">
        <f t="shared" si="97"/>
        <v>150</v>
      </c>
      <c r="H482" s="416">
        <f t="shared" si="93"/>
        <v>25.466893039049239</v>
      </c>
    </row>
    <row r="483" spans="1:8" ht="39.75" customHeight="1" x14ac:dyDescent="0.25">
      <c r="A483" s="25" t="s">
        <v>279</v>
      </c>
      <c r="B483" s="20" t="s">
        <v>271</v>
      </c>
      <c r="C483" s="20" t="s">
        <v>125</v>
      </c>
      <c r="D483" s="20" t="s">
        <v>1248</v>
      </c>
      <c r="E483" s="20" t="s">
        <v>280</v>
      </c>
      <c r="F483" s="6">
        <f t="shared" si="97"/>
        <v>589</v>
      </c>
      <c r="G483" s="6">
        <f t="shared" si="97"/>
        <v>150</v>
      </c>
      <c r="H483" s="416">
        <f t="shared" si="93"/>
        <v>25.466893039049239</v>
      </c>
    </row>
    <row r="484" spans="1:8" ht="15.75" customHeight="1" x14ac:dyDescent="0.25">
      <c r="A484" s="25" t="s">
        <v>281</v>
      </c>
      <c r="B484" s="20" t="s">
        <v>271</v>
      </c>
      <c r="C484" s="20" t="s">
        <v>125</v>
      </c>
      <c r="D484" s="20" t="s">
        <v>1248</v>
      </c>
      <c r="E484" s="20" t="s">
        <v>282</v>
      </c>
      <c r="F484" s="6">
        <f>'Пр.4 ведом.21'!G550</f>
        <v>589</v>
      </c>
      <c r="G484" s="6">
        <f>'Пр.4 ведом.21'!H550</f>
        <v>150</v>
      </c>
      <c r="H484" s="416">
        <f t="shared" si="93"/>
        <v>25.466893039049239</v>
      </c>
    </row>
    <row r="485" spans="1:8" ht="71.45" customHeight="1" x14ac:dyDescent="0.25">
      <c r="A485" s="31" t="s">
        <v>298</v>
      </c>
      <c r="B485" s="20" t="s">
        <v>271</v>
      </c>
      <c r="C485" s="20" t="s">
        <v>125</v>
      </c>
      <c r="D485" s="20" t="s">
        <v>1249</v>
      </c>
      <c r="E485" s="20"/>
      <c r="F485" s="6">
        <f t="shared" ref="F485:G486" si="98">F486</f>
        <v>1629.3</v>
      </c>
      <c r="G485" s="6">
        <f t="shared" si="98"/>
        <v>359.28</v>
      </c>
      <c r="H485" s="416">
        <f t="shared" si="93"/>
        <v>22.051187626588103</v>
      </c>
    </row>
    <row r="486" spans="1:8" ht="47.25" customHeight="1" x14ac:dyDescent="0.25">
      <c r="A486" s="25" t="s">
        <v>279</v>
      </c>
      <c r="B486" s="20" t="s">
        <v>271</v>
      </c>
      <c r="C486" s="20" t="s">
        <v>125</v>
      </c>
      <c r="D486" s="20" t="s">
        <v>1249</v>
      </c>
      <c r="E486" s="20" t="s">
        <v>280</v>
      </c>
      <c r="F486" s="6">
        <f t="shared" si="98"/>
        <v>1629.3</v>
      </c>
      <c r="G486" s="6">
        <f t="shared" si="98"/>
        <v>359.28</v>
      </c>
      <c r="H486" s="416">
        <f t="shared" si="93"/>
        <v>22.051187626588103</v>
      </c>
    </row>
    <row r="487" spans="1:8" ht="15.75" customHeight="1" x14ac:dyDescent="0.25">
      <c r="A487" s="25" t="s">
        <v>281</v>
      </c>
      <c r="B487" s="20" t="s">
        <v>271</v>
      </c>
      <c r="C487" s="20" t="s">
        <v>125</v>
      </c>
      <c r="D487" s="20" t="s">
        <v>1249</v>
      </c>
      <c r="E487" s="20" t="s">
        <v>282</v>
      </c>
      <c r="F487" s="6">
        <f>'Пр.4 ведом.21'!G553</f>
        <v>1629.3</v>
      </c>
      <c r="G487" s="6">
        <f>'Пр.4 ведом.21'!H553</f>
        <v>359.28</v>
      </c>
      <c r="H487" s="416">
        <f t="shared" si="93"/>
        <v>22.051187626588103</v>
      </c>
    </row>
    <row r="488" spans="1:8" ht="94.5" x14ac:dyDescent="0.25">
      <c r="A488" s="31" t="s">
        <v>1197</v>
      </c>
      <c r="B488" s="20" t="s">
        <v>271</v>
      </c>
      <c r="C488" s="20" t="s">
        <v>125</v>
      </c>
      <c r="D488" s="20" t="s">
        <v>1250</v>
      </c>
      <c r="E488" s="20"/>
      <c r="F488" s="6">
        <f t="shared" ref="F488:G489" si="99">F489</f>
        <v>90957.3</v>
      </c>
      <c r="G488" s="6">
        <f t="shared" si="99"/>
        <v>19516.971000000001</v>
      </c>
      <c r="H488" s="416">
        <f t="shared" si="93"/>
        <v>21.457289299484483</v>
      </c>
    </row>
    <row r="489" spans="1:8" ht="31.5" x14ac:dyDescent="0.25">
      <c r="A489" s="25" t="s">
        <v>279</v>
      </c>
      <c r="B489" s="20" t="s">
        <v>271</v>
      </c>
      <c r="C489" s="20" t="s">
        <v>125</v>
      </c>
      <c r="D489" s="20" t="s">
        <v>1250</v>
      </c>
      <c r="E489" s="20" t="s">
        <v>280</v>
      </c>
      <c r="F489" s="6">
        <f t="shared" si="99"/>
        <v>90957.3</v>
      </c>
      <c r="G489" s="6">
        <f t="shared" si="99"/>
        <v>19516.971000000001</v>
      </c>
      <c r="H489" s="416">
        <f t="shared" si="93"/>
        <v>21.457289299484483</v>
      </c>
    </row>
    <row r="490" spans="1:8" ht="15.75" x14ac:dyDescent="0.25">
      <c r="A490" s="25" t="s">
        <v>281</v>
      </c>
      <c r="B490" s="20" t="s">
        <v>271</v>
      </c>
      <c r="C490" s="20" t="s">
        <v>125</v>
      </c>
      <c r="D490" s="20" t="s">
        <v>1250</v>
      </c>
      <c r="E490" s="20" t="s">
        <v>282</v>
      </c>
      <c r="F490" s="6">
        <f>'Пр.4 ведом.21'!G556</f>
        <v>90957.3</v>
      </c>
      <c r="G490" s="6">
        <f>'Пр.4 ведом.21'!H556</f>
        <v>19516.971000000001</v>
      </c>
      <c r="H490" s="416">
        <f t="shared" si="93"/>
        <v>21.457289299484483</v>
      </c>
    </row>
    <row r="491" spans="1:8" ht="36" customHeight="1" x14ac:dyDescent="0.25">
      <c r="A491" s="23" t="s">
        <v>1307</v>
      </c>
      <c r="B491" s="24" t="s">
        <v>271</v>
      </c>
      <c r="C491" s="24" t="s">
        <v>125</v>
      </c>
      <c r="D491" s="24" t="s">
        <v>1252</v>
      </c>
      <c r="E491" s="24"/>
      <c r="F491" s="4">
        <f>F492+F495+F498</f>
        <v>4000</v>
      </c>
      <c r="G491" s="4">
        <f>G492+G495+G498</f>
        <v>2225.4209999999998</v>
      </c>
      <c r="H491" s="441">
        <f t="shared" si="93"/>
        <v>55.635524999999994</v>
      </c>
    </row>
    <row r="492" spans="1:8" ht="40.700000000000003" hidden="1" customHeight="1" x14ac:dyDescent="0.25">
      <c r="A492" s="25" t="s">
        <v>285</v>
      </c>
      <c r="B492" s="20" t="s">
        <v>271</v>
      </c>
      <c r="C492" s="20" t="s">
        <v>125</v>
      </c>
      <c r="D492" s="20" t="s">
        <v>1333</v>
      </c>
      <c r="E492" s="20"/>
      <c r="F492" s="6">
        <f>F493</f>
        <v>0</v>
      </c>
      <c r="G492" s="6">
        <f>G493</f>
        <v>0</v>
      </c>
      <c r="H492" s="416" t="e">
        <f t="shared" si="93"/>
        <v>#DIV/0!</v>
      </c>
    </row>
    <row r="493" spans="1:8" ht="42" hidden="1" customHeight="1" x14ac:dyDescent="0.25">
      <c r="A493" s="25" t="s">
        <v>279</v>
      </c>
      <c r="B493" s="20" t="s">
        <v>271</v>
      </c>
      <c r="C493" s="20" t="s">
        <v>125</v>
      </c>
      <c r="D493" s="20" t="s">
        <v>1333</v>
      </c>
      <c r="E493" s="20" t="s">
        <v>280</v>
      </c>
      <c r="F493" s="6">
        <f t="shared" ref="F493:G493" si="100">F494</f>
        <v>0</v>
      </c>
      <c r="G493" s="6">
        <f t="shared" si="100"/>
        <v>0</v>
      </c>
      <c r="H493" s="416" t="e">
        <f t="shared" si="93"/>
        <v>#DIV/0!</v>
      </c>
    </row>
    <row r="494" spans="1:8" ht="20.25" hidden="1" customHeight="1" x14ac:dyDescent="0.25">
      <c r="A494" s="25" t="s">
        <v>281</v>
      </c>
      <c r="B494" s="20" t="s">
        <v>271</v>
      </c>
      <c r="C494" s="20" t="s">
        <v>125</v>
      </c>
      <c r="D494" s="20" t="s">
        <v>1333</v>
      </c>
      <c r="E494" s="20" t="s">
        <v>282</v>
      </c>
      <c r="F494" s="6">
        <f>'Пр.4 ведом.21'!G560</f>
        <v>0</v>
      </c>
      <c r="G494" s="6">
        <f>'Пр.4 ведом.21'!H560</f>
        <v>0</v>
      </c>
      <c r="H494" s="416" t="e">
        <f t="shared" si="93"/>
        <v>#DIV/0!</v>
      </c>
    </row>
    <row r="495" spans="1:8" ht="39.200000000000003" hidden="1" customHeight="1" x14ac:dyDescent="0.25">
      <c r="A495" s="25" t="s">
        <v>287</v>
      </c>
      <c r="B495" s="20" t="s">
        <v>271</v>
      </c>
      <c r="C495" s="20" t="s">
        <v>125</v>
      </c>
      <c r="D495" s="20" t="s">
        <v>1334</v>
      </c>
      <c r="E495" s="20"/>
      <c r="F495" s="6">
        <f>F496</f>
        <v>0</v>
      </c>
      <c r="G495" s="6">
        <f>G496</f>
        <v>0</v>
      </c>
      <c r="H495" s="416" t="e">
        <f t="shared" si="93"/>
        <v>#DIV/0!</v>
      </c>
    </row>
    <row r="496" spans="1:8" ht="35.450000000000003" hidden="1" customHeight="1" x14ac:dyDescent="0.25">
      <c r="A496" s="25" t="s">
        <v>279</v>
      </c>
      <c r="B496" s="20" t="s">
        <v>271</v>
      </c>
      <c r="C496" s="20" t="s">
        <v>125</v>
      </c>
      <c r="D496" s="20" t="s">
        <v>1334</v>
      </c>
      <c r="E496" s="20" t="s">
        <v>280</v>
      </c>
      <c r="F496" s="6">
        <f t="shared" ref="F496:G496" si="101">F497</f>
        <v>0</v>
      </c>
      <c r="G496" s="6">
        <f t="shared" si="101"/>
        <v>0</v>
      </c>
      <c r="H496" s="416" t="e">
        <f t="shared" si="93"/>
        <v>#DIV/0!</v>
      </c>
    </row>
    <row r="497" spans="1:8" ht="17.45" hidden="1" customHeight="1" x14ac:dyDescent="0.25">
      <c r="A497" s="25" t="s">
        <v>281</v>
      </c>
      <c r="B497" s="20" t="s">
        <v>271</v>
      </c>
      <c r="C497" s="20" t="s">
        <v>125</v>
      </c>
      <c r="D497" s="20" t="s">
        <v>1334</v>
      </c>
      <c r="E497" s="20" t="s">
        <v>282</v>
      </c>
      <c r="F497" s="6">
        <f>'Пр.4 ведом.21'!G563</f>
        <v>0</v>
      </c>
      <c r="G497" s="6">
        <f>'Пр.4 ведом.21'!H563</f>
        <v>0</v>
      </c>
      <c r="H497" s="416" t="e">
        <f t="shared" si="93"/>
        <v>#DIV/0!</v>
      </c>
    </row>
    <row r="498" spans="1:8" ht="38.25" customHeight="1" x14ac:dyDescent="0.25">
      <c r="A498" s="29" t="s">
        <v>422</v>
      </c>
      <c r="B498" s="20" t="s">
        <v>271</v>
      </c>
      <c r="C498" s="20" t="s">
        <v>125</v>
      </c>
      <c r="D498" s="20" t="s">
        <v>1253</v>
      </c>
      <c r="E498" s="20"/>
      <c r="F498" s="6">
        <f>F499</f>
        <v>4000</v>
      </c>
      <c r="G498" s="6">
        <f>G499</f>
        <v>2225.4209999999998</v>
      </c>
      <c r="H498" s="416">
        <f t="shared" si="93"/>
        <v>55.635524999999994</v>
      </c>
    </row>
    <row r="499" spans="1:8" ht="34.5" customHeight="1" x14ac:dyDescent="0.25">
      <c r="A499" s="25" t="s">
        <v>279</v>
      </c>
      <c r="B499" s="20" t="s">
        <v>271</v>
      </c>
      <c r="C499" s="20" t="s">
        <v>125</v>
      </c>
      <c r="D499" s="20" t="s">
        <v>1253</v>
      </c>
      <c r="E499" s="20" t="s">
        <v>280</v>
      </c>
      <c r="F499" s="6">
        <f>F500</f>
        <v>4000</v>
      </c>
      <c r="G499" s="6">
        <f>G500</f>
        <v>2225.4209999999998</v>
      </c>
      <c r="H499" s="416">
        <f t="shared" si="93"/>
        <v>55.635524999999994</v>
      </c>
    </row>
    <row r="500" spans="1:8" ht="15.75" x14ac:dyDescent="0.25">
      <c r="A500" s="25" t="s">
        <v>281</v>
      </c>
      <c r="B500" s="20" t="s">
        <v>271</v>
      </c>
      <c r="C500" s="20" t="s">
        <v>125</v>
      </c>
      <c r="D500" s="20" t="s">
        <v>1253</v>
      </c>
      <c r="E500" s="20" t="s">
        <v>282</v>
      </c>
      <c r="F500" s="6">
        <f>'Пр.4 ведом.21'!G566</f>
        <v>4000</v>
      </c>
      <c r="G500" s="6">
        <f>'Пр.4 ведом.21'!H566</f>
        <v>2225.4209999999998</v>
      </c>
      <c r="H500" s="416">
        <f t="shared" si="93"/>
        <v>55.635524999999994</v>
      </c>
    </row>
    <row r="501" spans="1:8" ht="31.5" x14ac:dyDescent="0.25">
      <c r="A501" s="214" t="s">
        <v>958</v>
      </c>
      <c r="B501" s="24" t="s">
        <v>271</v>
      </c>
      <c r="C501" s="24" t="s">
        <v>125</v>
      </c>
      <c r="D501" s="24" t="s">
        <v>1255</v>
      </c>
      <c r="E501" s="24"/>
      <c r="F501" s="4">
        <f>F502+F505+F508</f>
        <v>4348</v>
      </c>
      <c r="G501" s="4">
        <f>G502+G505+G508</f>
        <v>3447</v>
      </c>
      <c r="H501" s="416">
        <f t="shared" si="93"/>
        <v>79.277828886844532</v>
      </c>
    </row>
    <row r="502" spans="1:8" ht="31.5" hidden="1" x14ac:dyDescent="0.25">
      <c r="A502" s="25" t="s">
        <v>291</v>
      </c>
      <c r="B502" s="20" t="s">
        <v>271</v>
      </c>
      <c r="C502" s="20" t="s">
        <v>125</v>
      </c>
      <c r="D502" s="20" t="s">
        <v>1273</v>
      </c>
      <c r="E502" s="20"/>
      <c r="F502" s="6">
        <f>F503</f>
        <v>0</v>
      </c>
      <c r="G502" s="6">
        <f>G503</f>
        <v>0</v>
      </c>
      <c r="H502" s="416" t="e">
        <f t="shared" si="93"/>
        <v>#DIV/0!</v>
      </c>
    </row>
    <row r="503" spans="1:8" ht="31.5" hidden="1" x14ac:dyDescent="0.25">
      <c r="A503" s="25" t="s">
        <v>279</v>
      </c>
      <c r="B503" s="20" t="s">
        <v>271</v>
      </c>
      <c r="C503" s="20" t="s">
        <v>125</v>
      </c>
      <c r="D503" s="20" t="s">
        <v>1273</v>
      </c>
      <c r="E503" s="20" t="s">
        <v>280</v>
      </c>
      <c r="F503" s="6">
        <f>F504</f>
        <v>0</v>
      </c>
      <c r="G503" s="6">
        <f>G504</f>
        <v>0</v>
      </c>
      <c r="H503" s="416" t="e">
        <f t="shared" si="93"/>
        <v>#DIV/0!</v>
      </c>
    </row>
    <row r="504" spans="1:8" ht="15.75" hidden="1" x14ac:dyDescent="0.25">
      <c r="A504" s="25" t="s">
        <v>281</v>
      </c>
      <c r="B504" s="20" t="s">
        <v>271</v>
      </c>
      <c r="C504" s="20" t="s">
        <v>125</v>
      </c>
      <c r="D504" s="20" t="s">
        <v>1273</v>
      </c>
      <c r="E504" s="20" t="s">
        <v>282</v>
      </c>
      <c r="F504" s="6">
        <f>'Пр.4 ведом.21'!G570</f>
        <v>0</v>
      </c>
      <c r="G504" s="6">
        <f>'Пр.4 ведом.21'!H570</f>
        <v>0</v>
      </c>
      <c r="H504" s="416" t="e">
        <f t="shared" si="93"/>
        <v>#DIV/0!</v>
      </c>
    </row>
    <row r="505" spans="1:8" ht="31.5" x14ac:dyDescent="0.25">
      <c r="A505" s="60" t="s">
        <v>774</v>
      </c>
      <c r="B505" s="20" t="s">
        <v>271</v>
      </c>
      <c r="C505" s="20" t="s">
        <v>125</v>
      </c>
      <c r="D505" s="20" t="s">
        <v>1256</v>
      </c>
      <c r="E505" s="20"/>
      <c r="F505" s="6">
        <f>F506</f>
        <v>3088</v>
      </c>
      <c r="G505" s="6">
        <f>G506</f>
        <v>3088</v>
      </c>
      <c r="H505" s="416">
        <f t="shared" si="93"/>
        <v>100</v>
      </c>
    </row>
    <row r="506" spans="1:8" ht="31.5" x14ac:dyDescent="0.25">
      <c r="A506" s="29" t="s">
        <v>279</v>
      </c>
      <c r="B506" s="20" t="s">
        <v>271</v>
      </c>
      <c r="C506" s="20" t="s">
        <v>125</v>
      </c>
      <c r="D506" s="20" t="s">
        <v>1256</v>
      </c>
      <c r="E506" s="20" t="s">
        <v>280</v>
      </c>
      <c r="F506" s="6">
        <f>F507</f>
        <v>3088</v>
      </c>
      <c r="G506" s="6">
        <f>G507</f>
        <v>3088</v>
      </c>
      <c r="H506" s="416">
        <f t="shared" si="93"/>
        <v>100</v>
      </c>
    </row>
    <row r="507" spans="1:8" ht="15.75" x14ac:dyDescent="0.25">
      <c r="A507" s="184" t="s">
        <v>281</v>
      </c>
      <c r="B507" s="20" t="s">
        <v>271</v>
      </c>
      <c r="C507" s="20" t="s">
        <v>125</v>
      </c>
      <c r="D507" s="20" t="s">
        <v>1256</v>
      </c>
      <c r="E507" s="20" t="s">
        <v>282</v>
      </c>
      <c r="F507" s="6">
        <f>'Пр.4 ведом.21'!G573</f>
        <v>3088</v>
      </c>
      <c r="G507" s="6">
        <f>'Пр.4 ведом.21'!H573</f>
        <v>3088</v>
      </c>
      <c r="H507" s="416">
        <f t="shared" si="93"/>
        <v>100</v>
      </c>
    </row>
    <row r="508" spans="1:8" ht="47.25" x14ac:dyDescent="0.25">
      <c r="A508" s="60" t="s">
        <v>775</v>
      </c>
      <c r="B508" s="20" t="s">
        <v>271</v>
      </c>
      <c r="C508" s="20" t="s">
        <v>125</v>
      </c>
      <c r="D508" s="20" t="s">
        <v>1257</v>
      </c>
      <c r="E508" s="20"/>
      <c r="F508" s="6">
        <f>F509</f>
        <v>1260</v>
      </c>
      <c r="G508" s="6">
        <f>G509</f>
        <v>359</v>
      </c>
      <c r="H508" s="416">
        <f t="shared" si="93"/>
        <v>28.49206349206349</v>
      </c>
    </row>
    <row r="509" spans="1:8" ht="31.5" x14ac:dyDescent="0.25">
      <c r="A509" s="29" t="s">
        <v>279</v>
      </c>
      <c r="B509" s="20" t="s">
        <v>271</v>
      </c>
      <c r="C509" s="20" t="s">
        <v>125</v>
      </c>
      <c r="D509" s="20" t="s">
        <v>1257</v>
      </c>
      <c r="E509" s="20" t="s">
        <v>280</v>
      </c>
      <c r="F509" s="6">
        <f>F510</f>
        <v>1260</v>
      </c>
      <c r="G509" s="6">
        <f>G510</f>
        <v>359</v>
      </c>
      <c r="H509" s="416">
        <f t="shared" si="93"/>
        <v>28.49206349206349</v>
      </c>
    </row>
    <row r="510" spans="1:8" ht="15.75" x14ac:dyDescent="0.25">
      <c r="A510" s="184" t="s">
        <v>281</v>
      </c>
      <c r="B510" s="20" t="s">
        <v>271</v>
      </c>
      <c r="C510" s="20" t="s">
        <v>125</v>
      </c>
      <c r="D510" s="20" t="s">
        <v>1257</v>
      </c>
      <c r="E510" s="20" t="s">
        <v>282</v>
      </c>
      <c r="F510" s="6">
        <f>'Пр.4 ведом.21'!G576</f>
        <v>1260</v>
      </c>
      <c r="G510" s="6">
        <f>'Пр.4 ведом.21'!H576</f>
        <v>359</v>
      </c>
      <c r="H510" s="416">
        <f t="shared" si="93"/>
        <v>28.49206349206349</v>
      </c>
    </row>
    <row r="511" spans="1:8" ht="65.25" customHeight="1" x14ac:dyDescent="0.25">
      <c r="A511" s="23" t="s">
        <v>943</v>
      </c>
      <c r="B511" s="24" t="s">
        <v>271</v>
      </c>
      <c r="C511" s="24" t="s">
        <v>125</v>
      </c>
      <c r="D511" s="24" t="s">
        <v>1258</v>
      </c>
      <c r="E511" s="24"/>
      <c r="F511" s="4">
        <f t="shared" ref="F511:G513" si="102">F512</f>
        <v>291.10000000000002</v>
      </c>
      <c r="G511" s="4">
        <f t="shared" si="102"/>
        <v>0</v>
      </c>
      <c r="H511" s="441">
        <f t="shared" si="93"/>
        <v>0</v>
      </c>
    </row>
    <row r="512" spans="1:8" ht="110.25" x14ac:dyDescent="0.25">
      <c r="A512" s="25" t="s">
        <v>1555</v>
      </c>
      <c r="B512" s="20" t="s">
        <v>271</v>
      </c>
      <c r="C512" s="20" t="s">
        <v>125</v>
      </c>
      <c r="D512" s="20" t="s">
        <v>1259</v>
      </c>
      <c r="E512" s="20"/>
      <c r="F512" s="6">
        <f t="shared" si="102"/>
        <v>291.10000000000002</v>
      </c>
      <c r="G512" s="6">
        <f t="shared" si="102"/>
        <v>0</v>
      </c>
      <c r="H512" s="416">
        <f t="shared" si="93"/>
        <v>0</v>
      </c>
    </row>
    <row r="513" spans="1:8" ht="31.5" x14ac:dyDescent="0.25">
      <c r="A513" s="29" t="s">
        <v>279</v>
      </c>
      <c r="B513" s="20" t="s">
        <v>271</v>
      </c>
      <c r="C513" s="20" t="s">
        <v>125</v>
      </c>
      <c r="D513" s="20" t="s">
        <v>1259</v>
      </c>
      <c r="E513" s="20" t="s">
        <v>280</v>
      </c>
      <c r="F513" s="6">
        <f t="shared" si="102"/>
        <v>291.10000000000002</v>
      </c>
      <c r="G513" s="6">
        <f t="shared" si="102"/>
        <v>0</v>
      </c>
      <c r="H513" s="416">
        <f t="shared" si="93"/>
        <v>0</v>
      </c>
    </row>
    <row r="514" spans="1:8" ht="15.75" x14ac:dyDescent="0.25">
      <c r="A514" s="184" t="s">
        <v>281</v>
      </c>
      <c r="B514" s="20" t="s">
        <v>271</v>
      </c>
      <c r="C514" s="20" t="s">
        <v>125</v>
      </c>
      <c r="D514" s="20" t="s">
        <v>1259</v>
      </c>
      <c r="E514" s="20" t="s">
        <v>282</v>
      </c>
      <c r="F514" s="6">
        <f>'Пр.4 ведом.21'!G580</f>
        <v>291.10000000000002</v>
      </c>
      <c r="G514" s="6">
        <f>'Пр.4 ведом.21'!H580</f>
        <v>0</v>
      </c>
      <c r="H514" s="416">
        <f t="shared" si="93"/>
        <v>0</v>
      </c>
    </row>
    <row r="515" spans="1:8" s="202" customFormat="1" ht="94.5" x14ac:dyDescent="0.25">
      <c r="A515" s="23" t="s">
        <v>1180</v>
      </c>
      <c r="B515" s="24" t="s">
        <v>271</v>
      </c>
      <c r="C515" s="24" t="s">
        <v>125</v>
      </c>
      <c r="D515" s="24" t="s">
        <v>1261</v>
      </c>
      <c r="E515" s="24"/>
      <c r="F515" s="21">
        <f t="shared" ref="F515:G517" si="103">F516</f>
        <v>1666.6</v>
      </c>
      <c r="G515" s="21">
        <f t="shared" si="103"/>
        <v>0</v>
      </c>
      <c r="H515" s="441">
        <f t="shared" si="93"/>
        <v>0</v>
      </c>
    </row>
    <row r="516" spans="1:8" s="202" customFormat="1" ht="94.5" x14ac:dyDescent="0.25">
      <c r="A516" s="150" t="s">
        <v>1538</v>
      </c>
      <c r="B516" s="20" t="s">
        <v>271</v>
      </c>
      <c r="C516" s="20" t="s">
        <v>125</v>
      </c>
      <c r="D516" s="20" t="s">
        <v>1262</v>
      </c>
      <c r="E516" s="20"/>
      <c r="F516" s="26">
        <f t="shared" si="103"/>
        <v>1666.6</v>
      </c>
      <c r="G516" s="26">
        <f t="shared" si="103"/>
        <v>0</v>
      </c>
      <c r="H516" s="416">
        <f t="shared" si="93"/>
        <v>0</v>
      </c>
    </row>
    <row r="517" spans="1:8" s="202" customFormat="1" ht="31.5" x14ac:dyDescent="0.25">
      <c r="A517" s="25" t="s">
        <v>279</v>
      </c>
      <c r="B517" s="20" t="s">
        <v>271</v>
      </c>
      <c r="C517" s="20" t="s">
        <v>125</v>
      </c>
      <c r="D517" s="20" t="s">
        <v>1262</v>
      </c>
      <c r="E517" s="20" t="s">
        <v>280</v>
      </c>
      <c r="F517" s="26">
        <f t="shared" si="103"/>
        <v>1666.6</v>
      </c>
      <c r="G517" s="26">
        <f t="shared" si="103"/>
        <v>0</v>
      </c>
      <c r="H517" s="416">
        <f t="shared" si="93"/>
        <v>0</v>
      </c>
    </row>
    <row r="518" spans="1:8" s="202" customFormat="1" ht="15.75" x14ac:dyDescent="0.25">
      <c r="A518" s="25" t="s">
        <v>281</v>
      </c>
      <c r="B518" s="20" t="s">
        <v>271</v>
      </c>
      <c r="C518" s="20" t="s">
        <v>125</v>
      </c>
      <c r="D518" s="20" t="s">
        <v>1262</v>
      </c>
      <c r="E518" s="20" t="s">
        <v>282</v>
      </c>
      <c r="F518" s="26">
        <f>'Пр.4 ведом.21'!G584</f>
        <v>1666.6</v>
      </c>
      <c r="G518" s="26">
        <f>'Пр.4 ведом.21'!H584</f>
        <v>0</v>
      </c>
      <c r="H518" s="416">
        <f t="shared" si="93"/>
        <v>0</v>
      </c>
    </row>
    <row r="519" spans="1:8" ht="53.65" customHeight="1" x14ac:dyDescent="0.25">
      <c r="A519" s="34" t="s">
        <v>1374</v>
      </c>
      <c r="B519" s="24" t="s">
        <v>271</v>
      </c>
      <c r="C519" s="24" t="s">
        <v>125</v>
      </c>
      <c r="D519" s="24" t="s">
        <v>331</v>
      </c>
      <c r="E519" s="24"/>
      <c r="F519" s="4">
        <f t="shared" ref="F519:G521" si="104">F520</f>
        <v>95</v>
      </c>
      <c r="G519" s="4">
        <f t="shared" si="104"/>
        <v>0</v>
      </c>
      <c r="H519" s="441">
        <f t="shared" si="93"/>
        <v>0</v>
      </c>
    </row>
    <row r="520" spans="1:8" ht="63" x14ac:dyDescent="0.25">
      <c r="A520" s="34" t="s">
        <v>1019</v>
      </c>
      <c r="B520" s="24" t="s">
        <v>271</v>
      </c>
      <c r="C520" s="24" t="s">
        <v>125</v>
      </c>
      <c r="D520" s="24" t="s">
        <v>944</v>
      </c>
      <c r="E520" s="24"/>
      <c r="F520" s="4">
        <f t="shared" si="104"/>
        <v>95</v>
      </c>
      <c r="G520" s="4">
        <f t="shared" si="104"/>
        <v>0</v>
      </c>
      <c r="H520" s="441">
        <f t="shared" si="93"/>
        <v>0</v>
      </c>
    </row>
    <row r="521" spans="1:8" ht="47.25" x14ac:dyDescent="0.25">
      <c r="A521" s="31" t="s">
        <v>1018</v>
      </c>
      <c r="B521" s="20" t="s">
        <v>271</v>
      </c>
      <c r="C521" s="20" t="s">
        <v>125</v>
      </c>
      <c r="D521" s="20" t="s">
        <v>945</v>
      </c>
      <c r="E521" s="20"/>
      <c r="F521" s="6">
        <f t="shared" si="104"/>
        <v>95</v>
      </c>
      <c r="G521" s="6">
        <f t="shared" si="104"/>
        <v>0</v>
      </c>
      <c r="H521" s="416">
        <f t="shared" si="93"/>
        <v>0</v>
      </c>
    </row>
    <row r="522" spans="1:8" ht="31.5" x14ac:dyDescent="0.25">
      <c r="A522" s="31" t="s">
        <v>279</v>
      </c>
      <c r="B522" s="20" t="s">
        <v>271</v>
      </c>
      <c r="C522" s="20" t="s">
        <v>125</v>
      </c>
      <c r="D522" s="20" t="s">
        <v>945</v>
      </c>
      <c r="E522" s="20" t="s">
        <v>280</v>
      </c>
      <c r="F522" s="6">
        <f t="shared" ref="F522:G522" si="105">F523</f>
        <v>95</v>
      </c>
      <c r="G522" s="6">
        <f t="shared" si="105"/>
        <v>0</v>
      </c>
      <c r="H522" s="416">
        <f t="shared" si="93"/>
        <v>0</v>
      </c>
    </row>
    <row r="523" spans="1:8" ht="15.75" x14ac:dyDescent="0.25">
      <c r="A523" s="31" t="s">
        <v>281</v>
      </c>
      <c r="B523" s="20" t="s">
        <v>271</v>
      </c>
      <c r="C523" s="20" t="s">
        <v>125</v>
      </c>
      <c r="D523" s="20" t="s">
        <v>945</v>
      </c>
      <c r="E523" s="20" t="s">
        <v>282</v>
      </c>
      <c r="F523" s="6">
        <f>'Пр.4 ведом.21'!G592</f>
        <v>95</v>
      </c>
      <c r="G523" s="6">
        <f>'Пр.4 ведом.21'!H592</f>
        <v>0</v>
      </c>
      <c r="H523" s="416">
        <f t="shared" ref="H523:H586" si="106">G523/F523*100</f>
        <v>0</v>
      </c>
    </row>
    <row r="524" spans="1:8" ht="47.25" x14ac:dyDescent="0.25">
      <c r="A524" s="41" t="s">
        <v>1369</v>
      </c>
      <c r="B524" s="24" t="s">
        <v>271</v>
      </c>
      <c r="C524" s="24" t="s">
        <v>125</v>
      </c>
      <c r="D524" s="24" t="s">
        <v>715</v>
      </c>
      <c r="E524" s="217"/>
      <c r="F524" s="4">
        <f>F525</f>
        <v>549</v>
      </c>
      <c r="G524" s="4">
        <f>G525</f>
        <v>89.992999999999995</v>
      </c>
      <c r="H524" s="441">
        <f t="shared" si="106"/>
        <v>16.392167577413478</v>
      </c>
    </row>
    <row r="525" spans="1:8" ht="47.25" x14ac:dyDescent="0.25">
      <c r="A525" s="41" t="s">
        <v>900</v>
      </c>
      <c r="B525" s="24" t="s">
        <v>271</v>
      </c>
      <c r="C525" s="24" t="s">
        <v>125</v>
      </c>
      <c r="D525" s="24" t="s">
        <v>898</v>
      </c>
      <c r="E525" s="217"/>
      <c r="F525" s="4">
        <f t="shared" ref="F525:G526" si="107">F526</f>
        <v>549</v>
      </c>
      <c r="G525" s="4">
        <f t="shared" si="107"/>
        <v>89.992999999999995</v>
      </c>
      <c r="H525" s="441">
        <f t="shared" si="106"/>
        <v>16.392167577413478</v>
      </c>
    </row>
    <row r="526" spans="1:8" ht="47.25" x14ac:dyDescent="0.25">
      <c r="A526" s="98" t="s">
        <v>790</v>
      </c>
      <c r="B526" s="20" t="s">
        <v>271</v>
      </c>
      <c r="C526" s="20" t="s">
        <v>125</v>
      </c>
      <c r="D526" s="20" t="s">
        <v>946</v>
      </c>
      <c r="E526" s="32"/>
      <c r="F526" s="6">
        <f t="shared" si="107"/>
        <v>549</v>
      </c>
      <c r="G526" s="6">
        <f t="shared" si="107"/>
        <v>89.992999999999995</v>
      </c>
      <c r="H526" s="416">
        <f t="shared" si="106"/>
        <v>16.392167577413478</v>
      </c>
    </row>
    <row r="527" spans="1:8" ht="31.5" x14ac:dyDescent="0.25">
      <c r="A527" s="29" t="s">
        <v>279</v>
      </c>
      <c r="B527" s="20" t="s">
        <v>271</v>
      </c>
      <c r="C527" s="20" t="s">
        <v>125</v>
      </c>
      <c r="D527" s="20" t="s">
        <v>946</v>
      </c>
      <c r="E527" s="32" t="s">
        <v>280</v>
      </c>
      <c r="F527" s="6">
        <f>F528</f>
        <v>549</v>
      </c>
      <c r="G527" s="6">
        <f>G528</f>
        <v>89.992999999999995</v>
      </c>
      <c r="H527" s="416">
        <f t="shared" si="106"/>
        <v>16.392167577413478</v>
      </c>
    </row>
    <row r="528" spans="1:8" ht="24.75" customHeight="1" x14ac:dyDescent="0.25">
      <c r="A528" s="184" t="s">
        <v>281</v>
      </c>
      <c r="B528" s="20" t="s">
        <v>271</v>
      </c>
      <c r="C528" s="20" t="s">
        <v>125</v>
      </c>
      <c r="D528" s="20" t="s">
        <v>946</v>
      </c>
      <c r="E528" s="32" t="s">
        <v>282</v>
      </c>
      <c r="F528" s="6">
        <f>'Пр.4 ведом.21'!G597</f>
        <v>549</v>
      </c>
      <c r="G528" s="6">
        <f>'Пр.4 ведом.21'!H597</f>
        <v>89.992999999999995</v>
      </c>
      <c r="H528" s="416">
        <f t="shared" si="106"/>
        <v>16.392167577413478</v>
      </c>
    </row>
    <row r="529" spans="1:8" ht="15.75" x14ac:dyDescent="0.25">
      <c r="A529" s="41" t="s">
        <v>432</v>
      </c>
      <c r="B529" s="7" t="s">
        <v>271</v>
      </c>
      <c r="C529" s="7" t="s">
        <v>220</v>
      </c>
      <c r="D529" s="7"/>
      <c r="E529" s="7"/>
      <c r="F529" s="4">
        <f>F530+F602+F607</f>
        <v>197509.1</v>
      </c>
      <c r="G529" s="4">
        <f>G530+G602+G607</f>
        <v>44278.339</v>
      </c>
      <c r="H529" s="441">
        <f t="shared" si="106"/>
        <v>22.418379203793648</v>
      </c>
    </row>
    <row r="530" spans="1:8" ht="34.700000000000003" customHeight="1" x14ac:dyDescent="0.25">
      <c r="A530" s="23" t="s">
        <v>1375</v>
      </c>
      <c r="B530" s="24" t="s">
        <v>271</v>
      </c>
      <c r="C530" s="24" t="s">
        <v>220</v>
      </c>
      <c r="D530" s="24" t="s">
        <v>413</v>
      </c>
      <c r="E530" s="24"/>
      <c r="F530" s="4">
        <f>F531+F535+F554+F567+F574+F578+F582+F586+F590+F598+F594</f>
        <v>196672.1</v>
      </c>
      <c r="G530" s="4">
        <f>G531+G535+G554+G567+G574+G578+G582+G586+G590+G598+G594</f>
        <v>44114.853999999999</v>
      </c>
      <c r="H530" s="441">
        <f t="shared" si="106"/>
        <v>22.430662000354904</v>
      </c>
    </row>
    <row r="531" spans="1:8" ht="31.5" x14ac:dyDescent="0.25">
      <c r="A531" s="23" t="s">
        <v>947</v>
      </c>
      <c r="B531" s="24" t="s">
        <v>271</v>
      </c>
      <c r="C531" s="24" t="s">
        <v>220</v>
      </c>
      <c r="D531" s="24" t="s">
        <v>1245</v>
      </c>
      <c r="E531" s="24"/>
      <c r="F531" s="4">
        <f>F532</f>
        <v>28690.799999999999</v>
      </c>
      <c r="G531" s="4">
        <f>G532</f>
        <v>6887.625</v>
      </c>
      <c r="H531" s="441">
        <f t="shared" si="106"/>
        <v>24.006388807562008</v>
      </c>
    </row>
    <row r="532" spans="1:8" ht="47.25" x14ac:dyDescent="0.25">
      <c r="A532" s="25" t="s">
        <v>1251</v>
      </c>
      <c r="B532" s="20" t="s">
        <v>271</v>
      </c>
      <c r="C532" s="20" t="s">
        <v>220</v>
      </c>
      <c r="D532" s="20" t="s">
        <v>1264</v>
      </c>
      <c r="E532" s="20"/>
      <c r="F532" s="366">
        <f t="shared" ref="F532:G532" si="108">F533</f>
        <v>28690.799999999999</v>
      </c>
      <c r="G532" s="366">
        <f t="shared" si="108"/>
        <v>6887.625</v>
      </c>
      <c r="H532" s="416">
        <f t="shared" si="106"/>
        <v>24.006388807562008</v>
      </c>
    </row>
    <row r="533" spans="1:8" ht="39.75" customHeight="1" x14ac:dyDescent="0.25">
      <c r="A533" s="25" t="s">
        <v>279</v>
      </c>
      <c r="B533" s="20" t="s">
        <v>271</v>
      </c>
      <c r="C533" s="20" t="s">
        <v>220</v>
      </c>
      <c r="D533" s="20" t="s">
        <v>1264</v>
      </c>
      <c r="E533" s="20" t="s">
        <v>280</v>
      </c>
      <c r="F533" s="366">
        <f>'Пр.4 ведом.21'!G603</f>
        <v>28690.799999999999</v>
      </c>
      <c r="G533" s="366">
        <f>'Пр.4 ведом.21'!H603</f>
        <v>6887.625</v>
      </c>
      <c r="H533" s="416">
        <f t="shared" si="106"/>
        <v>24.006388807562008</v>
      </c>
    </row>
    <row r="534" spans="1:8" ht="15.75" x14ac:dyDescent="0.25">
      <c r="A534" s="25" t="s">
        <v>281</v>
      </c>
      <c r="B534" s="20" t="s">
        <v>271</v>
      </c>
      <c r="C534" s="20" t="s">
        <v>220</v>
      </c>
      <c r="D534" s="20" t="s">
        <v>1264</v>
      </c>
      <c r="E534" s="20" t="s">
        <v>282</v>
      </c>
      <c r="F534" s="6">
        <f>'Пр.4 ведом.21'!G603</f>
        <v>28690.799999999999</v>
      </c>
      <c r="G534" s="6">
        <f>'Пр.4 ведом.21'!H603</f>
        <v>6887.625</v>
      </c>
      <c r="H534" s="416">
        <f t="shared" si="106"/>
        <v>24.006388807562008</v>
      </c>
    </row>
    <row r="535" spans="1:8" ht="48.95" customHeight="1" x14ac:dyDescent="0.25">
      <c r="A535" s="23" t="s">
        <v>910</v>
      </c>
      <c r="B535" s="24" t="s">
        <v>271</v>
      </c>
      <c r="C535" s="24" t="s">
        <v>220</v>
      </c>
      <c r="D535" s="24" t="s">
        <v>1247</v>
      </c>
      <c r="E535" s="24"/>
      <c r="F535" s="4">
        <f>F542+F545+F548+F551+F539+F536</f>
        <v>147914.6</v>
      </c>
      <c r="G535" s="4">
        <f>G542+G545+G548+G551+G539+G536</f>
        <v>32282.95</v>
      </c>
      <c r="H535" s="441">
        <f t="shared" si="106"/>
        <v>21.825397898517117</v>
      </c>
    </row>
    <row r="536" spans="1:8" s="202" customFormat="1" ht="67.7" customHeight="1" x14ac:dyDescent="0.25">
      <c r="A536" s="25" t="s">
        <v>1409</v>
      </c>
      <c r="B536" s="20" t="s">
        <v>271</v>
      </c>
      <c r="C536" s="20" t="s">
        <v>220</v>
      </c>
      <c r="D536" s="20" t="s">
        <v>1410</v>
      </c>
      <c r="E536" s="20"/>
      <c r="F536" s="27">
        <f>F537</f>
        <v>7226.1</v>
      </c>
      <c r="G536" s="27">
        <f>G537</f>
        <v>1204.3499999999999</v>
      </c>
      <c r="H536" s="416">
        <f t="shared" si="106"/>
        <v>16.666666666666664</v>
      </c>
    </row>
    <row r="537" spans="1:8" s="202" customFormat="1" ht="36.75" customHeight="1" x14ac:dyDescent="0.25">
      <c r="A537" s="25" t="s">
        <v>279</v>
      </c>
      <c r="B537" s="20" t="s">
        <v>271</v>
      </c>
      <c r="C537" s="20" t="s">
        <v>220</v>
      </c>
      <c r="D537" s="20" t="s">
        <v>1410</v>
      </c>
      <c r="E537" s="20" t="s">
        <v>280</v>
      </c>
      <c r="F537" s="27">
        <f>F538</f>
        <v>7226.1</v>
      </c>
      <c r="G537" s="27">
        <f>G538</f>
        <v>1204.3499999999999</v>
      </c>
      <c r="H537" s="416">
        <f t="shared" si="106"/>
        <v>16.666666666666664</v>
      </c>
    </row>
    <row r="538" spans="1:8" s="202" customFormat="1" ht="17.649999999999999" customHeight="1" x14ac:dyDescent="0.25">
      <c r="A538" s="25" t="s">
        <v>281</v>
      </c>
      <c r="B538" s="20" t="s">
        <v>271</v>
      </c>
      <c r="C538" s="20" t="s">
        <v>220</v>
      </c>
      <c r="D538" s="20" t="s">
        <v>1410</v>
      </c>
      <c r="E538" s="20" t="s">
        <v>282</v>
      </c>
      <c r="F538" s="27">
        <f>'Пр.4 ведом.21'!G607</f>
        <v>7226.1</v>
      </c>
      <c r="G538" s="27">
        <f>'Пр.4 ведом.21'!H607</f>
        <v>1204.3499999999999</v>
      </c>
      <c r="H538" s="416">
        <f t="shared" si="106"/>
        <v>16.666666666666664</v>
      </c>
    </row>
    <row r="539" spans="1:8" s="202" customFormat="1" ht="95.1" customHeight="1" x14ac:dyDescent="0.25">
      <c r="A539" s="31" t="s">
        <v>471</v>
      </c>
      <c r="B539" s="20" t="s">
        <v>271</v>
      </c>
      <c r="C539" s="20" t="s">
        <v>220</v>
      </c>
      <c r="D539" s="20" t="s">
        <v>1407</v>
      </c>
      <c r="E539" s="20"/>
      <c r="F539" s="6">
        <f>F540</f>
        <v>4610</v>
      </c>
      <c r="G539" s="6">
        <f>G540</f>
        <v>1166.4000000000001</v>
      </c>
      <c r="H539" s="416">
        <f t="shared" si="106"/>
        <v>25.301518438177879</v>
      </c>
    </row>
    <row r="540" spans="1:8" s="202" customFormat="1" ht="40.15" customHeight="1" x14ac:dyDescent="0.25">
      <c r="A540" s="25" t="s">
        <v>279</v>
      </c>
      <c r="B540" s="20" t="s">
        <v>271</v>
      </c>
      <c r="C540" s="20" t="s">
        <v>220</v>
      </c>
      <c r="D540" s="20" t="s">
        <v>1407</v>
      </c>
      <c r="E540" s="20" t="s">
        <v>280</v>
      </c>
      <c r="F540" s="6">
        <f>F541</f>
        <v>4610</v>
      </c>
      <c r="G540" s="6">
        <f>G541</f>
        <v>1166.4000000000001</v>
      </c>
      <c r="H540" s="416">
        <f t="shared" si="106"/>
        <v>25.301518438177879</v>
      </c>
    </row>
    <row r="541" spans="1:8" s="202" customFormat="1" ht="17.100000000000001" customHeight="1" x14ac:dyDescent="0.25">
      <c r="A541" s="25" t="s">
        <v>281</v>
      </c>
      <c r="B541" s="20" t="s">
        <v>271</v>
      </c>
      <c r="C541" s="20" t="s">
        <v>220</v>
      </c>
      <c r="D541" s="20" t="s">
        <v>1407</v>
      </c>
      <c r="E541" s="20" t="s">
        <v>282</v>
      </c>
      <c r="F541" s="6">
        <f>'Пр.4 ведом.21'!G610</f>
        <v>4610</v>
      </c>
      <c r="G541" s="6">
        <f>'Пр.4 ведом.21'!H610</f>
        <v>1166.4000000000001</v>
      </c>
      <c r="H541" s="416">
        <f t="shared" si="106"/>
        <v>25.301518438177879</v>
      </c>
    </row>
    <row r="542" spans="1:8" ht="79.5" customHeight="1" x14ac:dyDescent="0.25">
      <c r="A542" s="31" t="s">
        <v>1198</v>
      </c>
      <c r="B542" s="20" t="s">
        <v>271</v>
      </c>
      <c r="C542" s="20" t="s">
        <v>220</v>
      </c>
      <c r="D542" s="20" t="s">
        <v>1265</v>
      </c>
      <c r="E542" s="20"/>
      <c r="F542" s="6">
        <f>F543</f>
        <v>131567.20000000001</v>
      </c>
      <c r="G542" s="6">
        <f>G543</f>
        <v>28805.4</v>
      </c>
      <c r="H542" s="416">
        <f t="shared" si="106"/>
        <v>21.894058701560876</v>
      </c>
    </row>
    <row r="543" spans="1:8" ht="35.450000000000003" customHeight="1" x14ac:dyDescent="0.25">
      <c r="A543" s="25" t="s">
        <v>279</v>
      </c>
      <c r="B543" s="20" t="s">
        <v>271</v>
      </c>
      <c r="C543" s="20" t="s">
        <v>220</v>
      </c>
      <c r="D543" s="20" t="s">
        <v>1265</v>
      </c>
      <c r="E543" s="20" t="s">
        <v>280</v>
      </c>
      <c r="F543" s="6">
        <f t="shared" ref="F543:G543" si="109">F544</f>
        <v>131567.20000000001</v>
      </c>
      <c r="G543" s="6">
        <f t="shared" si="109"/>
        <v>28805.4</v>
      </c>
      <c r="H543" s="416">
        <f t="shared" si="106"/>
        <v>21.894058701560876</v>
      </c>
    </row>
    <row r="544" spans="1:8" ht="15.75" customHeight="1" x14ac:dyDescent="0.25">
      <c r="A544" s="25" t="s">
        <v>281</v>
      </c>
      <c r="B544" s="20" t="s">
        <v>271</v>
      </c>
      <c r="C544" s="20" t="s">
        <v>220</v>
      </c>
      <c r="D544" s="20" t="s">
        <v>1265</v>
      </c>
      <c r="E544" s="20" t="s">
        <v>282</v>
      </c>
      <c r="F544" s="6">
        <f>'Пр.4 ведом.21'!G613</f>
        <v>131567.20000000001</v>
      </c>
      <c r="G544" s="6">
        <f>'Пр.4 ведом.21'!H613</f>
        <v>28805.4</v>
      </c>
      <c r="H544" s="416">
        <f t="shared" si="106"/>
        <v>21.894058701560876</v>
      </c>
    </row>
    <row r="545" spans="1:8" ht="72" customHeight="1" x14ac:dyDescent="0.25">
      <c r="A545" s="31" t="s">
        <v>296</v>
      </c>
      <c r="B545" s="20" t="s">
        <v>271</v>
      </c>
      <c r="C545" s="20" t="s">
        <v>220</v>
      </c>
      <c r="D545" s="20" t="s">
        <v>1248</v>
      </c>
      <c r="E545" s="20"/>
      <c r="F545" s="6">
        <f>F546</f>
        <v>1311</v>
      </c>
      <c r="G545" s="6">
        <f>G546</f>
        <v>266.8</v>
      </c>
      <c r="H545" s="416">
        <f t="shared" si="106"/>
        <v>20.350877192982459</v>
      </c>
    </row>
    <row r="546" spans="1:8" ht="31.7" customHeight="1" x14ac:dyDescent="0.25">
      <c r="A546" s="25" t="s">
        <v>279</v>
      </c>
      <c r="B546" s="20" t="s">
        <v>271</v>
      </c>
      <c r="C546" s="20" t="s">
        <v>220</v>
      </c>
      <c r="D546" s="20" t="s">
        <v>1248</v>
      </c>
      <c r="E546" s="20" t="s">
        <v>280</v>
      </c>
      <c r="F546" s="6">
        <f t="shared" ref="F546:G546" si="110">F547</f>
        <v>1311</v>
      </c>
      <c r="G546" s="6">
        <f t="shared" si="110"/>
        <v>266.8</v>
      </c>
      <c r="H546" s="416">
        <f t="shared" si="106"/>
        <v>20.350877192982459</v>
      </c>
    </row>
    <row r="547" spans="1:8" ht="18" customHeight="1" x14ac:dyDescent="0.25">
      <c r="A547" s="25" t="s">
        <v>281</v>
      </c>
      <c r="B547" s="20" t="s">
        <v>271</v>
      </c>
      <c r="C547" s="20" t="s">
        <v>220</v>
      </c>
      <c r="D547" s="20" t="s">
        <v>1248</v>
      </c>
      <c r="E547" s="20" t="s">
        <v>282</v>
      </c>
      <c r="F547" s="6">
        <f>'Пр.4 ведом.21'!G616</f>
        <v>1311</v>
      </c>
      <c r="G547" s="6">
        <f>'Пр.4 ведом.21'!H616</f>
        <v>266.8</v>
      </c>
      <c r="H547" s="416">
        <f t="shared" si="106"/>
        <v>20.350877192982459</v>
      </c>
    </row>
    <row r="548" spans="1:8" ht="67.7" customHeight="1" x14ac:dyDescent="0.25">
      <c r="A548" s="31" t="s">
        <v>298</v>
      </c>
      <c r="B548" s="20" t="s">
        <v>271</v>
      </c>
      <c r="C548" s="20" t="s">
        <v>220</v>
      </c>
      <c r="D548" s="20" t="s">
        <v>1249</v>
      </c>
      <c r="E548" s="20"/>
      <c r="F548" s="6">
        <f>F549</f>
        <v>2300.2999999999997</v>
      </c>
      <c r="G548" s="6">
        <f>G549</f>
        <v>565</v>
      </c>
      <c r="H548" s="416">
        <f t="shared" si="106"/>
        <v>24.562013650393428</v>
      </c>
    </row>
    <row r="549" spans="1:8" ht="34.5" customHeight="1" x14ac:dyDescent="0.25">
      <c r="A549" s="25" t="s">
        <v>279</v>
      </c>
      <c r="B549" s="20" t="s">
        <v>271</v>
      </c>
      <c r="C549" s="20" t="s">
        <v>220</v>
      </c>
      <c r="D549" s="20" t="s">
        <v>1249</v>
      </c>
      <c r="E549" s="20" t="s">
        <v>280</v>
      </c>
      <c r="F549" s="6">
        <f t="shared" ref="F549:G549" si="111">F550</f>
        <v>2300.2999999999997</v>
      </c>
      <c r="G549" s="6">
        <f t="shared" si="111"/>
        <v>565</v>
      </c>
      <c r="H549" s="416">
        <f t="shared" si="106"/>
        <v>24.562013650393428</v>
      </c>
    </row>
    <row r="550" spans="1:8" ht="15.75" x14ac:dyDescent="0.25">
      <c r="A550" s="25" t="s">
        <v>281</v>
      </c>
      <c r="B550" s="20" t="s">
        <v>271</v>
      </c>
      <c r="C550" s="20" t="s">
        <v>220</v>
      </c>
      <c r="D550" s="20" t="s">
        <v>1249</v>
      </c>
      <c r="E550" s="20" t="s">
        <v>282</v>
      </c>
      <c r="F550" s="6">
        <f>'Пр.4 ведом.21'!G619</f>
        <v>2300.2999999999997</v>
      </c>
      <c r="G550" s="6">
        <f>'Пр.4 ведом.21'!H619</f>
        <v>565</v>
      </c>
      <c r="H550" s="416">
        <f t="shared" si="106"/>
        <v>24.562013650393428</v>
      </c>
    </row>
    <row r="551" spans="1:8" ht="47.25" x14ac:dyDescent="0.25">
      <c r="A551" s="31" t="s">
        <v>469</v>
      </c>
      <c r="B551" s="20" t="s">
        <v>271</v>
      </c>
      <c r="C551" s="20" t="s">
        <v>220</v>
      </c>
      <c r="D551" s="20" t="s">
        <v>1266</v>
      </c>
      <c r="E551" s="20"/>
      <c r="F551" s="6">
        <f>F552</f>
        <v>900</v>
      </c>
      <c r="G551" s="6">
        <f>G552</f>
        <v>275</v>
      </c>
      <c r="H551" s="416">
        <f t="shared" si="106"/>
        <v>30.555555555555557</v>
      </c>
    </row>
    <row r="552" spans="1:8" ht="36" customHeight="1" x14ac:dyDescent="0.25">
      <c r="A552" s="25" t="s">
        <v>279</v>
      </c>
      <c r="B552" s="20" t="s">
        <v>271</v>
      </c>
      <c r="C552" s="20" t="s">
        <v>220</v>
      </c>
      <c r="D552" s="20" t="s">
        <v>1266</v>
      </c>
      <c r="E552" s="20" t="s">
        <v>280</v>
      </c>
      <c r="F552" s="6">
        <f t="shared" ref="F552:G552" si="112">F553</f>
        <v>900</v>
      </c>
      <c r="G552" s="6">
        <f t="shared" si="112"/>
        <v>275</v>
      </c>
      <c r="H552" s="416">
        <f t="shared" si="106"/>
        <v>30.555555555555557</v>
      </c>
    </row>
    <row r="553" spans="1:8" ht="15.75" x14ac:dyDescent="0.25">
      <c r="A553" s="25" t="s">
        <v>281</v>
      </c>
      <c r="B553" s="20" t="s">
        <v>271</v>
      </c>
      <c r="C553" s="20" t="s">
        <v>220</v>
      </c>
      <c r="D553" s="20" t="s">
        <v>1266</v>
      </c>
      <c r="E553" s="20" t="s">
        <v>282</v>
      </c>
      <c r="F553" s="6">
        <f>'Пр.4 ведом.21'!G622</f>
        <v>900</v>
      </c>
      <c r="G553" s="6">
        <f>'Пр.4 ведом.21'!H622</f>
        <v>275</v>
      </c>
      <c r="H553" s="416">
        <f t="shared" si="106"/>
        <v>30.555555555555557</v>
      </c>
    </row>
    <row r="554" spans="1:8" ht="31.5" x14ac:dyDescent="0.25">
      <c r="A554" s="23" t="s">
        <v>1319</v>
      </c>
      <c r="B554" s="24" t="s">
        <v>271</v>
      </c>
      <c r="C554" s="24" t="s">
        <v>220</v>
      </c>
      <c r="D554" s="24" t="s">
        <v>1252</v>
      </c>
      <c r="E554" s="24"/>
      <c r="F554" s="4">
        <f>F555+F558+F561+F564</f>
        <v>224</v>
      </c>
      <c r="G554" s="4">
        <f>G555+G558+G561+G564</f>
        <v>70.900000000000006</v>
      </c>
      <c r="H554" s="441">
        <f t="shared" si="106"/>
        <v>31.651785714285719</v>
      </c>
    </row>
    <row r="555" spans="1:8" ht="36" hidden="1" customHeight="1" x14ac:dyDescent="0.25">
      <c r="A555" s="25" t="s">
        <v>447</v>
      </c>
      <c r="B555" s="20" t="s">
        <v>271</v>
      </c>
      <c r="C555" s="20" t="s">
        <v>220</v>
      </c>
      <c r="D555" s="20" t="s">
        <v>1332</v>
      </c>
      <c r="E555" s="20"/>
      <c r="F555" s="6">
        <f t="shared" ref="F555:G555" si="113">F556</f>
        <v>0</v>
      </c>
      <c r="G555" s="6">
        <f t="shared" si="113"/>
        <v>0</v>
      </c>
      <c r="H555" s="416" t="e">
        <f t="shared" si="106"/>
        <v>#DIV/0!</v>
      </c>
    </row>
    <row r="556" spans="1:8" ht="35.450000000000003" hidden="1" customHeight="1" x14ac:dyDescent="0.25">
      <c r="A556" s="25" t="s">
        <v>279</v>
      </c>
      <c r="B556" s="20" t="s">
        <v>271</v>
      </c>
      <c r="C556" s="20" t="s">
        <v>220</v>
      </c>
      <c r="D556" s="20" t="s">
        <v>1332</v>
      </c>
      <c r="E556" s="20" t="s">
        <v>280</v>
      </c>
      <c r="F556" s="6">
        <f>F557</f>
        <v>0</v>
      </c>
      <c r="G556" s="6">
        <f>G557</f>
        <v>0</v>
      </c>
      <c r="H556" s="416" t="e">
        <f t="shared" si="106"/>
        <v>#DIV/0!</v>
      </c>
    </row>
    <row r="557" spans="1:8" ht="15.75" hidden="1" x14ac:dyDescent="0.25">
      <c r="A557" s="25" t="s">
        <v>281</v>
      </c>
      <c r="B557" s="20" t="s">
        <v>271</v>
      </c>
      <c r="C557" s="20" t="s">
        <v>220</v>
      </c>
      <c r="D557" s="20" t="s">
        <v>1332</v>
      </c>
      <c r="E557" s="20" t="s">
        <v>282</v>
      </c>
      <c r="F557" s="6">
        <f>'Пр.4 ведом.21'!G626</f>
        <v>0</v>
      </c>
      <c r="G557" s="6">
        <f>'Пр.4 ведом.21'!H626</f>
        <v>0</v>
      </c>
      <c r="H557" s="416" t="e">
        <f t="shared" si="106"/>
        <v>#DIV/0!</v>
      </c>
    </row>
    <row r="558" spans="1:8" ht="31.5" hidden="1" x14ac:dyDescent="0.25">
      <c r="A558" s="25" t="s">
        <v>285</v>
      </c>
      <c r="B558" s="20" t="s">
        <v>271</v>
      </c>
      <c r="C558" s="20" t="s">
        <v>220</v>
      </c>
      <c r="D558" s="20" t="s">
        <v>1333</v>
      </c>
      <c r="E558" s="20"/>
      <c r="F558" s="6">
        <f t="shared" ref="F558:G558" si="114">F559</f>
        <v>0</v>
      </c>
      <c r="G558" s="6">
        <f t="shared" si="114"/>
        <v>0</v>
      </c>
      <c r="H558" s="416" t="e">
        <f t="shared" si="106"/>
        <v>#DIV/0!</v>
      </c>
    </row>
    <row r="559" spans="1:8" ht="37.5" hidden="1" customHeight="1" x14ac:dyDescent="0.25">
      <c r="A559" s="25" t="s">
        <v>279</v>
      </c>
      <c r="B559" s="20" t="s">
        <v>271</v>
      </c>
      <c r="C559" s="20" t="s">
        <v>220</v>
      </c>
      <c r="D559" s="20" t="s">
        <v>1333</v>
      </c>
      <c r="E559" s="20" t="s">
        <v>280</v>
      </c>
      <c r="F559" s="6">
        <f>F560</f>
        <v>0</v>
      </c>
      <c r="G559" s="6">
        <f>G560</f>
        <v>0</v>
      </c>
      <c r="H559" s="416" t="e">
        <f t="shared" si="106"/>
        <v>#DIV/0!</v>
      </c>
    </row>
    <row r="560" spans="1:8" ht="15.75" hidden="1" x14ac:dyDescent="0.25">
      <c r="A560" s="25" t="s">
        <v>281</v>
      </c>
      <c r="B560" s="20" t="s">
        <v>271</v>
      </c>
      <c r="C560" s="20" t="s">
        <v>220</v>
      </c>
      <c r="D560" s="20" t="s">
        <v>1333</v>
      </c>
      <c r="E560" s="20" t="s">
        <v>282</v>
      </c>
      <c r="F560" s="6">
        <f>'Пр.4 ведом.21'!G629</f>
        <v>0</v>
      </c>
      <c r="G560" s="6">
        <f>'Пр.4 ведом.21'!H629</f>
        <v>0</v>
      </c>
      <c r="H560" s="416" t="e">
        <f t="shared" si="106"/>
        <v>#DIV/0!</v>
      </c>
    </row>
    <row r="561" spans="1:8" ht="31.5" hidden="1" x14ac:dyDescent="0.25">
      <c r="A561" s="25" t="s">
        <v>287</v>
      </c>
      <c r="B561" s="20" t="s">
        <v>271</v>
      </c>
      <c r="C561" s="20" t="s">
        <v>220</v>
      </c>
      <c r="D561" s="20" t="s">
        <v>1334</v>
      </c>
      <c r="E561" s="20"/>
      <c r="F561" s="6">
        <f t="shared" ref="F561:G561" si="115">F562</f>
        <v>0</v>
      </c>
      <c r="G561" s="6">
        <f t="shared" si="115"/>
        <v>0</v>
      </c>
      <c r="H561" s="416" t="e">
        <f t="shared" si="106"/>
        <v>#DIV/0!</v>
      </c>
    </row>
    <row r="562" spans="1:8" ht="31.7" hidden="1" customHeight="1" x14ac:dyDescent="0.25">
      <c r="A562" s="25" t="s">
        <v>279</v>
      </c>
      <c r="B562" s="20" t="s">
        <v>271</v>
      </c>
      <c r="C562" s="20" t="s">
        <v>220</v>
      </c>
      <c r="D562" s="20" t="s">
        <v>1334</v>
      </c>
      <c r="E562" s="20" t="s">
        <v>280</v>
      </c>
      <c r="F562" s="6">
        <f>F563</f>
        <v>0</v>
      </c>
      <c r="G562" s="6">
        <f>G563</f>
        <v>0</v>
      </c>
      <c r="H562" s="416" t="e">
        <f t="shared" si="106"/>
        <v>#DIV/0!</v>
      </c>
    </row>
    <row r="563" spans="1:8" ht="15.75" hidden="1" x14ac:dyDescent="0.25">
      <c r="A563" s="25" t="s">
        <v>281</v>
      </c>
      <c r="B563" s="20" t="s">
        <v>271</v>
      </c>
      <c r="C563" s="20" t="s">
        <v>220</v>
      </c>
      <c r="D563" s="20" t="s">
        <v>1334</v>
      </c>
      <c r="E563" s="20" t="s">
        <v>282</v>
      </c>
      <c r="F563" s="6">
        <f>'Пр.4 ведом.21'!G632</f>
        <v>0</v>
      </c>
      <c r="G563" s="6">
        <f>'Пр.4 ведом.21'!H632</f>
        <v>0</v>
      </c>
      <c r="H563" s="416" t="e">
        <f t="shared" si="106"/>
        <v>#DIV/0!</v>
      </c>
    </row>
    <row r="564" spans="1:8" ht="31.5" x14ac:dyDescent="0.25">
      <c r="A564" s="25" t="s">
        <v>289</v>
      </c>
      <c r="B564" s="20" t="s">
        <v>271</v>
      </c>
      <c r="C564" s="20" t="s">
        <v>220</v>
      </c>
      <c r="D564" s="20" t="s">
        <v>1268</v>
      </c>
      <c r="E564" s="20"/>
      <c r="F564" s="6">
        <f t="shared" ref="F564:G564" si="116">F565</f>
        <v>224</v>
      </c>
      <c r="G564" s="6">
        <f t="shared" si="116"/>
        <v>70.900000000000006</v>
      </c>
      <c r="H564" s="416">
        <f t="shared" si="106"/>
        <v>31.651785714285719</v>
      </c>
    </row>
    <row r="565" spans="1:8" ht="36" customHeight="1" x14ac:dyDescent="0.25">
      <c r="A565" s="25" t="s">
        <v>279</v>
      </c>
      <c r="B565" s="20" t="s">
        <v>271</v>
      </c>
      <c r="C565" s="20" t="s">
        <v>220</v>
      </c>
      <c r="D565" s="20" t="s">
        <v>1268</v>
      </c>
      <c r="E565" s="20" t="s">
        <v>280</v>
      </c>
      <c r="F565" s="6">
        <f>F566</f>
        <v>224</v>
      </c>
      <c r="G565" s="6">
        <f>G566</f>
        <v>70.900000000000006</v>
      </c>
      <c r="H565" s="416">
        <f t="shared" si="106"/>
        <v>31.651785714285719</v>
      </c>
    </row>
    <row r="566" spans="1:8" ht="15" customHeight="1" x14ac:dyDescent="0.25">
      <c r="A566" s="25" t="s">
        <v>281</v>
      </c>
      <c r="B566" s="20" t="s">
        <v>271</v>
      </c>
      <c r="C566" s="20" t="s">
        <v>220</v>
      </c>
      <c r="D566" s="20" t="s">
        <v>1268</v>
      </c>
      <c r="E566" s="20" t="s">
        <v>282</v>
      </c>
      <c r="F566" s="6">
        <f>'Пр.4 ведом.21'!G635</f>
        <v>224</v>
      </c>
      <c r="G566" s="6">
        <f>'Пр.4 ведом.21'!H635</f>
        <v>70.900000000000006</v>
      </c>
      <c r="H566" s="416">
        <f t="shared" si="106"/>
        <v>31.651785714285719</v>
      </c>
    </row>
    <row r="567" spans="1:8" s="202" customFormat="1" ht="36.75" customHeight="1" x14ac:dyDescent="0.25">
      <c r="A567" s="214" t="s">
        <v>958</v>
      </c>
      <c r="B567" s="24" t="s">
        <v>271</v>
      </c>
      <c r="C567" s="24" t="s">
        <v>220</v>
      </c>
      <c r="D567" s="24" t="s">
        <v>1255</v>
      </c>
      <c r="E567" s="24"/>
      <c r="F567" s="4">
        <f>F568+F571</f>
        <v>2700</v>
      </c>
      <c r="G567" s="4">
        <f>G568+G571</f>
        <v>2700</v>
      </c>
      <c r="H567" s="441">
        <f t="shared" si="106"/>
        <v>100</v>
      </c>
    </row>
    <row r="568" spans="1:8" s="202" customFormat="1" ht="34.5" hidden="1" customHeight="1" x14ac:dyDescent="0.25">
      <c r="A568" s="25" t="s">
        <v>291</v>
      </c>
      <c r="B568" s="20" t="s">
        <v>271</v>
      </c>
      <c r="C568" s="20" t="s">
        <v>220</v>
      </c>
      <c r="D568" s="20" t="s">
        <v>1273</v>
      </c>
      <c r="E568" s="20"/>
      <c r="F568" s="6">
        <f>F569</f>
        <v>0</v>
      </c>
      <c r="G568" s="6">
        <f>G569</f>
        <v>0</v>
      </c>
      <c r="H568" s="416" t="e">
        <f t="shared" si="106"/>
        <v>#DIV/0!</v>
      </c>
    </row>
    <row r="569" spans="1:8" s="202" customFormat="1" ht="41.25" hidden="1" customHeight="1" x14ac:dyDescent="0.25">
      <c r="A569" s="25" t="s">
        <v>279</v>
      </c>
      <c r="B569" s="20" t="s">
        <v>271</v>
      </c>
      <c r="C569" s="20" t="s">
        <v>220</v>
      </c>
      <c r="D569" s="20" t="s">
        <v>1273</v>
      </c>
      <c r="E569" s="20" t="s">
        <v>280</v>
      </c>
      <c r="F569" s="6">
        <f>F570</f>
        <v>0</v>
      </c>
      <c r="G569" s="6">
        <f>G570</f>
        <v>0</v>
      </c>
      <c r="H569" s="416" t="e">
        <f t="shared" si="106"/>
        <v>#DIV/0!</v>
      </c>
    </row>
    <row r="570" spans="1:8" s="202" customFormat="1" ht="15" hidden="1" customHeight="1" x14ac:dyDescent="0.25">
      <c r="A570" s="25" t="s">
        <v>281</v>
      </c>
      <c r="B570" s="20" t="s">
        <v>271</v>
      </c>
      <c r="C570" s="20" t="s">
        <v>220</v>
      </c>
      <c r="D570" s="20" t="s">
        <v>1273</v>
      </c>
      <c r="E570" s="20" t="s">
        <v>282</v>
      </c>
      <c r="F570" s="6">
        <f>'Пр.4 ведом.21'!G639</f>
        <v>0</v>
      </c>
      <c r="G570" s="6">
        <f>'Пр.4 ведом.21'!H639</f>
        <v>0</v>
      </c>
      <c r="H570" s="416" t="e">
        <f t="shared" si="106"/>
        <v>#DIV/0!</v>
      </c>
    </row>
    <row r="571" spans="1:8" s="202" customFormat="1" ht="36.75" customHeight="1" x14ac:dyDescent="0.25">
      <c r="A571" s="60" t="s">
        <v>774</v>
      </c>
      <c r="B571" s="20" t="s">
        <v>271</v>
      </c>
      <c r="C571" s="20" t="s">
        <v>220</v>
      </c>
      <c r="D571" s="20" t="s">
        <v>1256</v>
      </c>
      <c r="E571" s="20"/>
      <c r="F571" s="6">
        <f>F572</f>
        <v>2700</v>
      </c>
      <c r="G571" s="6">
        <f>G572</f>
        <v>2700</v>
      </c>
      <c r="H571" s="416">
        <f t="shared" si="106"/>
        <v>100</v>
      </c>
    </row>
    <row r="572" spans="1:8" s="202" customFormat="1" ht="45.75" customHeight="1" x14ac:dyDescent="0.25">
      <c r="A572" s="29" t="s">
        <v>279</v>
      </c>
      <c r="B572" s="20" t="s">
        <v>271</v>
      </c>
      <c r="C572" s="20" t="s">
        <v>220</v>
      </c>
      <c r="D572" s="20" t="s">
        <v>1256</v>
      </c>
      <c r="E572" s="20" t="s">
        <v>280</v>
      </c>
      <c r="F572" s="6">
        <f>F573</f>
        <v>2700</v>
      </c>
      <c r="G572" s="6">
        <f>G573</f>
        <v>2700</v>
      </c>
      <c r="H572" s="416">
        <f t="shared" si="106"/>
        <v>100</v>
      </c>
    </row>
    <row r="573" spans="1:8" s="202" customFormat="1" ht="15" customHeight="1" x14ac:dyDescent="0.25">
      <c r="A573" s="184" t="s">
        <v>281</v>
      </c>
      <c r="B573" s="20" t="s">
        <v>271</v>
      </c>
      <c r="C573" s="20" t="s">
        <v>220</v>
      </c>
      <c r="D573" s="20" t="s">
        <v>1256</v>
      </c>
      <c r="E573" s="20" t="s">
        <v>282</v>
      </c>
      <c r="F573" s="6">
        <f>'Пр.4 ведом.21'!G642</f>
        <v>2700</v>
      </c>
      <c r="G573" s="6">
        <f>'Пр.4 ведом.21'!H642</f>
        <v>2700</v>
      </c>
      <c r="H573" s="416">
        <f t="shared" si="106"/>
        <v>100</v>
      </c>
    </row>
    <row r="574" spans="1:8" ht="35.450000000000003" customHeight="1" x14ac:dyDescent="0.25">
      <c r="A574" s="23" t="s">
        <v>948</v>
      </c>
      <c r="B574" s="24" t="s">
        <v>271</v>
      </c>
      <c r="C574" s="24" t="s">
        <v>220</v>
      </c>
      <c r="D574" s="24" t="s">
        <v>1269</v>
      </c>
      <c r="E574" s="24"/>
      <c r="F574" s="4">
        <f t="shared" ref="F574:G576" si="117">F575</f>
        <v>3731.8</v>
      </c>
      <c r="G574" s="4">
        <f t="shared" si="117"/>
        <v>424.23200000000003</v>
      </c>
      <c r="H574" s="441">
        <f t="shared" si="106"/>
        <v>11.3680261535988</v>
      </c>
    </row>
    <row r="575" spans="1:8" s="202" customFormat="1" ht="49.7" customHeight="1" x14ac:dyDescent="0.25">
      <c r="A575" s="29" t="s">
        <v>610</v>
      </c>
      <c r="B575" s="20" t="s">
        <v>271</v>
      </c>
      <c r="C575" s="20" t="s">
        <v>220</v>
      </c>
      <c r="D575" s="20" t="s">
        <v>1270</v>
      </c>
      <c r="E575" s="20"/>
      <c r="F575" s="6">
        <f t="shared" si="117"/>
        <v>3731.8</v>
      </c>
      <c r="G575" s="6">
        <f t="shared" si="117"/>
        <v>424.23200000000003</v>
      </c>
      <c r="H575" s="416">
        <f t="shared" si="106"/>
        <v>11.3680261535988</v>
      </c>
    </row>
    <row r="576" spans="1:8" s="202" customFormat="1" ht="38.25" customHeight="1" x14ac:dyDescent="0.25">
      <c r="A576" s="25" t="s">
        <v>279</v>
      </c>
      <c r="B576" s="20" t="s">
        <v>271</v>
      </c>
      <c r="C576" s="20" t="s">
        <v>220</v>
      </c>
      <c r="D576" s="20" t="s">
        <v>1270</v>
      </c>
      <c r="E576" s="20" t="s">
        <v>280</v>
      </c>
      <c r="F576" s="6">
        <f t="shared" si="117"/>
        <v>3731.8</v>
      </c>
      <c r="G576" s="6">
        <f t="shared" si="117"/>
        <v>424.23200000000003</v>
      </c>
      <c r="H576" s="416">
        <f t="shared" si="106"/>
        <v>11.3680261535988</v>
      </c>
    </row>
    <row r="577" spans="1:8" s="202" customFormat="1" ht="14.25" customHeight="1" x14ac:dyDescent="0.25">
      <c r="A577" s="25" t="s">
        <v>281</v>
      </c>
      <c r="B577" s="20" t="s">
        <v>271</v>
      </c>
      <c r="C577" s="20" t="s">
        <v>220</v>
      </c>
      <c r="D577" s="20" t="s">
        <v>1270</v>
      </c>
      <c r="E577" s="20" t="s">
        <v>282</v>
      </c>
      <c r="F577" s="6">
        <f>'Пр.4 ведом.21'!G646</f>
        <v>3731.8</v>
      </c>
      <c r="G577" s="6">
        <f>'Пр.4 ведом.21'!H646</f>
        <v>424.23200000000003</v>
      </c>
      <c r="H577" s="416">
        <f t="shared" si="106"/>
        <v>11.3680261535988</v>
      </c>
    </row>
    <row r="578" spans="1:8" ht="32.25" customHeight="1" x14ac:dyDescent="0.25">
      <c r="A578" s="23" t="s">
        <v>949</v>
      </c>
      <c r="B578" s="24" t="s">
        <v>271</v>
      </c>
      <c r="C578" s="24" t="s">
        <v>220</v>
      </c>
      <c r="D578" s="24" t="s">
        <v>1271</v>
      </c>
      <c r="E578" s="24"/>
      <c r="F578" s="4">
        <f t="shared" ref="F578:G580" si="118">F579</f>
        <v>1384.6</v>
      </c>
      <c r="G578" s="4">
        <f t="shared" si="118"/>
        <v>276</v>
      </c>
      <c r="H578" s="441">
        <f t="shared" si="106"/>
        <v>19.933554817275748</v>
      </c>
    </row>
    <row r="579" spans="1:8" ht="48.75" customHeight="1" x14ac:dyDescent="0.25">
      <c r="A579" s="25" t="s">
        <v>445</v>
      </c>
      <c r="B579" s="20" t="s">
        <v>271</v>
      </c>
      <c r="C579" s="20" t="s">
        <v>220</v>
      </c>
      <c r="D579" s="20" t="s">
        <v>1272</v>
      </c>
      <c r="E579" s="20"/>
      <c r="F579" s="6">
        <f t="shared" si="118"/>
        <v>1384.6</v>
      </c>
      <c r="G579" s="6">
        <f t="shared" si="118"/>
        <v>276</v>
      </c>
      <c r="H579" s="416">
        <f t="shared" si="106"/>
        <v>19.933554817275748</v>
      </c>
    </row>
    <row r="580" spans="1:8" ht="37.5" customHeight="1" x14ac:dyDescent="0.25">
      <c r="A580" s="25" t="s">
        <v>279</v>
      </c>
      <c r="B580" s="20" t="s">
        <v>271</v>
      </c>
      <c r="C580" s="20" t="s">
        <v>220</v>
      </c>
      <c r="D580" s="20" t="s">
        <v>1272</v>
      </c>
      <c r="E580" s="20" t="s">
        <v>280</v>
      </c>
      <c r="F580" s="6">
        <f t="shared" si="118"/>
        <v>1384.6</v>
      </c>
      <c r="G580" s="6">
        <f t="shared" si="118"/>
        <v>276</v>
      </c>
      <c r="H580" s="416">
        <f t="shared" si="106"/>
        <v>19.933554817275748</v>
      </c>
    </row>
    <row r="581" spans="1:8" ht="15" customHeight="1" x14ac:dyDescent="0.25">
      <c r="A581" s="25" t="s">
        <v>281</v>
      </c>
      <c r="B581" s="20" t="s">
        <v>271</v>
      </c>
      <c r="C581" s="20" t="s">
        <v>220</v>
      </c>
      <c r="D581" s="20" t="s">
        <v>1272</v>
      </c>
      <c r="E581" s="20" t="s">
        <v>282</v>
      </c>
      <c r="F581" s="6">
        <f>'Пр.4 ведом.21'!G650</f>
        <v>1384.6</v>
      </c>
      <c r="G581" s="6">
        <f>'Пр.4 ведом.21'!H650</f>
        <v>276</v>
      </c>
      <c r="H581" s="416">
        <f t="shared" si="106"/>
        <v>19.933554817275748</v>
      </c>
    </row>
    <row r="582" spans="1:8" ht="31.7" customHeight="1" x14ac:dyDescent="0.25">
      <c r="A582" s="212" t="s">
        <v>950</v>
      </c>
      <c r="B582" s="24" t="s">
        <v>271</v>
      </c>
      <c r="C582" s="24" t="s">
        <v>220</v>
      </c>
      <c r="D582" s="24" t="s">
        <v>1274</v>
      </c>
      <c r="E582" s="24"/>
      <c r="F582" s="4">
        <f>F583</f>
        <v>752.9</v>
      </c>
      <c r="G582" s="4">
        <f>G583</f>
        <v>148.57</v>
      </c>
      <c r="H582" s="441">
        <f t="shared" si="106"/>
        <v>19.73303227520255</v>
      </c>
    </row>
    <row r="583" spans="1:8" ht="51" customHeight="1" x14ac:dyDescent="0.25">
      <c r="A583" s="184" t="s">
        <v>838</v>
      </c>
      <c r="B583" s="20" t="s">
        <v>271</v>
      </c>
      <c r="C583" s="20" t="s">
        <v>220</v>
      </c>
      <c r="D583" s="20" t="s">
        <v>1444</v>
      </c>
      <c r="E583" s="20"/>
      <c r="F583" s="6">
        <f t="shared" ref="F583:G583" si="119">F584</f>
        <v>752.9</v>
      </c>
      <c r="G583" s="6">
        <f t="shared" si="119"/>
        <v>148.57</v>
      </c>
      <c r="H583" s="416">
        <f t="shared" si="106"/>
        <v>19.73303227520255</v>
      </c>
    </row>
    <row r="584" spans="1:8" ht="33" customHeight="1" x14ac:dyDescent="0.25">
      <c r="A584" s="31" t="s">
        <v>279</v>
      </c>
      <c r="B584" s="20" t="s">
        <v>271</v>
      </c>
      <c r="C584" s="20" t="s">
        <v>220</v>
      </c>
      <c r="D584" s="20" t="s">
        <v>1444</v>
      </c>
      <c r="E584" s="20" t="s">
        <v>280</v>
      </c>
      <c r="F584" s="6">
        <f>F585</f>
        <v>752.9</v>
      </c>
      <c r="G584" s="6">
        <f>G585</f>
        <v>148.57</v>
      </c>
      <c r="H584" s="416">
        <f t="shared" si="106"/>
        <v>19.73303227520255</v>
      </c>
    </row>
    <row r="585" spans="1:8" ht="15.75" x14ac:dyDescent="0.25">
      <c r="A585" s="31" t="s">
        <v>281</v>
      </c>
      <c r="B585" s="20" t="s">
        <v>271</v>
      </c>
      <c r="C585" s="20" t="s">
        <v>220</v>
      </c>
      <c r="D585" s="20" t="s">
        <v>1444</v>
      </c>
      <c r="E585" s="20" t="s">
        <v>282</v>
      </c>
      <c r="F585" s="6">
        <f>'Пр.4 ведом.21'!G654</f>
        <v>752.9</v>
      </c>
      <c r="G585" s="6">
        <f>'Пр.4 ведом.21'!H654</f>
        <v>148.57</v>
      </c>
      <c r="H585" s="416">
        <f t="shared" si="106"/>
        <v>19.73303227520255</v>
      </c>
    </row>
    <row r="586" spans="1:8" s="202" customFormat="1" ht="31.5" x14ac:dyDescent="0.25">
      <c r="A586" s="289" t="s">
        <v>1422</v>
      </c>
      <c r="B586" s="24" t="s">
        <v>271</v>
      </c>
      <c r="C586" s="24" t="s">
        <v>220</v>
      </c>
      <c r="D586" s="24" t="s">
        <v>1421</v>
      </c>
      <c r="E586" s="24"/>
      <c r="F586" s="21">
        <f t="shared" ref="F586:G588" si="120">F587</f>
        <v>5296.5999999999995</v>
      </c>
      <c r="G586" s="21">
        <f t="shared" si="120"/>
        <v>1324.577</v>
      </c>
      <c r="H586" s="441">
        <f t="shared" si="106"/>
        <v>25.008061775478613</v>
      </c>
    </row>
    <row r="587" spans="1:8" ht="63" x14ac:dyDescent="0.25">
      <c r="A587" s="288" t="s">
        <v>1408</v>
      </c>
      <c r="B587" s="20" t="s">
        <v>271</v>
      </c>
      <c r="C587" s="20" t="s">
        <v>220</v>
      </c>
      <c r="D587" s="20" t="s">
        <v>1475</v>
      </c>
      <c r="E587" s="20"/>
      <c r="F587" s="26">
        <f t="shared" si="120"/>
        <v>5296.5999999999995</v>
      </c>
      <c r="G587" s="26">
        <f t="shared" si="120"/>
        <v>1324.577</v>
      </c>
      <c r="H587" s="416">
        <f t="shared" ref="H587:H650" si="121">G587/F587*100</f>
        <v>25.008061775478613</v>
      </c>
    </row>
    <row r="588" spans="1:8" ht="31.5" x14ac:dyDescent="0.25">
      <c r="A588" s="31" t="s">
        <v>279</v>
      </c>
      <c r="B588" s="20" t="s">
        <v>271</v>
      </c>
      <c r="C588" s="20" t="s">
        <v>220</v>
      </c>
      <c r="D588" s="20" t="s">
        <v>1475</v>
      </c>
      <c r="E588" s="20" t="s">
        <v>280</v>
      </c>
      <c r="F588" s="26">
        <f t="shared" si="120"/>
        <v>5296.5999999999995</v>
      </c>
      <c r="G588" s="26">
        <f t="shared" si="120"/>
        <v>1324.577</v>
      </c>
      <c r="H588" s="416">
        <f t="shared" si="121"/>
        <v>25.008061775478613</v>
      </c>
    </row>
    <row r="589" spans="1:8" ht="15.75" x14ac:dyDescent="0.25">
      <c r="A589" s="31" t="s">
        <v>281</v>
      </c>
      <c r="B589" s="20" t="s">
        <v>271</v>
      </c>
      <c r="C589" s="20" t="s">
        <v>220</v>
      </c>
      <c r="D589" s="20" t="s">
        <v>1475</v>
      </c>
      <c r="E589" s="20" t="s">
        <v>282</v>
      </c>
      <c r="F589" s="26">
        <f>'Пр.4 ведом.21'!G658</f>
        <v>5296.5999999999995</v>
      </c>
      <c r="G589" s="26">
        <f>'Пр.4 ведом.21'!H658</f>
        <v>1324.577</v>
      </c>
      <c r="H589" s="416">
        <f t="shared" si="121"/>
        <v>25.008061775478613</v>
      </c>
    </row>
    <row r="590" spans="1:8" s="202" customFormat="1" ht="31.5" x14ac:dyDescent="0.25">
      <c r="A590" s="289" t="s">
        <v>1450</v>
      </c>
      <c r="B590" s="24" t="s">
        <v>271</v>
      </c>
      <c r="C590" s="24" t="s">
        <v>220</v>
      </c>
      <c r="D590" s="24" t="s">
        <v>1432</v>
      </c>
      <c r="E590" s="24"/>
      <c r="F590" s="21">
        <f t="shared" ref="F590:G592" si="122">F591</f>
        <v>1714</v>
      </c>
      <c r="G590" s="21">
        <f t="shared" si="122"/>
        <v>0</v>
      </c>
      <c r="H590" s="441">
        <f t="shared" si="121"/>
        <v>0</v>
      </c>
    </row>
    <row r="591" spans="1:8" s="202" customFormat="1" ht="31.5" x14ac:dyDescent="0.25">
      <c r="A591" s="288" t="s">
        <v>1433</v>
      </c>
      <c r="B591" s="20" t="s">
        <v>271</v>
      </c>
      <c r="C591" s="20" t="s">
        <v>220</v>
      </c>
      <c r="D591" s="20" t="s">
        <v>1434</v>
      </c>
      <c r="E591" s="20"/>
      <c r="F591" s="26">
        <f t="shared" si="122"/>
        <v>1714</v>
      </c>
      <c r="G591" s="26">
        <f t="shared" si="122"/>
        <v>0</v>
      </c>
      <c r="H591" s="416">
        <f t="shared" si="121"/>
        <v>0</v>
      </c>
    </row>
    <row r="592" spans="1:8" s="202" customFormat="1" ht="31.5" x14ac:dyDescent="0.25">
      <c r="A592" s="31" t="s">
        <v>279</v>
      </c>
      <c r="B592" s="20" t="s">
        <v>271</v>
      </c>
      <c r="C592" s="20" t="s">
        <v>220</v>
      </c>
      <c r="D592" s="20" t="s">
        <v>1434</v>
      </c>
      <c r="E592" s="20" t="s">
        <v>280</v>
      </c>
      <c r="F592" s="26">
        <f t="shared" si="122"/>
        <v>1714</v>
      </c>
      <c r="G592" s="26">
        <f t="shared" si="122"/>
        <v>0</v>
      </c>
      <c r="H592" s="416">
        <f t="shared" si="121"/>
        <v>0</v>
      </c>
    </row>
    <row r="593" spans="1:8" s="202" customFormat="1" ht="15.75" x14ac:dyDescent="0.25">
      <c r="A593" s="31" t="s">
        <v>281</v>
      </c>
      <c r="B593" s="20" t="s">
        <v>271</v>
      </c>
      <c r="C593" s="20" t="s">
        <v>220</v>
      </c>
      <c r="D593" s="20" t="s">
        <v>1434</v>
      </c>
      <c r="E593" s="20" t="s">
        <v>282</v>
      </c>
      <c r="F593" s="26">
        <f>'Пр.4 ведом.21'!G662</f>
        <v>1714</v>
      </c>
      <c r="G593" s="26">
        <f>'Пр.4 ведом.21'!H662</f>
        <v>0</v>
      </c>
      <c r="H593" s="416">
        <f t="shared" si="121"/>
        <v>0</v>
      </c>
    </row>
    <row r="594" spans="1:8" s="202" customFormat="1" ht="47.25" x14ac:dyDescent="0.25">
      <c r="A594" s="212" t="s">
        <v>1186</v>
      </c>
      <c r="B594" s="24" t="s">
        <v>271</v>
      </c>
      <c r="C594" s="24" t="s">
        <v>220</v>
      </c>
      <c r="D594" s="24" t="s">
        <v>1335</v>
      </c>
      <c r="E594" s="24"/>
      <c r="F594" s="21">
        <f t="shared" ref="F594:G596" si="123">F595</f>
        <v>1570.7</v>
      </c>
      <c r="G594" s="21">
        <f t="shared" si="123"/>
        <v>0</v>
      </c>
      <c r="H594" s="441">
        <f t="shared" si="121"/>
        <v>0</v>
      </c>
    </row>
    <row r="595" spans="1:8" s="202" customFormat="1" ht="66.599999999999994" customHeight="1" x14ac:dyDescent="0.25">
      <c r="A595" s="184" t="s">
        <v>1570</v>
      </c>
      <c r="B595" s="20" t="s">
        <v>271</v>
      </c>
      <c r="C595" s="20" t="s">
        <v>220</v>
      </c>
      <c r="D595" s="20" t="s">
        <v>1336</v>
      </c>
      <c r="E595" s="20"/>
      <c r="F595" s="26">
        <f t="shared" si="123"/>
        <v>1570.7</v>
      </c>
      <c r="G595" s="26">
        <f t="shared" si="123"/>
        <v>0</v>
      </c>
      <c r="H595" s="416">
        <f t="shared" si="121"/>
        <v>0</v>
      </c>
    </row>
    <row r="596" spans="1:8" s="202" customFormat="1" ht="31.5" x14ac:dyDescent="0.25">
      <c r="A596" s="31" t="s">
        <v>279</v>
      </c>
      <c r="B596" s="20" t="s">
        <v>271</v>
      </c>
      <c r="C596" s="20" t="s">
        <v>220</v>
      </c>
      <c r="D596" s="20" t="s">
        <v>1336</v>
      </c>
      <c r="E596" s="20" t="s">
        <v>280</v>
      </c>
      <c r="F596" s="26">
        <f t="shared" si="123"/>
        <v>1570.7</v>
      </c>
      <c r="G596" s="26">
        <f t="shared" si="123"/>
        <v>0</v>
      </c>
      <c r="H596" s="416">
        <f t="shared" si="121"/>
        <v>0</v>
      </c>
    </row>
    <row r="597" spans="1:8" s="202" customFormat="1" ht="15.75" x14ac:dyDescent="0.25">
      <c r="A597" s="31" t="s">
        <v>281</v>
      </c>
      <c r="B597" s="20" t="s">
        <v>271</v>
      </c>
      <c r="C597" s="20" t="s">
        <v>220</v>
      </c>
      <c r="D597" s="20" t="s">
        <v>1336</v>
      </c>
      <c r="E597" s="20" t="s">
        <v>282</v>
      </c>
      <c r="F597" s="26">
        <f>'Пр.4 ведом.21'!G666</f>
        <v>1570.7</v>
      </c>
      <c r="G597" s="26">
        <f>'Пр.4 ведом.21'!H666</f>
        <v>0</v>
      </c>
      <c r="H597" s="416">
        <f t="shared" si="121"/>
        <v>0</v>
      </c>
    </row>
    <row r="598" spans="1:8" s="202" customFormat="1" ht="31.5" x14ac:dyDescent="0.25">
      <c r="A598" s="34" t="s">
        <v>1506</v>
      </c>
      <c r="B598" s="24" t="s">
        <v>271</v>
      </c>
      <c r="C598" s="24" t="s">
        <v>220</v>
      </c>
      <c r="D598" s="24" t="s">
        <v>1507</v>
      </c>
      <c r="E598" s="20"/>
      <c r="F598" s="21">
        <f t="shared" ref="F598:G600" si="124">F599</f>
        <v>2692.1</v>
      </c>
      <c r="G598" s="21">
        <f t="shared" si="124"/>
        <v>0</v>
      </c>
      <c r="H598" s="441">
        <f t="shared" si="121"/>
        <v>0</v>
      </c>
    </row>
    <row r="599" spans="1:8" s="202" customFormat="1" ht="51" customHeight="1" x14ac:dyDescent="0.25">
      <c r="A599" s="31" t="s">
        <v>1571</v>
      </c>
      <c r="B599" s="20" t="s">
        <v>271</v>
      </c>
      <c r="C599" s="20" t="s">
        <v>220</v>
      </c>
      <c r="D599" s="20" t="s">
        <v>1508</v>
      </c>
      <c r="E599" s="20"/>
      <c r="F599" s="26">
        <f t="shared" si="124"/>
        <v>2692.1</v>
      </c>
      <c r="G599" s="26">
        <f t="shared" si="124"/>
        <v>0</v>
      </c>
      <c r="H599" s="416">
        <f t="shared" si="121"/>
        <v>0</v>
      </c>
    </row>
    <row r="600" spans="1:8" s="202" customFormat="1" ht="31.5" x14ac:dyDescent="0.25">
      <c r="A600" s="31" t="s">
        <v>279</v>
      </c>
      <c r="B600" s="20" t="s">
        <v>271</v>
      </c>
      <c r="C600" s="20" t="s">
        <v>220</v>
      </c>
      <c r="D600" s="20" t="s">
        <v>1508</v>
      </c>
      <c r="E600" s="20" t="s">
        <v>280</v>
      </c>
      <c r="F600" s="26">
        <f t="shared" si="124"/>
        <v>2692.1</v>
      </c>
      <c r="G600" s="26">
        <f t="shared" si="124"/>
        <v>0</v>
      </c>
      <c r="H600" s="416">
        <f t="shared" si="121"/>
        <v>0</v>
      </c>
    </row>
    <row r="601" spans="1:8" s="202" customFormat="1" ht="15.75" x14ac:dyDescent="0.25">
      <c r="A601" s="31" t="s">
        <v>281</v>
      </c>
      <c r="B601" s="20" t="s">
        <v>271</v>
      </c>
      <c r="C601" s="20" t="s">
        <v>220</v>
      </c>
      <c r="D601" s="20" t="s">
        <v>1508</v>
      </c>
      <c r="E601" s="20" t="s">
        <v>282</v>
      </c>
      <c r="F601" s="26">
        <f>'Пр.4 ведом.21'!G670</f>
        <v>2692.1</v>
      </c>
      <c r="G601" s="26">
        <f>'Пр.4 ведом.21'!H670</f>
        <v>0</v>
      </c>
      <c r="H601" s="416">
        <f t="shared" si="121"/>
        <v>0</v>
      </c>
    </row>
    <row r="602" spans="1:8" s="202" customFormat="1" ht="47.25" hidden="1" x14ac:dyDescent="0.25">
      <c r="A602" s="34" t="s">
        <v>1374</v>
      </c>
      <c r="B602" s="24" t="s">
        <v>271</v>
      </c>
      <c r="C602" s="24" t="s">
        <v>220</v>
      </c>
      <c r="D602" s="24" t="s">
        <v>331</v>
      </c>
      <c r="E602" s="24"/>
      <c r="F602" s="4">
        <f t="shared" ref="F602:G602" si="125">F603</f>
        <v>0</v>
      </c>
      <c r="G602" s="4">
        <f t="shared" si="125"/>
        <v>0</v>
      </c>
      <c r="H602" s="416" t="e">
        <f t="shared" si="121"/>
        <v>#DIV/0!</v>
      </c>
    </row>
    <row r="603" spans="1:8" s="202" customFormat="1" ht="63" hidden="1" x14ac:dyDescent="0.25">
      <c r="A603" s="34" t="s">
        <v>1034</v>
      </c>
      <c r="B603" s="24" t="s">
        <v>271</v>
      </c>
      <c r="C603" s="24" t="s">
        <v>220</v>
      </c>
      <c r="D603" s="24" t="s">
        <v>944</v>
      </c>
      <c r="E603" s="24"/>
      <c r="F603" s="4">
        <f>F604</f>
        <v>0</v>
      </c>
      <c r="G603" s="4">
        <f>G604</f>
        <v>0</v>
      </c>
      <c r="H603" s="416" t="e">
        <f t="shared" si="121"/>
        <v>#DIV/0!</v>
      </c>
    </row>
    <row r="604" spans="1:8" s="202" customFormat="1" ht="47.25" hidden="1" x14ac:dyDescent="0.25">
      <c r="A604" s="31" t="s">
        <v>1018</v>
      </c>
      <c r="B604" s="20" t="s">
        <v>271</v>
      </c>
      <c r="C604" s="20" t="s">
        <v>220</v>
      </c>
      <c r="D604" s="20" t="s">
        <v>945</v>
      </c>
      <c r="E604" s="20"/>
      <c r="F604" s="6">
        <f t="shared" ref="F604:G605" si="126">F605</f>
        <v>0</v>
      </c>
      <c r="G604" s="6">
        <f t="shared" si="126"/>
        <v>0</v>
      </c>
      <c r="H604" s="416" t="e">
        <f t="shared" si="121"/>
        <v>#DIV/0!</v>
      </c>
    </row>
    <row r="605" spans="1:8" s="202" customFormat="1" ht="31.5" hidden="1" x14ac:dyDescent="0.25">
      <c r="A605" s="31" t="s">
        <v>279</v>
      </c>
      <c r="B605" s="20" t="s">
        <v>271</v>
      </c>
      <c r="C605" s="20" t="s">
        <v>220</v>
      </c>
      <c r="D605" s="20" t="s">
        <v>945</v>
      </c>
      <c r="E605" s="20" t="s">
        <v>280</v>
      </c>
      <c r="F605" s="6">
        <f t="shared" si="126"/>
        <v>0</v>
      </c>
      <c r="G605" s="6">
        <f t="shared" si="126"/>
        <v>0</v>
      </c>
      <c r="H605" s="416" t="e">
        <f t="shared" si="121"/>
        <v>#DIV/0!</v>
      </c>
    </row>
    <row r="606" spans="1:8" s="202" customFormat="1" ht="15.75" hidden="1" x14ac:dyDescent="0.25">
      <c r="A606" s="31" t="s">
        <v>281</v>
      </c>
      <c r="B606" s="20" t="s">
        <v>271</v>
      </c>
      <c r="C606" s="20" t="s">
        <v>220</v>
      </c>
      <c r="D606" s="20" t="s">
        <v>945</v>
      </c>
      <c r="E606" s="20" t="s">
        <v>282</v>
      </c>
      <c r="F606" s="6">
        <f>'Пр.4 ведом.21'!G675</f>
        <v>0</v>
      </c>
      <c r="G606" s="6">
        <f>'Пр.4 ведом.21'!H675</f>
        <v>0</v>
      </c>
      <c r="H606" s="416" t="e">
        <f t="shared" si="121"/>
        <v>#DIV/0!</v>
      </c>
    </row>
    <row r="607" spans="1:8" ht="47.25" x14ac:dyDescent="0.25">
      <c r="A607" s="41" t="s">
        <v>1369</v>
      </c>
      <c r="B607" s="24" t="s">
        <v>271</v>
      </c>
      <c r="C607" s="24" t="s">
        <v>220</v>
      </c>
      <c r="D607" s="24" t="s">
        <v>715</v>
      </c>
      <c r="E607" s="217"/>
      <c r="F607" s="4">
        <f t="shared" ref="F607:G608" si="127">F608</f>
        <v>837</v>
      </c>
      <c r="G607" s="4">
        <f t="shared" si="127"/>
        <v>163.48500000000001</v>
      </c>
      <c r="H607" s="441">
        <f t="shared" si="121"/>
        <v>19.532258064516132</v>
      </c>
    </row>
    <row r="608" spans="1:8" ht="47.25" x14ac:dyDescent="0.25">
      <c r="A608" s="41" t="s">
        <v>900</v>
      </c>
      <c r="B608" s="24" t="s">
        <v>271</v>
      </c>
      <c r="C608" s="24" t="s">
        <v>220</v>
      </c>
      <c r="D608" s="24" t="s">
        <v>898</v>
      </c>
      <c r="E608" s="217"/>
      <c r="F608" s="4">
        <f t="shared" si="127"/>
        <v>837</v>
      </c>
      <c r="G608" s="4">
        <f t="shared" si="127"/>
        <v>163.48500000000001</v>
      </c>
      <c r="H608" s="441">
        <f t="shared" si="121"/>
        <v>19.532258064516132</v>
      </c>
    </row>
    <row r="609" spans="1:12" ht="47.25" x14ac:dyDescent="0.25">
      <c r="A609" s="98" t="s">
        <v>790</v>
      </c>
      <c r="B609" s="20" t="s">
        <v>271</v>
      </c>
      <c r="C609" s="20" t="s">
        <v>220</v>
      </c>
      <c r="D609" s="20" t="s">
        <v>946</v>
      </c>
      <c r="E609" s="32"/>
      <c r="F609" s="6">
        <f>F610</f>
        <v>837</v>
      </c>
      <c r="G609" s="6">
        <f>G610</f>
        <v>163.48500000000001</v>
      </c>
      <c r="H609" s="416">
        <f t="shared" si="121"/>
        <v>19.532258064516132</v>
      </c>
    </row>
    <row r="610" spans="1:12" ht="36.75" customHeight="1" x14ac:dyDescent="0.25">
      <c r="A610" s="29" t="s">
        <v>279</v>
      </c>
      <c r="B610" s="20" t="s">
        <v>271</v>
      </c>
      <c r="C610" s="20" t="s">
        <v>220</v>
      </c>
      <c r="D610" s="20" t="s">
        <v>946</v>
      </c>
      <c r="E610" s="32" t="s">
        <v>280</v>
      </c>
      <c r="F610" s="6">
        <f t="shared" ref="F610:G610" si="128">F611</f>
        <v>837</v>
      </c>
      <c r="G610" s="6">
        <f t="shared" si="128"/>
        <v>163.48500000000001</v>
      </c>
      <c r="H610" s="416">
        <f t="shared" si="121"/>
        <v>19.532258064516132</v>
      </c>
    </row>
    <row r="611" spans="1:12" ht="15.75" x14ac:dyDescent="0.25">
      <c r="A611" s="184" t="s">
        <v>281</v>
      </c>
      <c r="B611" s="20" t="s">
        <v>271</v>
      </c>
      <c r="C611" s="20" t="s">
        <v>220</v>
      </c>
      <c r="D611" s="20" t="s">
        <v>946</v>
      </c>
      <c r="E611" s="32" t="s">
        <v>282</v>
      </c>
      <c r="F611" s="6">
        <f>'Пр.4 ведом.21'!G680</f>
        <v>837</v>
      </c>
      <c r="G611" s="6">
        <f>'Пр.4 ведом.21'!H680</f>
        <v>163.48500000000001</v>
      </c>
      <c r="H611" s="416">
        <f t="shared" si="121"/>
        <v>19.532258064516132</v>
      </c>
    </row>
    <row r="612" spans="1:12" ht="15.75" x14ac:dyDescent="0.25">
      <c r="A612" s="41" t="s">
        <v>272</v>
      </c>
      <c r="B612" s="7" t="s">
        <v>271</v>
      </c>
      <c r="C612" s="7" t="s">
        <v>222</v>
      </c>
      <c r="D612" s="24"/>
      <c r="E612" s="7"/>
      <c r="F612" s="4">
        <f>F613+F639+F679+F674</f>
        <v>60572.770000000004</v>
      </c>
      <c r="G612" s="4">
        <f>G613+G639+G679+G674</f>
        <v>13247.668999999998</v>
      </c>
      <c r="H612" s="441">
        <f t="shared" si="121"/>
        <v>21.87066729819356</v>
      </c>
    </row>
    <row r="613" spans="1:12" ht="39.75" customHeight="1" x14ac:dyDescent="0.25">
      <c r="A613" s="23" t="s">
        <v>1375</v>
      </c>
      <c r="B613" s="24" t="s">
        <v>271</v>
      </c>
      <c r="C613" s="24" t="s">
        <v>222</v>
      </c>
      <c r="D613" s="24" t="s">
        <v>413</v>
      </c>
      <c r="E613" s="24"/>
      <c r="F613" s="4">
        <f>F614+F621+F635</f>
        <v>42181.05</v>
      </c>
      <c r="G613" s="4">
        <f>G614+G621+G635</f>
        <v>9492.101999999999</v>
      </c>
      <c r="H613" s="441">
        <f t="shared" si="121"/>
        <v>22.503237828361311</v>
      </c>
      <c r="L613" s="22"/>
    </row>
    <row r="614" spans="1:12" ht="31.5" x14ac:dyDescent="0.25">
      <c r="A614" s="23" t="s">
        <v>947</v>
      </c>
      <c r="B614" s="24" t="s">
        <v>271</v>
      </c>
      <c r="C614" s="24" t="s">
        <v>222</v>
      </c>
      <c r="D614" s="24" t="s">
        <v>1245</v>
      </c>
      <c r="E614" s="24"/>
      <c r="F614" s="4">
        <f>F615+F618</f>
        <v>38652.550000000003</v>
      </c>
      <c r="G614" s="4">
        <f>G615+G618</f>
        <v>7511.902</v>
      </c>
      <c r="H614" s="441">
        <f t="shared" si="121"/>
        <v>19.434428000222496</v>
      </c>
    </row>
    <row r="615" spans="1:12" ht="47.25" x14ac:dyDescent="0.25">
      <c r="A615" s="25" t="s">
        <v>277</v>
      </c>
      <c r="B615" s="20" t="s">
        <v>271</v>
      </c>
      <c r="C615" s="20" t="s">
        <v>222</v>
      </c>
      <c r="D615" s="20" t="s">
        <v>1275</v>
      </c>
      <c r="E615" s="20"/>
      <c r="F615" s="6">
        <f t="shared" ref="F615:G615" si="129">F616</f>
        <v>14834.95</v>
      </c>
      <c r="G615" s="6">
        <f t="shared" si="129"/>
        <v>3464.902</v>
      </c>
      <c r="H615" s="416">
        <f t="shared" si="121"/>
        <v>23.356344308541651</v>
      </c>
    </row>
    <row r="616" spans="1:12" ht="40.700000000000003" customHeight="1" x14ac:dyDescent="0.25">
      <c r="A616" s="25" t="s">
        <v>279</v>
      </c>
      <c r="B616" s="20" t="s">
        <v>271</v>
      </c>
      <c r="C616" s="20" t="s">
        <v>222</v>
      </c>
      <c r="D616" s="20" t="s">
        <v>1275</v>
      </c>
      <c r="E616" s="20" t="s">
        <v>280</v>
      </c>
      <c r="F616" s="6">
        <f>'Пр.4 ведом.21'!G686</f>
        <v>14834.95</v>
      </c>
      <c r="G616" s="6">
        <f>'Пр.4 ведом.21'!H686</f>
        <v>3464.902</v>
      </c>
      <c r="H616" s="416">
        <f t="shared" si="121"/>
        <v>23.356344308541651</v>
      </c>
    </row>
    <row r="617" spans="1:12" ht="15.75" x14ac:dyDescent="0.25">
      <c r="A617" s="25" t="s">
        <v>281</v>
      </c>
      <c r="B617" s="20" t="s">
        <v>271</v>
      </c>
      <c r="C617" s="20" t="s">
        <v>222</v>
      </c>
      <c r="D617" s="20" t="s">
        <v>1275</v>
      </c>
      <c r="E617" s="20" t="s">
        <v>282</v>
      </c>
      <c r="F617" s="6">
        <f>'Пр.4 ведом.21'!G686</f>
        <v>14834.95</v>
      </c>
      <c r="G617" s="6">
        <f>'Пр.4 ведом.21'!H686</f>
        <v>3464.902</v>
      </c>
      <c r="H617" s="416">
        <f t="shared" si="121"/>
        <v>23.356344308541651</v>
      </c>
    </row>
    <row r="618" spans="1:12" s="202" customFormat="1" ht="31.5" x14ac:dyDescent="0.25">
      <c r="A618" s="31" t="s">
        <v>1554</v>
      </c>
      <c r="B618" s="20" t="s">
        <v>271</v>
      </c>
      <c r="C618" s="20" t="s">
        <v>222</v>
      </c>
      <c r="D618" s="20" t="s">
        <v>1553</v>
      </c>
      <c r="E618" s="20"/>
      <c r="F618" s="6">
        <f>F619</f>
        <v>23817.600000000002</v>
      </c>
      <c r="G618" s="6">
        <f>G619</f>
        <v>4047</v>
      </c>
      <c r="H618" s="416">
        <f t="shared" si="121"/>
        <v>16.991636436920597</v>
      </c>
    </row>
    <row r="619" spans="1:12" s="202" customFormat="1" ht="31.5" x14ac:dyDescent="0.25">
      <c r="A619" s="25" t="s">
        <v>279</v>
      </c>
      <c r="B619" s="20" t="s">
        <v>271</v>
      </c>
      <c r="C619" s="20" t="s">
        <v>222</v>
      </c>
      <c r="D619" s="20" t="s">
        <v>1553</v>
      </c>
      <c r="E619" s="20" t="s">
        <v>280</v>
      </c>
      <c r="F619" s="6">
        <f>F620</f>
        <v>23817.600000000002</v>
      </c>
      <c r="G619" s="6">
        <f>G620</f>
        <v>4047</v>
      </c>
      <c r="H619" s="416">
        <f t="shared" si="121"/>
        <v>16.991636436920597</v>
      </c>
    </row>
    <row r="620" spans="1:12" s="202" customFormat="1" ht="15.75" x14ac:dyDescent="0.25">
      <c r="A620" s="31" t="s">
        <v>281</v>
      </c>
      <c r="B620" s="20" t="s">
        <v>271</v>
      </c>
      <c r="C620" s="20" t="s">
        <v>222</v>
      </c>
      <c r="D620" s="20" t="s">
        <v>1553</v>
      </c>
      <c r="E620" s="20" t="s">
        <v>280</v>
      </c>
      <c r="F620" s="6">
        <f>'Пр.4 ведом.21'!G689</f>
        <v>23817.600000000002</v>
      </c>
      <c r="G620" s="6">
        <f>'Пр.4 ведом.21'!H689</f>
        <v>4047</v>
      </c>
      <c r="H620" s="416">
        <f t="shared" si="121"/>
        <v>16.991636436920597</v>
      </c>
    </row>
    <row r="621" spans="1:12" ht="47.25" x14ac:dyDescent="0.25">
      <c r="A621" s="23" t="s">
        <v>910</v>
      </c>
      <c r="B621" s="24" t="s">
        <v>271</v>
      </c>
      <c r="C621" s="24" t="s">
        <v>222</v>
      </c>
      <c r="D621" s="24" t="s">
        <v>1247</v>
      </c>
      <c r="E621" s="24"/>
      <c r="F621" s="4">
        <f>F625+F628+F622</f>
        <v>2128.5</v>
      </c>
      <c r="G621" s="4">
        <f>G625+G628+G622</f>
        <v>580.20000000000005</v>
      </c>
      <c r="H621" s="441">
        <f t="shared" si="121"/>
        <v>27.258632840028191</v>
      </c>
    </row>
    <row r="622" spans="1:12" s="202" customFormat="1" ht="94.5" x14ac:dyDescent="0.25">
      <c r="A622" s="31" t="s">
        <v>300</v>
      </c>
      <c r="B622" s="20" t="s">
        <v>271</v>
      </c>
      <c r="C622" s="20" t="s">
        <v>222</v>
      </c>
      <c r="D622" s="20" t="s">
        <v>1407</v>
      </c>
      <c r="E622" s="20"/>
      <c r="F622" s="6">
        <f>F623</f>
        <v>1400</v>
      </c>
      <c r="G622" s="6">
        <f>G623</f>
        <v>360</v>
      </c>
      <c r="H622" s="416">
        <f t="shared" si="121"/>
        <v>25.714285714285712</v>
      </c>
    </row>
    <row r="623" spans="1:12" s="202" customFormat="1" ht="31.5" x14ac:dyDescent="0.25">
      <c r="A623" s="25" t="s">
        <v>279</v>
      </c>
      <c r="B623" s="20" t="s">
        <v>271</v>
      </c>
      <c r="C623" s="20" t="s">
        <v>222</v>
      </c>
      <c r="D623" s="20" t="s">
        <v>1407</v>
      </c>
      <c r="E623" s="20" t="s">
        <v>280</v>
      </c>
      <c r="F623" s="6">
        <f t="shared" ref="F623:G623" si="130">F624</f>
        <v>1400</v>
      </c>
      <c r="G623" s="6">
        <f t="shared" si="130"/>
        <v>360</v>
      </c>
      <c r="H623" s="416">
        <f t="shared" si="121"/>
        <v>25.714285714285712</v>
      </c>
    </row>
    <row r="624" spans="1:12" s="202" customFormat="1" ht="15.75" x14ac:dyDescent="0.25">
      <c r="A624" s="25" t="s">
        <v>281</v>
      </c>
      <c r="B624" s="20" t="s">
        <v>271</v>
      </c>
      <c r="C624" s="20" t="s">
        <v>222</v>
      </c>
      <c r="D624" s="20" t="s">
        <v>1407</v>
      </c>
      <c r="E624" s="20" t="s">
        <v>282</v>
      </c>
      <c r="F624" s="6">
        <f>'Пр.4 ведом.21'!G693</f>
        <v>1400</v>
      </c>
      <c r="G624" s="6">
        <f>'Пр.4 ведом.21'!H693</f>
        <v>360</v>
      </c>
      <c r="H624" s="416">
        <f t="shared" si="121"/>
        <v>25.714285714285712</v>
      </c>
    </row>
    <row r="625" spans="1:8" ht="63" x14ac:dyDescent="0.25">
      <c r="A625" s="31" t="s">
        <v>296</v>
      </c>
      <c r="B625" s="20" t="s">
        <v>271</v>
      </c>
      <c r="C625" s="20" t="s">
        <v>222</v>
      </c>
      <c r="D625" s="20" t="s">
        <v>1248</v>
      </c>
      <c r="E625" s="20"/>
      <c r="F625" s="6">
        <f t="shared" ref="F625:G625" si="131">F626</f>
        <v>179</v>
      </c>
      <c r="G625" s="6">
        <f t="shared" si="131"/>
        <v>45</v>
      </c>
      <c r="H625" s="416">
        <f t="shared" si="121"/>
        <v>25.139664804469277</v>
      </c>
    </row>
    <row r="626" spans="1:8" ht="31.5" x14ac:dyDescent="0.25">
      <c r="A626" s="25" t="s">
        <v>279</v>
      </c>
      <c r="B626" s="20" t="s">
        <v>271</v>
      </c>
      <c r="C626" s="20" t="s">
        <v>222</v>
      </c>
      <c r="D626" s="20" t="s">
        <v>1248</v>
      </c>
      <c r="E626" s="20" t="s">
        <v>280</v>
      </c>
      <c r="F626" s="6">
        <f>F627</f>
        <v>179</v>
      </c>
      <c r="G626" s="6">
        <f>G627</f>
        <v>45</v>
      </c>
      <c r="H626" s="416">
        <f t="shared" si="121"/>
        <v>25.139664804469277</v>
      </c>
    </row>
    <row r="627" spans="1:8" ht="15.75" x14ac:dyDescent="0.25">
      <c r="A627" s="25" t="s">
        <v>281</v>
      </c>
      <c r="B627" s="20" t="s">
        <v>271</v>
      </c>
      <c r="C627" s="20" t="s">
        <v>222</v>
      </c>
      <c r="D627" s="20" t="s">
        <v>1248</v>
      </c>
      <c r="E627" s="20" t="s">
        <v>282</v>
      </c>
      <c r="F627" s="6">
        <f>'Пр.4 ведом.21'!G696</f>
        <v>179</v>
      </c>
      <c r="G627" s="6">
        <f>'Пр.4 ведом.21'!H696</f>
        <v>45</v>
      </c>
      <c r="H627" s="416">
        <f t="shared" si="121"/>
        <v>25.139664804469277</v>
      </c>
    </row>
    <row r="628" spans="1:8" ht="63" x14ac:dyDescent="0.25">
      <c r="A628" s="31" t="s">
        <v>298</v>
      </c>
      <c r="B628" s="20" t="s">
        <v>271</v>
      </c>
      <c r="C628" s="20" t="s">
        <v>222</v>
      </c>
      <c r="D628" s="20" t="s">
        <v>1249</v>
      </c>
      <c r="E628" s="20"/>
      <c r="F628" s="6">
        <f t="shared" ref="F628:G628" si="132">F629</f>
        <v>549.5</v>
      </c>
      <c r="G628" s="6">
        <f t="shared" si="132"/>
        <v>175.2</v>
      </c>
      <c r="H628" s="416">
        <f t="shared" si="121"/>
        <v>31.883530482256596</v>
      </c>
    </row>
    <row r="629" spans="1:8" ht="31.5" x14ac:dyDescent="0.25">
      <c r="A629" s="25" t="s">
        <v>279</v>
      </c>
      <c r="B629" s="20" t="s">
        <v>271</v>
      </c>
      <c r="C629" s="20" t="s">
        <v>222</v>
      </c>
      <c r="D629" s="20" t="s">
        <v>1249</v>
      </c>
      <c r="E629" s="20" t="s">
        <v>280</v>
      </c>
      <c r="F629" s="6">
        <f>F630</f>
        <v>549.5</v>
      </c>
      <c r="G629" s="6">
        <f>G630</f>
        <v>175.2</v>
      </c>
      <c r="H629" s="416">
        <f t="shared" si="121"/>
        <v>31.883530482256596</v>
      </c>
    </row>
    <row r="630" spans="1:8" ht="15.75" x14ac:dyDescent="0.25">
      <c r="A630" s="25" t="s">
        <v>281</v>
      </c>
      <c r="B630" s="20" t="s">
        <v>271</v>
      </c>
      <c r="C630" s="20" t="s">
        <v>222</v>
      </c>
      <c r="D630" s="20" t="s">
        <v>1249</v>
      </c>
      <c r="E630" s="20" t="s">
        <v>282</v>
      </c>
      <c r="F630" s="6">
        <f>'Пр.4 ведом.21'!G699</f>
        <v>549.5</v>
      </c>
      <c r="G630" s="6">
        <f>'Пр.4 ведом.21'!H699</f>
        <v>175.2</v>
      </c>
      <c r="H630" s="416">
        <f t="shared" si="121"/>
        <v>31.883530482256596</v>
      </c>
    </row>
    <row r="631" spans="1:8" ht="31.7" hidden="1" customHeight="1" x14ac:dyDescent="0.25">
      <c r="A631" s="23" t="s">
        <v>1267</v>
      </c>
      <c r="B631" s="24" t="s">
        <v>271</v>
      </c>
      <c r="C631" s="24" t="s">
        <v>222</v>
      </c>
      <c r="D631" s="24" t="s">
        <v>1252</v>
      </c>
      <c r="E631" s="24"/>
      <c r="F631" s="4">
        <f t="shared" ref="F631:G633" si="133">F632</f>
        <v>0</v>
      </c>
      <c r="G631" s="4">
        <f t="shared" si="133"/>
        <v>0</v>
      </c>
      <c r="H631" s="416" t="e">
        <f t="shared" si="121"/>
        <v>#DIV/0!</v>
      </c>
    </row>
    <row r="632" spans="1:8" ht="35.450000000000003" hidden="1" customHeight="1" x14ac:dyDescent="0.25">
      <c r="A632" s="45" t="s">
        <v>776</v>
      </c>
      <c r="B632" s="20" t="s">
        <v>271</v>
      </c>
      <c r="C632" s="20" t="s">
        <v>222</v>
      </c>
      <c r="D632" s="20" t="s">
        <v>1344</v>
      </c>
      <c r="E632" s="20"/>
      <c r="F632" s="6">
        <f t="shared" si="133"/>
        <v>0</v>
      </c>
      <c r="G632" s="6">
        <f t="shared" si="133"/>
        <v>0</v>
      </c>
      <c r="H632" s="416" t="e">
        <f t="shared" si="121"/>
        <v>#DIV/0!</v>
      </c>
    </row>
    <row r="633" spans="1:8" ht="39.75" hidden="1" customHeight="1" x14ac:dyDescent="0.25">
      <c r="A633" s="31" t="s">
        <v>279</v>
      </c>
      <c r="B633" s="20" t="s">
        <v>271</v>
      </c>
      <c r="C633" s="20" t="s">
        <v>222</v>
      </c>
      <c r="D633" s="20" t="s">
        <v>1344</v>
      </c>
      <c r="E633" s="20" t="s">
        <v>280</v>
      </c>
      <c r="F633" s="6">
        <f t="shared" si="133"/>
        <v>0</v>
      </c>
      <c r="G633" s="6">
        <f t="shared" si="133"/>
        <v>0</v>
      </c>
      <c r="H633" s="416" t="e">
        <f t="shared" si="121"/>
        <v>#DIV/0!</v>
      </c>
    </row>
    <row r="634" spans="1:8" ht="19.5" hidden="1" customHeight="1" x14ac:dyDescent="0.25">
      <c r="A634" s="31" t="s">
        <v>281</v>
      </c>
      <c r="B634" s="20" t="s">
        <v>271</v>
      </c>
      <c r="C634" s="20" t="s">
        <v>222</v>
      </c>
      <c r="D634" s="20" t="s">
        <v>1344</v>
      </c>
      <c r="E634" s="20" t="s">
        <v>282</v>
      </c>
      <c r="F634" s="6">
        <f>'Пр.4 ведом.21'!G703</f>
        <v>0</v>
      </c>
      <c r="G634" s="6">
        <f>'Пр.4 ведом.21'!H703</f>
        <v>0</v>
      </c>
      <c r="H634" s="416" t="e">
        <f t="shared" si="121"/>
        <v>#DIV/0!</v>
      </c>
    </row>
    <row r="635" spans="1:8" ht="33" customHeight="1" x14ac:dyDescent="0.25">
      <c r="A635" s="214" t="s">
        <v>958</v>
      </c>
      <c r="B635" s="24" t="s">
        <v>271</v>
      </c>
      <c r="C635" s="24" t="s">
        <v>222</v>
      </c>
      <c r="D635" s="24" t="s">
        <v>1255</v>
      </c>
      <c r="E635" s="24"/>
      <c r="F635" s="4">
        <f>F636</f>
        <v>1400</v>
      </c>
      <c r="G635" s="4">
        <f>G636</f>
        <v>1400</v>
      </c>
      <c r="H635" s="441">
        <f t="shared" si="121"/>
        <v>100</v>
      </c>
    </row>
    <row r="636" spans="1:8" ht="38.1" customHeight="1" x14ac:dyDescent="0.25">
      <c r="A636" s="45" t="s">
        <v>774</v>
      </c>
      <c r="B636" s="20" t="s">
        <v>271</v>
      </c>
      <c r="C636" s="20" t="s">
        <v>222</v>
      </c>
      <c r="D636" s="20" t="s">
        <v>1256</v>
      </c>
      <c r="E636" s="20"/>
      <c r="F636" s="6">
        <f>F637</f>
        <v>1400</v>
      </c>
      <c r="G636" s="6">
        <f>G637</f>
        <v>1400</v>
      </c>
      <c r="H636" s="416">
        <f t="shared" si="121"/>
        <v>100</v>
      </c>
    </row>
    <row r="637" spans="1:8" ht="31.5" x14ac:dyDescent="0.25">
      <c r="A637" s="25" t="s">
        <v>279</v>
      </c>
      <c r="B637" s="20" t="s">
        <v>271</v>
      </c>
      <c r="C637" s="20" t="s">
        <v>222</v>
      </c>
      <c r="D637" s="20" t="s">
        <v>1256</v>
      </c>
      <c r="E637" s="20" t="s">
        <v>280</v>
      </c>
      <c r="F637" s="6">
        <f t="shared" ref="F637:G637" si="134">F638</f>
        <v>1400</v>
      </c>
      <c r="G637" s="6">
        <f t="shared" si="134"/>
        <v>1400</v>
      </c>
      <c r="H637" s="416">
        <f t="shared" si="121"/>
        <v>100</v>
      </c>
    </row>
    <row r="638" spans="1:8" ht="15.75" x14ac:dyDescent="0.25">
      <c r="A638" s="31" t="s">
        <v>281</v>
      </c>
      <c r="B638" s="20" t="s">
        <v>271</v>
      </c>
      <c r="C638" s="20" t="s">
        <v>222</v>
      </c>
      <c r="D638" s="20" t="s">
        <v>1256</v>
      </c>
      <c r="E638" s="20" t="s">
        <v>282</v>
      </c>
      <c r="F638" s="6">
        <f>'Пр.4 ведом.21'!G707</f>
        <v>1400</v>
      </c>
      <c r="G638" s="6">
        <f>'Пр.4 ведом.21'!H707</f>
        <v>1400</v>
      </c>
      <c r="H638" s="416">
        <f t="shared" si="121"/>
        <v>100</v>
      </c>
    </row>
    <row r="639" spans="1:8" s="202" customFormat="1" ht="34.5" customHeight="1" x14ac:dyDescent="0.25">
      <c r="A639" s="23" t="s">
        <v>1384</v>
      </c>
      <c r="B639" s="24" t="s">
        <v>271</v>
      </c>
      <c r="C639" s="24" t="s">
        <v>222</v>
      </c>
      <c r="D639" s="24" t="s">
        <v>274</v>
      </c>
      <c r="E639" s="24"/>
      <c r="F639" s="4">
        <f>F640+F651+F660+F664</f>
        <v>17696.72</v>
      </c>
      <c r="G639" s="4">
        <f>G640+G651+G660+G664</f>
        <v>3650.721</v>
      </c>
      <c r="H639" s="441">
        <f t="shared" si="121"/>
        <v>20.629365215700986</v>
      </c>
    </row>
    <row r="640" spans="1:8" s="202" customFormat="1" ht="36" customHeight="1" x14ac:dyDescent="0.25">
      <c r="A640" s="23" t="s">
        <v>1314</v>
      </c>
      <c r="B640" s="24" t="s">
        <v>271</v>
      </c>
      <c r="C640" s="24" t="s">
        <v>222</v>
      </c>
      <c r="D640" s="24" t="s">
        <v>1218</v>
      </c>
      <c r="E640" s="24"/>
      <c r="F640" s="4">
        <f>F641+F648</f>
        <v>15820.32</v>
      </c>
      <c r="G640" s="4">
        <f>G641+G648</f>
        <v>2990.1059999999998</v>
      </c>
      <c r="H640" s="441">
        <f t="shared" si="121"/>
        <v>18.90041415091477</v>
      </c>
    </row>
    <row r="641" spans="1:8" s="202" customFormat="1" ht="15.75" x14ac:dyDescent="0.25">
      <c r="A641" s="25" t="s">
        <v>810</v>
      </c>
      <c r="B641" s="20" t="s">
        <v>271</v>
      </c>
      <c r="C641" s="20" t="s">
        <v>222</v>
      </c>
      <c r="D641" s="20" t="s">
        <v>1219</v>
      </c>
      <c r="E641" s="20"/>
      <c r="F641" s="6">
        <f>F642+F644+F646</f>
        <v>8901.2199999999993</v>
      </c>
      <c r="G641" s="6">
        <f>G642+G644+G646</f>
        <v>1624.5029999999999</v>
      </c>
      <c r="H641" s="416">
        <f t="shared" si="121"/>
        <v>18.250340964497003</v>
      </c>
    </row>
    <row r="642" spans="1:8" s="202" customFormat="1" ht="78.75" x14ac:dyDescent="0.25">
      <c r="A642" s="25" t="s">
        <v>134</v>
      </c>
      <c r="B642" s="20" t="s">
        <v>271</v>
      </c>
      <c r="C642" s="20" t="s">
        <v>222</v>
      </c>
      <c r="D642" s="20" t="s">
        <v>1219</v>
      </c>
      <c r="E642" s="20" t="s">
        <v>135</v>
      </c>
      <c r="F642" s="6">
        <f>F643</f>
        <v>7320.7199999999993</v>
      </c>
      <c r="G642" s="6">
        <f>G643</f>
        <v>1132.3019999999999</v>
      </c>
      <c r="H642" s="416">
        <f t="shared" si="121"/>
        <v>15.46708520473396</v>
      </c>
    </row>
    <row r="643" spans="1:8" s="202" customFormat="1" ht="21.2" customHeight="1" x14ac:dyDescent="0.25">
      <c r="A643" s="46" t="s">
        <v>349</v>
      </c>
      <c r="B643" s="20" t="s">
        <v>271</v>
      </c>
      <c r="C643" s="20" t="s">
        <v>222</v>
      </c>
      <c r="D643" s="20" t="s">
        <v>1219</v>
      </c>
      <c r="E643" s="20" t="s">
        <v>216</v>
      </c>
      <c r="F643" s="6">
        <f>'Пр.4 ведом.21'!G285</f>
        <v>7320.7199999999993</v>
      </c>
      <c r="G643" s="6">
        <f>'Пр.4 ведом.21'!H285</f>
        <v>1132.3019999999999</v>
      </c>
      <c r="H643" s="416">
        <f t="shared" si="121"/>
        <v>15.46708520473396</v>
      </c>
    </row>
    <row r="644" spans="1:8" s="202" customFormat="1" ht="31.5" x14ac:dyDescent="0.25">
      <c r="A644" s="25" t="s">
        <v>138</v>
      </c>
      <c r="B644" s="20" t="s">
        <v>271</v>
      </c>
      <c r="C644" s="20" t="s">
        <v>222</v>
      </c>
      <c r="D644" s="20" t="s">
        <v>1219</v>
      </c>
      <c r="E644" s="20" t="s">
        <v>139</v>
      </c>
      <c r="F644" s="6">
        <f>F645</f>
        <v>1513.7</v>
      </c>
      <c r="G644" s="6">
        <f>G645</f>
        <v>479.43099999999998</v>
      </c>
      <c r="H644" s="416">
        <f t="shared" si="121"/>
        <v>31.672788531413094</v>
      </c>
    </row>
    <row r="645" spans="1:8" s="202" customFormat="1" ht="31.5" x14ac:dyDescent="0.25">
      <c r="A645" s="25" t="s">
        <v>140</v>
      </c>
      <c r="B645" s="20" t="s">
        <v>271</v>
      </c>
      <c r="C645" s="20" t="s">
        <v>222</v>
      </c>
      <c r="D645" s="20" t="s">
        <v>1219</v>
      </c>
      <c r="E645" s="20" t="s">
        <v>141</v>
      </c>
      <c r="F645" s="6">
        <f>'Пр.4 ведом.21'!G287</f>
        <v>1513.7</v>
      </c>
      <c r="G645" s="6">
        <f>'Пр.4 ведом.21'!H287</f>
        <v>479.43099999999998</v>
      </c>
      <c r="H645" s="416">
        <f t="shared" si="121"/>
        <v>31.672788531413094</v>
      </c>
    </row>
    <row r="646" spans="1:8" s="202" customFormat="1" ht="15.75" x14ac:dyDescent="0.25">
      <c r="A646" s="25" t="s">
        <v>142</v>
      </c>
      <c r="B646" s="20" t="s">
        <v>271</v>
      </c>
      <c r="C646" s="20" t="s">
        <v>222</v>
      </c>
      <c r="D646" s="20" t="s">
        <v>1219</v>
      </c>
      <c r="E646" s="20" t="s">
        <v>152</v>
      </c>
      <c r="F646" s="6">
        <f>F647</f>
        <v>66.8</v>
      </c>
      <c r="G646" s="6">
        <f>G647</f>
        <v>12.77</v>
      </c>
      <c r="H646" s="416">
        <f t="shared" si="121"/>
        <v>19.116766467065869</v>
      </c>
    </row>
    <row r="647" spans="1:8" s="202" customFormat="1" ht="15.75" x14ac:dyDescent="0.25">
      <c r="A647" s="25" t="s">
        <v>714</v>
      </c>
      <c r="B647" s="20" t="s">
        <v>271</v>
      </c>
      <c r="C647" s="20" t="s">
        <v>222</v>
      </c>
      <c r="D647" s="20" t="s">
        <v>1219</v>
      </c>
      <c r="E647" s="20" t="s">
        <v>145</v>
      </c>
      <c r="F647" s="6">
        <f>'Пр.4 ведом.21'!G289</f>
        <v>66.8</v>
      </c>
      <c r="G647" s="6">
        <f>'Пр.4 ведом.21'!H289</f>
        <v>12.77</v>
      </c>
      <c r="H647" s="416">
        <f t="shared" si="121"/>
        <v>19.116766467065869</v>
      </c>
    </row>
    <row r="648" spans="1:8" s="202" customFormat="1" ht="31.5" x14ac:dyDescent="0.25">
      <c r="A648" s="31" t="s">
        <v>1554</v>
      </c>
      <c r="B648" s="20" t="s">
        <v>271</v>
      </c>
      <c r="C648" s="20" t="s">
        <v>222</v>
      </c>
      <c r="D648" s="20" t="s">
        <v>1525</v>
      </c>
      <c r="E648" s="20"/>
      <c r="F648" s="6">
        <f>F649</f>
        <v>6919.1</v>
      </c>
      <c r="G648" s="6">
        <f>G649</f>
        <v>1365.6030000000001</v>
      </c>
      <c r="H648" s="416">
        <f t="shared" si="121"/>
        <v>19.736714312555101</v>
      </c>
    </row>
    <row r="649" spans="1:8" s="202" customFormat="1" ht="78.75" x14ac:dyDescent="0.25">
      <c r="A649" s="25" t="s">
        <v>134</v>
      </c>
      <c r="B649" s="20" t="s">
        <v>271</v>
      </c>
      <c r="C649" s="20" t="s">
        <v>222</v>
      </c>
      <c r="D649" s="20" t="s">
        <v>1525</v>
      </c>
      <c r="E649" s="20" t="s">
        <v>135</v>
      </c>
      <c r="F649" s="6">
        <f>F650</f>
        <v>6919.1</v>
      </c>
      <c r="G649" s="6">
        <f>G650</f>
        <v>1365.6030000000001</v>
      </c>
      <c r="H649" s="416">
        <f t="shared" si="121"/>
        <v>19.736714312555101</v>
      </c>
    </row>
    <row r="650" spans="1:8" s="202" customFormat="1" ht="15.75" x14ac:dyDescent="0.25">
      <c r="A650" s="25" t="s">
        <v>215</v>
      </c>
      <c r="B650" s="20" t="s">
        <v>271</v>
      </c>
      <c r="C650" s="20" t="s">
        <v>222</v>
      </c>
      <c r="D650" s="20" t="s">
        <v>1525</v>
      </c>
      <c r="E650" s="20" t="s">
        <v>216</v>
      </c>
      <c r="F650" s="6">
        <f>'Пр.4 ведом.21'!G292</f>
        <v>6919.1</v>
      </c>
      <c r="G650" s="6">
        <f>'Пр.4 ведом.21'!H292</f>
        <v>1365.6030000000001</v>
      </c>
      <c r="H650" s="416">
        <f t="shared" si="121"/>
        <v>19.736714312555101</v>
      </c>
    </row>
    <row r="651" spans="1:8" s="202" customFormat="1" ht="31.5" x14ac:dyDescent="0.25">
      <c r="A651" s="211" t="s">
        <v>1317</v>
      </c>
      <c r="B651" s="24" t="s">
        <v>271</v>
      </c>
      <c r="C651" s="24" t="s">
        <v>222</v>
      </c>
      <c r="D651" s="24" t="s">
        <v>1220</v>
      </c>
      <c r="E651" s="24"/>
      <c r="F651" s="4">
        <f>F652+F655</f>
        <v>295</v>
      </c>
      <c r="G651" s="4">
        <f>G652+G655</f>
        <v>239.87299999999999</v>
      </c>
      <c r="H651" s="441">
        <f t="shared" ref="H651:H714" si="135">G651/F651*100</f>
        <v>81.312881355932205</v>
      </c>
    </row>
    <row r="652" spans="1:8" s="202" customFormat="1" ht="31.5" x14ac:dyDescent="0.25">
      <c r="A652" s="197" t="s">
        <v>809</v>
      </c>
      <c r="B652" s="20" t="s">
        <v>271</v>
      </c>
      <c r="C652" s="20" t="s">
        <v>222</v>
      </c>
      <c r="D652" s="20" t="s">
        <v>1221</v>
      </c>
      <c r="E652" s="20"/>
      <c r="F652" s="6">
        <f>F653</f>
        <v>45</v>
      </c>
      <c r="G652" s="6">
        <f>G653</f>
        <v>0</v>
      </c>
      <c r="H652" s="416">
        <f t="shared" si="135"/>
        <v>0</v>
      </c>
    </row>
    <row r="653" spans="1:8" s="202" customFormat="1" ht="20.25" customHeight="1" x14ac:dyDescent="0.25">
      <c r="A653" s="25" t="s">
        <v>255</v>
      </c>
      <c r="B653" s="20" t="s">
        <v>271</v>
      </c>
      <c r="C653" s="20" t="s">
        <v>222</v>
      </c>
      <c r="D653" s="20" t="s">
        <v>1221</v>
      </c>
      <c r="E653" s="20" t="s">
        <v>256</v>
      </c>
      <c r="F653" s="6">
        <f>F654</f>
        <v>45</v>
      </c>
      <c r="G653" s="6">
        <f>G654</f>
        <v>0</v>
      </c>
      <c r="H653" s="416">
        <f t="shared" si="135"/>
        <v>0</v>
      </c>
    </row>
    <row r="654" spans="1:8" s="202" customFormat="1" ht="15.75" x14ac:dyDescent="0.25">
      <c r="A654" s="25" t="s">
        <v>830</v>
      </c>
      <c r="B654" s="20" t="s">
        <v>271</v>
      </c>
      <c r="C654" s="20" t="s">
        <v>222</v>
      </c>
      <c r="D654" s="20" t="s">
        <v>1221</v>
      </c>
      <c r="E654" s="20" t="s">
        <v>829</v>
      </c>
      <c r="F654" s="6">
        <f>'Пр.4 ведом.21'!G296</f>
        <v>45</v>
      </c>
      <c r="G654" s="6">
        <f>'Пр.4 ведом.21'!H296</f>
        <v>0</v>
      </c>
      <c r="H654" s="416">
        <f t="shared" si="135"/>
        <v>0</v>
      </c>
    </row>
    <row r="655" spans="1:8" ht="31.5" x14ac:dyDescent="0.25">
      <c r="A655" s="31" t="s">
        <v>826</v>
      </c>
      <c r="B655" s="20" t="s">
        <v>271</v>
      </c>
      <c r="C655" s="20" t="s">
        <v>222</v>
      </c>
      <c r="D655" s="20" t="s">
        <v>1222</v>
      </c>
      <c r="E655" s="20"/>
      <c r="F655" s="6">
        <f>F656+F658</f>
        <v>250.00000000000003</v>
      </c>
      <c r="G655" s="6">
        <f>G656+G658</f>
        <v>239.87299999999999</v>
      </c>
      <c r="H655" s="416">
        <f t="shared" si="135"/>
        <v>95.94919999999999</v>
      </c>
    </row>
    <row r="656" spans="1:8" ht="78.75" x14ac:dyDescent="0.25">
      <c r="A656" s="25" t="s">
        <v>134</v>
      </c>
      <c r="B656" s="20" t="s">
        <v>271</v>
      </c>
      <c r="C656" s="20" t="s">
        <v>222</v>
      </c>
      <c r="D656" s="20" t="s">
        <v>1222</v>
      </c>
      <c r="E656" s="20" t="s">
        <v>135</v>
      </c>
      <c r="F656" s="6">
        <f>F657</f>
        <v>250.00000000000003</v>
      </c>
      <c r="G656" s="6">
        <f>G657</f>
        <v>239.87299999999999</v>
      </c>
      <c r="H656" s="416">
        <f t="shared" si="135"/>
        <v>95.94919999999999</v>
      </c>
    </row>
    <row r="657" spans="1:8" s="202" customFormat="1" ht="18.75" customHeight="1" x14ac:dyDescent="0.25">
      <c r="A657" s="46" t="s">
        <v>349</v>
      </c>
      <c r="B657" s="20" t="s">
        <v>271</v>
      </c>
      <c r="C657" s="20" t="s">
        <v>222</v>
      </c>
      <c r="D657" s="20" t="s">
        <v>1222</v>
      </c>
      <c r="E657" s="20" t="s">
        <v>216</v>
      </c>
      <c r="F657" s="6">
        <f>'Пр.4 ведом.21'!G299</f>
        <v>250.00000000000003</v>
      </c>
      <c r="G657" s="6">
        <f>'Пр.4 ведом.21'!H299</f>
        <v>239.87299999999999</v>
      </c>
      <c r="H657" s="416">
        <f t="shared" si="135"/>
        <v>95.94919999999999</v>
      </c>
    </row>
    <row r="658" spans="1:8" s="202" customFormat="1" ht="31.5" hidden="1" x14ac:dyDescent="0.25">
      <c r="A658" s="25" t="s">
        <v>138</v>
      </c>
      <c r="B658" s="20" t="s">
        <v>271</v>
      </c>
      <c r="C658" s="20" t="s">
        <v>222</v>
      </c>
      <c r="D658" s="20" t="s">
        <v>1222</v>
      </c>
      <c r="E658" s="20" t="s">
        <v>139</v>
      </c>
      <c r="F658" s="6">
        <f>F659</f>
        <v>0</v>
      </c>
      <c r="G658" s="6">
        <f>G659</f>
        <v>0</v>
      </c>
      <c r="H658" s="416" t="e">
        <f t="shared" si="135"/>
        <v>#DIV/0!</v>
      </c>
    </row>
    <row r="659" spans="1:8" s="202" customFormat="1" ht="31.5" hidden="1" x14ac:dyDescent="0.25">
      <c r="A659" s="25" t="s">
        <v>140</v>
      </c>
      <c r="B659" s="20" t="s">
        <v>271</v>
      </c>
      <c r="C659" s="20" t="s">
        <v>222</v>
      </c>
      <c r="D659" s="20" t="s">
        <v>1222</v>
      </c>
      <c r="E659" s="20" t="s">
        <v>141</v>
      </c>
      <c r="F659" s="6">
        <f>'Пр.4 ведом.21'!G301</f>
        <v>0</v>
      </c>
      <c r="G659" s="6">
        <f>'Пр.4 ведом.21'!H301</f>
        <v>0</v>
      </c>
      <c r="H659" s="416" t="e">
        <f t="shared" si="135"/>
        <v>#DIV/0!</v>
      </c>
    </row>
    <row r="660" spans="1:8" s="202" customFormat="1" ht="31.5" x14ac:dyDescent="0.25">
      <c r="A660" s="23" t="s">
        <v>957</v>
      </c>
      <c r="B660" s="24" t="s">
        <v>271</v>
      </c>
      <c r="C660" s="24" t="s">
        <v>222</v>
      </c>
      <c r="D660" s="24" t="s">
        <v>1223</v>
      </c>
      <c r="E660" s="24"/>
      <c r="F660" s="4">
        <f t="shared" ref="F660:G662" si="136">F661</f>
        <v>506</v>
      </c>
      <c r="G660" s="4">
        <f t="shared" si="136"/>
        <v>301.49799999999999</v>
      </c>
      <c r="H660" s="441">
        <f t="shared" si="135"/>
        <v>59.584584980237153</v>
      </c>
    </row>
    <row r="661" spans="1:8" s="202" customFormat="1" ht="47.25" x14ac:dyDescent="0.25">
      <c r="A661" s="25" t="s">
        <v>849</v>
      </c>
      <c r="B661" s="20" t="s">
        <v>271</v>
      </c>
      <c r="C661" s="20" t="s">
        <v>222</v>
      </c>
      <c r="D661" s="20" t="s">
        <v>1224</v>
      </c>
      <c r="E661" s="20"/>
      <c r="F661" s="6">
        <f t="shared" si="136"/>
        <v>506</v>
      </c>
      <c r="G661" s="6">
        <f t="shared" si="136"/>
        <v>301.49799999999999</v>
      </c>
      <c r="H661" s="416">
        <f t="shared" si="135"/>
        <v>59.584584980237153</v>
      </c>
    </row>
    <row r="662" spans="1:8" s="202" customFormat="1" ht="78.75" x14ac:dyDescent="0.25">
      <c r="A662" s="25" t="s">
        <v>134</v>
      </c>
      <c r="B662" s="20" t="s">
        <v>271</v>
      </c>
      <c r="C662" s="20" t="s">
        <v>222</v>
      </c>
      <c r="D662" s="20" t="s">
        <v>1224</v>
      </c>
      <c r="E662" s="20" t="s">
        <v>135</v>
      </c>
      <c r="F662" s="6">
        <f t="shared" si="136"/>
        <v>506</v>
      </c>
      <c r="G662" s="6">
        <f t="shared" si="136"/>
        <v>301.49799999999999</v>
      </c>
      <c r="H662" s="416">
        <f t="shared" si="135"/>
        <v>59.584584980237153</v>
      </c>
    </row>
    <row r="663" spans="1:8" s="202" customFormat="1" ht="31.5" x14ac:dyDescent="0.25">
      <c r="A663" s="25" t="s">
        <v>136</v>
      </c>
      <c r="B663" s="20" t="s">
        <v>271</v>
      </c>
      <c r="C663" s="20" t="s">
        <v>222</v>
      </c>
      <c r="D663" s="20" t="s">
        <v>1224</v>
      </c>
      <c r="E663" s="20" t="s">
        <v>216</v>
      </c>
      <c r="F663" s="6">
        <f>'Пр.4 ведом.21'!G305</f>
        <v>506</v>
      </c>
      <c r="G663" s="6">
        <f>'Пр.4 ведом.21'!H305</f>
        <v>301.49799999999999</v>
      </c>
      <c r="H663" s="416">
        <f t="shared" si="135"/>
        <v>59.584584980237153</v>
      </c>
    </row>
    <row r="664" spans="1:8" s="202" customFormat="1" ht="47.25" x14ac:dyDescent="0.25">
      <c r="A664" s="23" t="s">
        <v>910</v>
      </c>
      <c r="B664" s="24" t="s">
        <v>271</v>
      </c>
      <c r="C664" s="24" t="s">
        <v>222</v>
      </c>
      <c r="D664" s="24" t="s">
        <v>1225</v>
      </c>
      <c r="E664" s="24"/>
      <c r="F664" s="4">
        <f>F668+F671+F665</f>
        <v>1075.4000000000001</v>
      </c>
      <c r="G664" s="4">
        <f>G668+G671+G665</f>
        <v>119.244</v>
      </c>
      <c r="H664" s="441">
        <f t="shared" si="135"/>
        <v>11.08833922261484</v>
      </c>
    </row>
    <row r="665" spans="1:8" s="202" customFormat="1" ht="94.5" x14ac:dyDescent="0.25">
      <c r="A665" s="31" t="s">
        <v>300</v>
      </c>
      <c r="B665" s="20" t="s">
        <v>271</v>
      </c>
      <c r="C665" s="20" t="s">
        <v>222</v>
      </c>
      <c r="D665" s="20" t="s">
        <v>1420</v>
      </c>
      <c r="E665" s="20"/>
      <c r="F665" s="6">
        <f>F666</f>
        <v>671</v>
      </c>
      <c r="G665" s="6">
        <f>G666</f>
        <v>73.436999999999998</v>
      </c>
      <c r="H665" s="416">
        <f t="shared" si="135"/>
        <v>10.944411326378539</v>
      </c>
    </row>
    <row r="666" spans="1:8" s="202" customFormat="1" ht="78.75" x14ac:dyDescent="0.25">
      <c r="A666" s="25" t="s">
        <v>134</v>
      </c>
      <c r="B666" s="20" t="s">
        <v>271</v>
      </c>
      <c r="C666" s="20" t="s">
        <v>222</v>
      </c>
      <c r="D666" s="20" t="s">
        <v>1420</v>
      </c>
      <c r="E666" s="20" t="s">
        <v>135</v>
      </c>
      <c r="F666" s="6">
        <f>F667</f>
        <v>671</v>
      </c>
      <c r="G666" s="6">
        <f>G667</f>
        <v>73.436999999999998</v>
      </c>
      <c r="H666" s="416">
        <f t="shared" si="135"/>
        <v>10.944411326378539</v>
      </c>
    </row>
    <row r="667" spans="1:8" s="202" customFormat="1" ht="22.7" customHeight="1" x14ac:dyDescent="0.25">
      <c r="A667" s="46" t="s">
        <v>349</v>
      </c>
      <c r="B667" s="20" t="s">
        <v>271</v>
      </c>
      <c r="C667" s="20" t="s">
        <v>222</v>
      </c>
      <c r="D667" s="20" t="s">
        <v>1420</v>
      </c>
      <c r="E667" s="20" t="s">
        <v>216</v>
      </c>
      <c r="F667" s="6">
        <f>'Пр.4 ведом.21'!G309</f>
        <v>671</v>
      </c>
      <c r="G667" s="6">
        <f>'Пр.4 ведом.21'!H309</f>
        <v>73.436999999999998</v>
      </c>
      <c r="H667" s="416">
        <f t="shared" si="135"/>
        <v>10.944411326378539</v>
      </c>
    </row>
    <row r="668" spans="1:8" s="202" customFormat="1" ht="63" x14ac:dyDescent="0.25">
      <c r="A668" s="31" t="s">
        <v>296</v>
      </c>
      <c r="B668" s="20" t="s">
        <v>271</v>
      </c>
      <c r="C668" s="20" t="s">
        <v>222</v>
      </c>
      <c r="D668" s="20" t="s">
        <v>1226</v>
      </c>
      <c r="E668" s="20"/>
      <c r="F668" s="6">
        <f>F669</f>
        <v>106</v>
      </c>
      <c r="G668" s="6">
        <f>G669</f>
        <v>12.95</v>
      </c>
      <c r="H668" s="416">
        <f t="shared" si="135"/>
        <v>12.216981132075471</v>
      </c>
    </row>
    <row r="669" spans="1:8" s="202" customFormat="1" ht="78.75" x14ac:dyDescent="0.25">
      <c r="A669" s="25" t="s">
        <v>134</v>
      </c>
      <c r="B669" s="20" t="s">
        <v>271</v>
      </c>
      <c r="C669" s="20" t="s">
        <v>222</v>
      </c>
      <c r="D669" s="20" t="s">
        <v>1226</v>
      </c>
      <c r="E669" s="20" t="s">
        <v>135</v>
      </c>
      <c r="F669" s="6">
        <f>F670</f>
        <v>106</v>
      </c>
      <c r="G669" s="6">
        <f>G670</f>
        <v>12.95</v>
      </c>
      <c r="H669" s="416">
        <f t="shared" si="135"/>
        <v>12.216981132075471</v>
      </c>
    </row>
    <row r="670" spans="1:8" s="202" customFormat="1" ht="21.2" customHeight="1" x14ac:dyDescent="0.25">
      <c r="A670" s="46" t="s">
        <v>349</v>
      </c>
      <c r="B670" s="20" t="s">
        <v>271</v>
      </c>
      <c r="C670" s="20" t="s">
        <v>222</v>
      </c>
      <c r="D670" s="20" t="s">
        <v>1226</v>
      </c>
      <c r="E670" s="20" t="s">
        <v>216</v>
      </c>
      <c r="F670" s="6">
        <f>'Пр.4 ведом.21'!G312</f>
        <v>106</v>
      </c>
      <c r="G670" s="6">
        <f>'Пр.4 ведом.21'!H312</f>
        <v>12.95</v>
      </c>
      <c r="H670" s="416">
        <f t="shared" si="135"/>
        <v>12.216981132075471</v>
      </c>
    </row>
    <row r="671" spans="1:8" s="202" customFormat="1" ht="63" x14ac:dyDescent="0.25">
      <c r="A671" s="31" t="s">
        <v>298</v>
      </c>
      <c r="B671" s="20" t="s">
        <v>271</v>
      </c>
      <c r="C671" s="20" t="s">
        <v>222</v>
      </c>
      <c r="D671" s="20" t="s">
        <v>1227</v>
      </c>
      <c r="E671" s="20"/>
      <c r="F671" s="6">
        <f>F672</f>
        <v>298.40000000000003</v>
      </c>
      <c r="G671" s="6">
        <f>G672</f>
        <v>32.856999999999999</v>
      </c>
      <c r="H671" s="416">
        <f t="shared" si="135"/>
        <v>11.011058981233242</v>
      </c>
    </row>
    <row r="672" spans="1:8" s="202" customFormat="1" ht="78.75" x14ac:dyDescent="0.25">
      <c r="A672" s="25" t="s">
        <v>134</v>
      </c>
      <c r="B672" s="20" t="s">
        <v>271</v>
      </c>
      <c r="C672" s="20" t="s">
        <v>222</v>
      </c>
      <c r="D672" s="20" t="s">
        <v>1227</v>
      </c>
      <c r="E672" s="20" t="s">
        <v>135</v>
      </c>
      <c r="F672" s="6">
        <f>F673</f>
        <v>298.40000000000003</v>
      </c>
      <c r="G672" s="6">
        <f>G673</f>
        <v>32.856999999999999</v>
      </c>
      <c r="H672" s="416">
        <f t="shared" si="135"/>
        <v>11.011058981233242</v>
      </c>
    </row>
    <row r="673" spans="1:8" s="202" customFormat="1" ht="21.2" customHeight="1" x14ac:dyDescent="0.25">
      <c r="A673" s="46" t="s">
        <v>349</v>
      </c>
      <c r="B673" s="20" t="s">
        <v>271</v>
      </c>
      <c r="C673" s="20" t="s">
        <v>222</v>
      </c>
      <c r="D673" s="20" t="s">
        <v>1227</v>
      </c>
      <c r="E673" s="20" t="s">
        <v>216</v>
      </c>
      <c r="F673" s="6">
        <f>'Пр.4 ведом.21'!G315</f>
        <v>298.40000000000003</v>
      </c>
      <c r="G673" s="6">
        <f>'Пр.4 ведом.21'!H315</f>
        <v>32.856999999999999</v>
      </c>
      <c r="H673" s="416">
        <f t="shared" si="135"/>
        <v>11.011058981233242</v>
      </c>
    </row>
    <row r="674" spans="1:8" s="202" customFormat="1" ht="45.75" customHeight="1" x14ac:dyDescent="0.25">
      <c r="A674" s="34" t="s">
        <v>1374</v>
      </c>
      <c r="B674" s="24" t="s">
        <v>271</v>
      </c>
      <c r="C674" s="24" t="s">
        <v>222</v>
      </c>
      <c r="D674" s="24" t="s">
        <v>331</v>
      </c>
      <c r="E674" s="24"/>
      <c r="F674" s="21">
        <f>F676</f>
        <v>8</v>
      </c>
      <c r="G674" s="21">
        <f>G676</f>
        <v>0</v>
      </c>
      <c r="H674" s="441">
        <f t="shared" si="135"/>
        <v>0</v>
      </c>
    </row>
    <row r="675" spans="1:8" s="202" customFormat="1" ht="63.2" customHeight="1" x14ac:dyDescent="0.25">
      <c r="A675" s="34" t="s">
        <v>1035</v>
      </c>
      <c r="B675" s="24" t="s">
        <v>271</v>
      </c>
      <c r="C675" s="24" t="s">
        <v>222</v>
      </c>
      <c r="D675" s="24" t="s">
        <v>944</v>
      </c>
      <c r="E675" s="24"/>
      <c r="F675" s="21">
        <f>F678</f>
        <v>8</v>
      </c>
      <c r="G675" s="21">
        <f>G678</f>
        <v>0</v>
      </c>
      <c r="H675" s="441">
        <f t="shared" si="135"/>
        <v>0</v>
      </c>
    </row>
    <row r="676" spans="1:8" s="202" customFormat="1" ht="51" customHeight="1" x14ac:dyDescent="0.25">
      <c r="A676" s="31" t="s">
        <v>1091</v>
      </c>
      <c r="B676" s="20" t="s">
        <v>271</v>
      </c>
      <c r="C676" s="20" t="s">
        <v>222</v>
      </c>
      <c r="D676" s="20" t="s">
        <v>1036</v>
      </c>
      <c r="E676" s="20"/>
      <c r="F676" s="26">
        <f>F677</f>
        <v>8</v>
      </c>
      <c r="G676" s="26">
        <f>G677</f>
        <v>0</v>
      </c>
      <c r="H676" s="416">
        <f t="shared" si="135"/>
        <v>0</v>
      </c>
    </row>
    <row r="677" spans="1:8" s="202" customFormat="1" ht="39.4" customHeight="1" x14ac:dyDescent="0.25">
      <c r="A677" s="25" t="s">
        <v>138</v>
      </c>
      <c r="B677" s="20" t="s">
        <v>271</v>
      </c>
      <c r="C677" s="20" t="s">
        <v>222</v>
      </c>
      <c r="D677" s="20" t="s">
        <v>1036</v>
      </c>
      <c r="E677" s="20" t="s">
        <v>139</v>
      </c>
      <c r="F677" s="26">
        <f>F678</f>
        <v>8</v>
      </c>
      <c r="G677" s="26">
        <f>G678</f>
        <v>0</v>
      </c>
      <c r="H677" s="416">
        <f t="shared" si="135"/>
        <v>0</v>
      </c>
    </row>
    <row r="678" spans="1:8" s="202" customFormat="1" ht="35.450000000000003" customHeight="1" x14ac:dyDescent="0.25">
      <c r="A678" s="25" t="s">
        <v>140</v>
      </c>
      <c r="B678" s="20" t="s">
        <v>271</v>
      </c>
      <c r="C678" s="20" t="s">
        <v>222</v>
      </c>
      <c r="D678" s="20" t="s">
        <v>1036</v>
      </c>
      <c r="E678" s="20" t="s">
        <v>141</v>
      </c>
      <c r="F678" s="26">
        <f>'Пр.4 ведом.21'!G320</f>
        <v>8</v>
      </c>
      <c r="G678" s="26">
        <f>'Пр.4 ведом.21'!H320</f>
        <v>0</v>
      </c>
      <c r="H678" s="416">
        <f t="shared" si="135"/>
        <v>0</v>
      </c>
    </row>
    <row r="679" spans="1:8" s="202" customFormat="1" ht="47.25" x14ac:dyDescent="0.25">
      <c r="A679" s="41" t="s">
        <v>1369</v>
      </c>
      <c r="B679" s="24" t="s">
        <v>271</v>
      </c>
      <c r="C679" s="24" t="s">
        <v>222</v>
      </c>
      <c r="D679" s="24" t="s">
        <v>715</v>
      </c>
      <c r="E679" s="24"/>
      <c r="F679" s="4">
        <f>F680</f>
        <v>687</v>
      </c>
      <c r="G679" s="4">
        <f>G680</f>
        <v>104.846</v>
      </c>
      <c r="H679" s="441">
        <f t="shared" si="135"/>
        <v>15.261426491994179</v>
      </c>
    </row>
    <row r="680" spans="1:8" s="202" customFormat="1" ht="47.25" x14ac:dyDescent="0.25">
      <c r="A680" s="41" t="s">
        <v>900</v>
      </c>
      <c r="B680" s="24" t="s">
        <v>271</v>
      </c>
      <c r="C680" s="24" t="s">
        <v>222</v>
      </c>
      <c r="D680" s="24" t="s">
        <v>898</v>
      </c>
      <c r="E680" s="24"/>
      <c r="F680" s="4">
        <f>F681+F684</f>
        <v>687</v>
      </c>
      <c r="G680" s="4">
        <f>G681+G684</f>
        <v>104.846</v>
      </c>
      <c r="H680" s="441">
        <f t="shared" si="135"/>
        <v>15.261426491994179</v>
      </c>
    </row>
    <row r="681" spans="1:8" s="202" customFormat="1" ht="35.450000000000003" customHeight="1" x14ac:dyDescent="0.25">
      <c r="A681" s="98" t="s">
        <v>1014</v>
      </c>
      <c r="B681" s="20" t="s">
        <v>271</v>
      </c>
      <c r="C681" s="20" t="s">
        <v>222</v>
      </c>
      <c r="D681" s="20" t="s">
        <v>899</v>
      </c>
      <c r="E681" s="32"/>
      <c r="F681" s="6">
        <f>F682</f>
        <v>395.9</v>
      </c>
      <c r="G681" s="6">
        <f>G682</f>
        <v>53.933999999999997</v>
      </c>
      <c r="H681" s="416">
        <f t="shared" si="135"/>
        <v>13.623137155847436</v>
      </c>
    </row>
    <row r="682" spans="1:8" s="202" customFormat="1" ht="31.5" x14ac:dyDescent="0.25">
      <c r="A682" s="25" t="s">
        <v>138</v>
      </c>
      <c r="B682" s="20" t="s">
        <v>271</v>
      </c>
      <c r="C682" s="20" t="s">
        <v>222</v>
      </c>
      <c r="D682" s="20" t="s">
        <v>899</v>
      </c>
      <c r="E682" s="32" t="s">
        <v>139</v>
      </c>
      <c r="F682" s="6">
        <f>F683</f>
        <v>395.9</v>
      </c>
      <c r="G682" s="6">
        <f>G683</f>
        <v>53.933999999999997</v>
      </c>
      <c r="H682" s="416">
        <f t="shared" si="135"/>
        <v>13.623137155847436</v>
      </c>
    </row>
    <row r="683" spans="1:8" s="202" customFormat="1" ht="36.75" customHeight="1" x14ac:dyDescent="0.25">
      <c r="A683" s="25" t="s">
        <v>140</v>
      </c>
      <c r="B683" s="20" t="s">
        <v>271</v>
      </c>
      <c r="C683" s="20" t="s">
        <v>222</v>
      </c>
      <c r="D683" s="20" t="s">
        <v>899</v>
      </c>
      <c r="E683" s="32" t="s">
        <v>141</v>
      </c>
      <c r="F683" s="6">
        <f>'Пр.4 ведом.21'!G325</f>
        <v>395.9</v>
      </c>
      <c r="G683" s="6">
        <f>'Пр.4 ведом.21'!H325</f>
        <v>53.933999999999997</v>
      </c>
      <c r="H683" s="416">
        <f t="shared" si="135"/>
        <v>13.623137155847436</v>
      </c>
    </row>
    <row r="684" spans="1:8" s="202" customFormat="1" ht="47.25" x14ac:dyDescent="0.25">
      <c r="A684" s="98" t="s">
        <v>790</v>
      </c>
      <c r="B684" s="20" t="s">
        <v>271</v>
      </c>
      <c r="C684" s="20" t="s">
        <v>222</v>
      </c>
      <c r="D684" s="20" t="s">
        <v>946</v>
      </c>
      <c r="E684" s="32"/>
      <c r="F684" s="6">
        <f>F685</f>
        <v>291.10000000000002</v>
      </c>
      <c r="G684" s="6">
        <f>G685</f>
        <v>50.911999999999999</v>
      </c>
      <c r="H684" s="416">
        <f t="shared" si="135"/>
        <v>17.489522500858808</v>
      </c>
    </row>
    <row r="685" spans="1:8" s="202" customFormat="1" ht="31.5" x14ac:dyDescent="0.25">
      <c r="A685" s="29" t="s">
        <v>279</v>
      </c>
      <c r="B685" s="20" t="s">
        <v>271</v>
      </c>
      <c r="C685" s="20" t="s">
        <v>222</v>
      </c>
      <c r="D685" s="20" t="s">
        <v>946</v>
      </c>
      <c r="E685" s="32" t="s">
        <v>280</v>
      </c>
      <c r="F685" s="6">
        <f>F686</f>
        <v>291.10000000000002</v>
      </c>
      <c r="G685" s="6">
        <f>G686</f>
        <v>50.911999999999999</v>
      </c>
      <c r="H685" s="416">
        <f t="shared" si="135"/>
        <v>17.489522500858808</v>
      </c>
    </row>
    <row r="686" spans="1:8" s="202" customFormat="1" ht="15.75" x14ac:dyDescent="0.25">
      <c r="A686" s="184" t="s">
        <v>281</v>
      </c>
      <c r="B686" s="20" t="s">
        <v>271</v>
      </c>
      <c r="C686" s="20" t="s">
        <v>222</v>
      </c>
      <c r="D686" s="20" t="s">
        <v>946</v>
      </c>
      <c r="E686" s="32" t="s">
        <v>282</v>
      </c>
      <c r="F686" s="6">
        <f>'Пр.4 ведом.21'!G712</f>
        <v>291.10000000000002</v>
      </c>
      <c r="G686" s="6">
        <f>'Пр.4 ведом.21'!H712</f>
        <v>50.911999999999999</v>
      </c>
      <c r="H686" s="416">
        <f t="shared" si="135"/>
        <v>17.489522500858808</v>
      </c>
    </row>
    <row r="687" spans="1:8" s="202" customFormat="1" ht="15.75" x14ac:dyDescent="0.25">
      <c r="A687" s="23" t="s">
        <v>473</v>
      </c>
      <c r="B687" s="24" t="s">
        <v>271</v>
      </c>
      <c r="C687" s="24" t="s">
        <v>271</v>
      </c>
      <c r="D687" s="24"/>
      <c r="E687" s="217"/>
      <c r="F687" s="4">
        <f>F688+F707</f>
        <v>6321.1</v>
      </c>
      <c r="G687" s="4">
        <f>G688+G707</f>
        <v>148.316</v>
      </c>
      <c r="H687" s="441">
        <f t="shared" si="135"/>
        <v>2.3463637658002563</v>
      </c>
    </row>
    <row r="688" spans="1:8" s="202" customFormat="1" ht="47.25" x14ac:dyDescent="0.25">
      <c r="A688" s="23" t="s">
        <v>1395</v>
      </c>
      <c r="B688" s="24" t="s">
        <v>271</v>
      </c>
      <c r="C688" s="24" t="s">
        <v>271</v>
      </c>
      <c r="D688" s="24" t="s">
        <v>351</v>
      </c>
      <c r="E688" s="24"/>
      <c r="F688" s="4">
        <f>F689</f>
        <v>760</v>
      </c>
      <c r="G688" s="4">
        <f>G689</f>
        <v>148.316</v>
      </c>
      <c r="H688" s="441">
        <f t="shared" si="135"/>
        <v>19.51526315789474</v>
      </c>
    </row>
    <row r="689" spans="1:8" s="202" customFormat="1" ht="31.5" x14ac:dyDescent="0.25">
      <c r="A689" s="23" t="s">
        <v>352</v>
      </c>
      <c r="B689" s="24" t="s">
        <v>271</v>
      </c>
      <c r="C689" s="24" t="s">
        <v>271</v>
      </c>
      <c r="D689" s="24" t="s">
        <v>353</v>
      </c>
      <c r="E689" s="24"/>
      <c r="F689" s="4">
        <f>F690+F697+F703</f>
        <v>760</v>
      </c>
      <c r="G689" s="4">
        <f>G690+G697+G703</f>
        <v>148.316</v>
      </c>
      <c r="H689" s="441">
        <f t="shared" si="135"/>
        <v>19.51526315789474</v>
      </c>
    </row>
    <row r="690" spans="1:8" s="202" customFormat="1" ht="47.25" x14ac:dyDescent="0.25">
      <c r="A690" s="206" t="s">
        <v>1039</v>
      </c>
      <c r="B690" s="24" t="s">
        <v>271</v>
      </c>
      <c r="C690" s="24" t="s">
        <v>271</v>
      </c>
      <c r="D690" s="24" t="s">
        <v>902</v>
      </c>
      <c r="E690" s="24"/>
      <c r="F690" s="4">
        <f>F691+F694</f>
        <v>280</v>
      </c>
      <c r="G690" s="4">
        <f>G691+G694</f>
        <v>0</v>
      </c>
      <c r="H690" s="441">
        <f t="shared" si="135"/>
        <v>0</v>
      </c>
    </row>
    <row r="691" spans="1:8" s="202" customFormat="1" ht="31.5" x14ac:dyDescent="0.25">
      <c r="A691" s="98" t="s">
        <v>1045</v>
      </c>
      <c r="B691" s="20" t="s">
        <v>271</v>
      </c>
      <c r="C691" s="20" t="s">
        <v>271</v>
      </c>
      <c r="D691" s="20" t="s">
        <v>903</v>
      </c>
      <c r="E691" s="20"/>
      <c r="F691" s="6">
        <f>F692</f>
        <v>280</v>
      </c>
      <c r="G691" s="6">
        <f>G692</f>
        <v>0</v>
      </c>
      <c r="H691" s="416">
        <f t="shared" si="135"/>
        <v>0</v>
      </c>
    </row>
    <row r="692" spans="1:8" s="202" customFormat="1" ht="78.75" x14ac:dyDescent="0.25">
      <c r="A692" s="25" t="s">
        <v>134</v>
      </c>
      <c r="B692" s="20" t="s">
        <v>271</v>
      </c>
      <c r="C692" s="20" t="s">
        <v>271</v>
      </c>
      <c r="D692" s="20" t="s">
        <v>903</v>
      </c>
      <c r="E692" s="20" t="s">
        <v>135</v>
      </c>
      <c r="F692" s="6">
        <f>F693</f>
        <v>280</v>
      </c>
      <c r="G692" s="6">
        <f>G693</f>
        <v>0</v>
      </c>
      <c r="H692" s="416">
        <f t="shared" si="135"/>
        <v>0</v>
      </c>
    </row>
    <row r="693" spans="1:8" s="202" customFormat="1" ht="17.45" customHeight="1" x14ac:dyDescent="0.25">
      <c r="A693" s="25" t="s">
        <v>349</v>
      </c>
      <c r="B693" s="20" t="s">
        <v>271</v>
      </c>
      <c r="C693" s="20" t="s">
        <v>271</v>
      </c>
      <c r="D693" s="20" t="s">
        <v>903</v>
      </c>
      <c r="E693" s="20" t="s">
        <v>216</v>
      </c>
      <c r="F693" s="6">
        <f>'Пр.4 ведом.21'!G332</f>
        <v>280</v>
      </c>
      <c r="G693" s="6">
        <f>'Пр.4 ведом.21'!H332</f>
        <v>0</v>
      </c>
      <c r="H693" s="416">
        <f t="shared" si="135"/>
        <v>0</v>
      </c>
    </row>
    <row r="694" spans="1:8" s="202" customFormat="1" ht="19.5" hidden="1" customHeight="1" x14ac:dyDescent="0.25">
      <c r="A694" s="25" t="s">
        <v>1040</v>
      </c>
      <c r="B694" s="20" t="s">
        <v>271</v>
      </c>
      <c r="C694" s="20" t="s">
        <v>271</v>
      </c>
      <c r="D694" s="20" t="s">
        <v>1057</v>
      </c>
      <c r="E694" s="20"/>
      <c r="F694" s="6">
        <f>F695</f>
        <v>0</v>
      </c>
      <c r="G694" s="6">
        <f>G695</f>
        <v>0</v>
      </c>
      <c r="H694" s="416" t="e">
        <f t="shared" si="135"/>
        <v>#DIV/0!</v>
      </c>
    </row>
    <row r="695" spans="1:8" s="202" customFormat="1" ht="31.5" hidden="1" x14ac:dyDescent="0.25">
      <c r="A695" s="25" t="s">
        <v>138</v>
      </c>
      <c r="B695" s="20" t="s">
        <v>271</v>
      </c>
      <c r="C695" s="20" t="s">
        <v>271</v>
      </c>
      <c r="D695" s="20" t="s">
        <v>1057</v>
      </c>
      <c r="E695" s="20" t="s">
        <v>139</v>
      </c>
      <c r="F695" s="6">
        <f>F696</f>
        <v>0</v>
      </c>
      <c r="G695" s="6">
        <f>G696</f>
        <v>0</v>
      </c>
      <c r="H695" s="416" t="e">
        <f t="shared" si="135"/>
        <v>#DIV/0!</v>
      </c>
    </row>
    <row r="696" spans="1:8" s="202" customFormat="1" ht="31.5" hidden="1" x14ac:dyDescent="0.25">
      <c r="A696" s="25" t="s">
        <v>140</v>
      </c>
      <c r="B696" s="20" t="s">
        <v>271</v>
      </c>
      <c r="C696" s="20" t="s">
        <v>271</v>
      </c>
      <c r="D696" s="20" t="s">
        <v>1057</v>
      </c>
      <c r="E696" s="20" t="s">
        <v>141</v>
      </c>
      <c r="F696" s="6">
        <f>'Пр.4 ведом.21'!G335</f>
        <v>0</v>
      </c>
      <c r="G696" s="6">
        <f>'Пр.4 ведом.21'!H335</f>
        <v>0</v>
      </c>
      <c r="H696" s="416" t="e">
        <f t="shared" si="135"/>
        <v>#DIV/0!</v>
      </c>
    </row>
    <row r="697" spans="1:8" s="202" customFormat="1" ht="63" x14ac:dyDescent="0.25">
      <c r="A697" s="23" t="s">
        <v>1041</v>
      </c>
      <c r="B697" s="24" t="s">
        <v>271</v>
      </c>
      <c r="C697" s="24" t="s">
        <v>271</v>
      </c>
      <c r="D697" s="24" t="s">
        <v>904</v>
      </c>
      <c r="E697" s="24"/>
      <c r="F697" s="4">
        <f>F698</f>
        <v>455</v>
      </c>
      <c r="G697" s="4">
        <f>G698</f>
        <v>123.316</v>
      </c>
      <c r="H697" s="441">
        <f t="shared" si="135"/>
        <v>27.10241758241758</v>
      </c>
    </row>
    <row r="698" spans="1:8" s="202" customFormat="1" ht="15.75" x14ac:dyDescent="0.25">
      <c r="A698" s="25" t="s">
        <v>1042</v>
      </c>
      <c r="B698" s="20" t="s">
        <v>271</v>
      </c>
      <c r="C698" s="20" t="s">
        <v>271</v>
      </c>
      <c r="D698" s="20" t="s">
        <v>911</v>
      </c>
      <c r="E698" s="20"/>
      <c r="F698" s="6">
        <f>F699+F701</f>
        <v>455</v>
      </c>
      <c r="G698" s="6">
        <f>G699+G701</f>
        <v>123.316</v>
      </c>
      <c r="H698" s="416">
        <f t="shared" si="135"/>
        <v>27.10241758241758</v>
      </c>
    </row>
    <row r="699" spans="1:8" s="202" customFormat="1" ht="78.75" x14ac:dyDescent="0.25">
      <c r="A699" s="25" t="s">
        <v>134</v>
      </c>
      <c r="B699" s="20" t="s">
        <v>271</v>
      </c>
      <c r="C699" s="20" t="s">
        <v>271</v>
      </c>
      <c r="D699" s="20" t="s">
        <v>911</v>
      </c>
      <c r="E699" s="20" t="s">
        <v>135</v>
      </c>
      <c r="F699" s="6">
        <f>F700</f>
        <v>40</v>
      </c>
      <c r="G699" s="6">
        <f>G700</f>
        <v>0</v>
      </c>
      <c r="H699" s="416">
        <f t="shared" si="135"/>
        <v>0</v>
      </c>
    </row>
    <row r="700" spans="1:8" s="202" customFormat="1" ht="18.75" customHeight="1" x14ac:dyDescent="0.25">
      <c r="A700" s="25" t="s">
        <v>349</v>
      </c>
      <c r="B700" s="20" t="s">
        <v>271</v>
      </c>
      <c r="C700" s="20" t="s">
        <v>271</v>
      </c>
      <c r="D700" s="20" t="s">
        <v>911</v>
      </c>
      <c r="E700" s="20" t="s">
        <v>216</v>
      </c>
      <c r="F700" s="6">
        <f>'Пр.4 ведом.21'!G339</f>
        <v>40</v>
      </c>
      <c r="G700" s="6">
        <f>'Пр.4 ведом.21'!H339</f>
        <v>0</v>
      </c>
      <c r="H700" s="416">
        <f t="shared" si="135"/>
        <v>0</v>
      </c>
    </row>
    <row r="701" spans="1:8" s="202" customFormat="1" ht="31.5" x14ac:dyDescent="0.25">
      <c r="A701" s="25" t="s">
        <v>138</v>
      </c>
      <c r="B701" s="20" t="s">
        <v>271</v>
      </c>
      <c r="C701" s="20" t="s">
        <v>271</v>
      </c>
      <c r="D701" s="20" t="s">
        <v>911</v>
      </c>
      <c r="E701" s="20" t="s">
        <v>139</v>
      </c>
      <c r="F701" s="6">
        <f>F702</f>
        <v>415</v>
      </c>
      <c r="G701" s="6">
        <f>G702</f>
        <v>123.316</v>
      </c>
      <c r="H701" s="416">
        <f t="shared" si="135"/>
        <v>29.714698795180723</v>
      </c>
    </row>
    <row r="702" spans="1:8" s="202" customFormat="1" ht="31.5" x14ac:dyDescent="0.25">
      <c r="A702" s="25" t="s">
        <v>140</v>
      </c>
      <c r="B702" s="20" t="s">
        <v>271</v>
      </c>
      <c r="C702" s="20" t="s">
        <v>271</v>
      </c>
      <c r="D702" s="20" t="s">
        <v>911</v>
      </c>
      <c r="E702" s="20" t="s">
        <v>141</v>
      </c>
      <c r="F702" s="6">
        <f>'Пр.4 ведом.21'!G341</f>
        <v>415</v>
      </c>
      <c r="G702" s="6">
        <f>'Пр.4 ведом.21'!H341</f>
        <v>123.316</v>
      </c>
      <c r="H702" s="416">
        <f t="shared" si="135"/>
        <v>29.714698795180723</v>
      </c>
    </row>
    <row r="703" spans="1:8" s="202" customFormat="1" ht="31.5" x14ac:dyDescent="0.25">
      <c r="A703" s="23" t="s">
        <v>1423</v>
      </c>
      <c r="B703" s="24" t="s">
        <v>271</v>
      </c>
      <c r="C703" s="24" t="s">
        <v>271</v>
      </c>
      <c r="D703" s="24" t="s">
        <v>1043</v>
      </c>
      <c r="E703" s="24"/>
      <c r="F703" s="4">
        <f t="shared" ref="F703:G705" si="137">F704</f>
        <v>25</v>
      </c>
      <c r="G703" s="4">
        <f t="shared" si="137"/>
        <v>25</v>
      </c>
      <c r="H703" s="441">
        <f t="shared" si="135"/>
        <v>100</v>
      </c>
    </row>
    <row r="704" spans="1:8" s="202" customFormat="1" ht="47.25" x14ac:dyDescent="0.25">
      <c r="A704" s="226" t="s">
        <v>1044</v>
      </c>
      <c r="B704" s="20" t="s">
        <v>271</v>
      </c>
      <c r="C704" s="20" t="s">
        <v>271</v>
      </c>
      <c r="D704" s="20" t="s">
        <v>1058</v>
      </c>
      <c r="E704" s="20"/>
      <c r="F704" s="6">
        <f t="shared" si="137"/>
        <v>25</v>
      </c>
      <c r="G704" s="6">
        <f t="shared" si="137"/>
        <v>25</v>
      </c>
      <c r="H704" s="416">
        <f t="shared" si="135"/>
        <v>100</v>
      </c>
    </row>
    <row r="705" spans="1:8" s="202" customFormat="1" ht="21.2" customHeight="1" x14ac:dyDescent="0.25">
      <c r="A705" s="25" t="s">
        <v>255</v>
      </c>
      <c r="B705" s="20" t="s">
        <v>271</v>
      </c>
      <c r="C705" s="20" t="s">
        <v>271</v>
      </c>
      <c r="D705" s="20" t="s">
        <v>1058</v>
      </c>
      <c r="E705" s="20" t="s">
        <v>256</v>
      </c>
      <c r="F705" s="6">
        <f t="shared" si="137"/>
        <v>25</v>
      </c>
      <c r="G705" s="6">
        <f t="shared" si="137"/>
        <v>25</v>
      </c>
      <c r="H705" s="416">
        <f t="shared" si="135"/>
        <v>100</v>
      </c>
    </row>
    <row r="706" spans="1:8" s="202" customFormat="1" ht="31.5" x14ac:dyDescent="0.25">
      <c r="A706" s="25" t="s">
        <v>355</v>
      </c>
      <c r="B706" s="20" t="s">
        <v>271</v>
      </c>
      <c r="C706" s="20" t="s">
        <v>271</v>
      </c>
      <c r="D706" s="20" t="s">
        <v>1058</v>
      </c>
      <c r="E706" s="20" t="s">
        <v>356</v>
      </c>
      <c r="F706" s="6">
        <f>'Пр.4 ведом.21'!G345</f>
        <v>25</v>
      </c>
      <c r="G706" s="6">
        <f>'Пр.4 ведом.21'!H345</f>
        <v>25</v>
      </c>
      <c r="H706" s="416">
        <f t="shared" si="135"/>
        <v>100</v>
      </c>
    </row>
    <row r="707" spans="1:8" ht="36.75" customHeight="1" x14ac:dyDescent="0.25">
      <c r="A707" s="23" t="s">
        <v>1373</v>
      </c>
      <c r="B707" s="24" t="s">
        <v>271</v>
      </c>
      <c r="C707" s="24" t="s">
        <v>271</v>
      </c>
      <c r="D707" s="24" t="s">
        <v>413</v>
      </c>
      <c r="E707" s="24"/>
      <c r="F707" s="4">
        <f t="shared" ref="F707:G710" si="138">F708</f>
        <v>5561.1</v>
      </c>
      <c r="G707" s="4">
        <f t="shared" si="138"/>
        <v>0</v>
      </c>
      <c r="H707" s="441">
        <f t="shared" si="135"/>
        <v>0</v>
      </c>
    </row>
    <row r="708" spans="1:8" ht="31.5" x14ac:dyDescent="0.25">
      <c r="A708" s="23" t="s">
        <v>953</v>
      </c>
      <c r="B708" s="24" t="s">
        <v>271</v>
      </c>
      <c r="C708" s="24" t="s">
        <v>271</v>
      </c>
      <c r="D708" s="24" t="s">
        <v>1254</v>
      </c>
      <c r="E708" s="24"/>
      <c r="F708" s="4">
        <f t="shared" si="138"/>
        <v>5561.1</v>
      </c>
      <c r="G708" s="4">
        <f t="shared" si="138"/>
        <v>0</v>
      </c>
      <c r="H708" s="441">
        <f t="shared" si="135"/>
        <v>0</v>
      </c>
    </row>
    <row r="709" spans="1:8" ht="42" customHeight="1" x14ac:dyDescent="0.25">
      <c r="A709" s="31" t="s">
        <v>1070</v>
      </c>
      <c r="B709" s="20" t="s">
        <v>271</v>
      </c>
      <c r="C709" s="20" t="s">
        <v>271</v>
      </c>
      <c r="D709" s="20" t="s">
        <v>1276</v>
      </c>
      <c r="E709" s="20"/>
      <c r="F709" s="6">
        <f t="shared" si="138"/>
        <v>5561.1</v>
      </c>
      <c r="G709" s="6">
        <f t="shared" si="138"/>
        <v>0</v>
      </c>
      <c r="H709" s="416">
        <f t="shared" si="135"/>
        <v>0</v>
      </c>
    </row>
    <row r="710" spans="1:8" ht="35.450000000000003" customHeight="1" x14ac:dyDescent="0.25">
      <c r="A710" s="25" t="s">
        <v>279</v>
      </c>
      <c r="B710" s="20" t="s">
        <v>271</v>
      </c>
      <c r="C710" s="20" t="s">
        <v>271</v>
      </c>
      <c r="D710" s="20" t="s">
        <v>1276</v>
      </c>
      <c r="E710" s="20" t="s">
        <v>280</v>
      </c>
      <c r="F710" s="6">
        <f t="shared" si="138"/>
        <v>5561.1</v>
      </c>
      <c r="G710" s="6">
        <f t="shared" si="138"/>
        <v>0</v>
      </c>
      <c r="H710" s="416">
        <f t="shared" si="135"/>
        <v>0</v>
      </c>
    </row>
    <row r="711" spans="1:8" ht="15.75" x14ac:dyDescent="0.25">
      <c r="A711" s="25" t="s">
        <v>281</v>
      </c>
      <c r="B711" s="20" t="s">
        <v>271</v>
      </c>
      <c r="C711" s="20" t="s">
        <v>271</v>
      </c>
      <c r="D711" s="20" t="s">
        <v>1276</v>
      </c>
      <c r="E711" s="20" t="s">
        <v>282</v>
      </c>
      <c r="F711" s="6">
        <f>'Пр.4 ведом.21'!G718</f>
        <v>5561.1</v>
      </c>
      <c r="G711" s="6">
        <f>'Пр.4 ведом.21'!H718</f>
        <v>0</v>
      </c>
      <c r="H711" s="416">
        <f t="shared" si="135"/>
        <v>0</v>
      </c>
    </row>
    <row r="712" spans="1:8" ht="15" customHeight="1" x14ac:dyDescent="0.25">
      <c r="A712" s="23" t="s">
        <v>302</v>
      </c>
      <c r="B712" s="24" t="s">
        <v>271</v>
      </c>
      <c r="C712" s="24" t="s">
        <v>226</v>
      </c>
      <c r="D712" s="24"/>
      <c r="E712" s="24"/>
      <c r="F712" s="4">
        <f>F713+F723</f>
        <v>19831.8</v>
      </c>
      <c r="G712" s="4">
        <f>G713+G723</f>
        <v>4337.9649999999992</v>
      </c>
      <c r="H712" s="441">
        <f t="shared" si="135"/>
        <v>21.873783519398135</v>
      </c>
    </row>
    <row r="713" spans="1:8" ht="31.5" x14ac:dyDescent="0.25">
      <c r="A713" s="23" t="s">
        <v>927</v>
      </c>
      <c r="B713" s="24" t="s">
        <v>271</v>
      </c>
      <c r="C713" s="24" t="s">
        <v>226</v>
      </c>
      <c r="D713" s="24" t="s">
        <v>868</v>
      </c>
      <c r="E713" s="24"/>
      <c r="F713" s="4">
        <f>F714</f>
        <v>6048.7</v>
      </c>
      <c r="G713" s="4">
        <f>G714</f>
        <v>1314.7039999999997</v>
      </c>
      <c r="H713" s="441">
        <f t="shared" si="135"/>
        <v>21.7353150263693</v>
      </c>
    </row>
    <row r="714" spans="1:8" ht="15.75" x14ac:dyDescent="0.25">
      <c r="A714" s="23" t="s">
        <v>928</v>
      </c>
      <c r="B714" s="24" t="s">
        <v>271</v>
      </c>
      <c r="C714" s="24" t="s">
        <v>226</v>
      </c>
      <c r="D714" s="24" t="s">
        <v>869</v>
      </c>
      <c r="E714" s="24"/>
      <c r="F714" s="4">
        <f>F715+F720</f>
        <v>6048.7</v>
      </c>
      <c r="G714" s="4">
        <f>G715+G720</f>
        <v>1314.7039999999997</v>
      </c>
      <c r="H714" s="441">
        <f t="shared" si="135"/>
        <v>21.7353150263693</v>
      </c>
    </row>
    <row r="715" spans="1:8" ht="31.5" x14ac:dyDescent="0.25">
      <c r="A715" s="25" t="s">
        <v>907</v>
      </c>
      <c r="B715" s="20" t="s">
        <v>271</v>
      </c>
      <c r="C715" s="20" t="s">
        <v>226</v>
      </c>
      <c r="D715" s="20" t="s">
        <v>870</v>
      </c>
      <c r="E715" s="20"/>
      <c r="F715" s="6">
        <f>F716+F718</f>
        <v>5922.7</v>
      </c>
      <c r="G715" s="6">
        <f>G716+G718</f>
        <v>1223.8339999999998</v>
      </c>
      <c r="H715" s="416">
        <f t="shared" ref="H715:H778" si="139">G715/F715*100</f>
        <v>20.663447414186095</v>
      </c>
    </row>
    <row r="716" spans="1:8" ht="78.75" x14ac:dyDescent="0.25">
      <c r="A716" s="25" t="s">
        <v>134</v>
      </c>
      <c r="B716" s="20" t="s">
        <v>271</v>
      </c>
      <c r="C716" s="20" t="s">
        <v>226</v>
      </c>
      <c r="D716" s="20" t="s">
        <v>870</v>
      </c>
      <c r="E716" s="20" t="s">
        <v>135</v>
      </c>
      <c r="F716" s="6">
        <f>F717</f>
        <v>5710.7</v>
      </c>
      <c r="G716" s="6">
        <f>G717</f>
        <v>1192.8589999999999</v>
      </c>
      <c r="H716" s="416">
        <f t="shared" si="139"/>
        <v>20.888139807729349</v>
      </c>
    </row>
    <row r="717" spans="1:8" ht="36.75" customHeight="1" x14ac:dyDescent="0.25">
      <c r="A717" s="25" t="s">
        <v>136</v>
      </c>
      <c r="B717" s="20" t="s">
        <v>271</v>
      </c>
      <c r="C717" s="20" t="s">
        <v>226</v>
      </c>
      <c r="D717" s="20" t="s">
        <v>870</v>
      </c>
      <c r="E717" s="20" t="s">
        <v>137</v>
      </c>
      <c r="F717" s="6">
        <f>'Пр.4 ведом.21'!G724</f>
        <v>5710.7</v>
      </c>
      <c r="G717" s="6">
        <f>'Пр.4 ведом.21'!H724</f>
        <v>1192.8589999999999</v>
      </c>
      <c r="H717" s="416">
        <f t="shared" si="139"/>
        <v>20.888139807729349</v>
      </c>
    </row>
    <row r="718" spans="1:8" ht="31.5" x14ac:dyDescent="0.25">
      <c r="A718" s="25" t="s">
        <v>138</v>
      </c>
      <c r="B718" s="20" t="s">
        <v>271</v>
      </c>
      <c r="C718" s="20" t="s">
        <v>226</v>
      </c>
      <c r="D718" s="20" t="s">
        <v>870</v>
      </c>
      <c r="E718" s="20" t="s">
        <v>139</v>
      </c>
      <c r="F718" s="6">
        <f>F719</f>
        <v>212</v>
      </c>
      <c r="G718" s="6">
        <f>G719</f>
        <v>30.975000000000001</v>
      </c>
      <c r="H718" s="416">
        <f t="shared" si="139"/>
        <v>14.610849056603776</v>
      </c>
    </row>
    <row r="719" spans="1:8" ht="31.5" x14ac:dyDescent="0.25">
      <c r="A719" s="25" t="s">
        <v>140</v>
      </c>
      <c r="B719" s="20" t="s">
        <v>271</v>
      </c>
      <c r="C719" s="20" t="s">
        <v>226</v>
      </c>
      <c r="D719" s="20" t="s">
        <v>870</v>
      </c>
      <c r="E719" s="20" t="s">
        <v>141</v>
      </c>
      <c r="F719" s="6">
        <f>'Пр.4 ведом.21'!G726</f>
        <v>212</v>
      </c>
      <c r="G719" s="6">
        <f>'Пр.4 ведом.21'!H726</f>
        <v>30.975000000000001</v>
      </c>
      <c r="H719" s="416">
        <f t="shared" si="139"/>
        <v>14.610849056603776</v>
      </c>
    </row>
    <row r="720" spans="1:8" ht="47.25" x14ac:dyDescent="0.25">
      <c r="A720" s="25" t="s">
        <v>849</v>
      </c>
      <c r="B720" s="20" t="s">
        <v>271</v>
      </c>
      <c r="C720" s="20" t="s">
        <v>226</v>
      </c>
      <c r="D720" s="20" t="s">
        <v>872</v>
      </c>
      <c r="E720" s="20"/>
      <c r="F720" s="6">
        <f>F721</f>
        <v>126</v>
      </c>
      <c r="G720" s="6">
        <f>G721</f>
        <v>90.87</v>
      </c>
      <c r="H720" s="416">
        <f t="shared" si="139"/>
        <v>72.11904761904762</v>
      </c>
    </row>
    <row r="721" spans="1:8" ht="78.75" x14ac:dyDescent="0.25">
      <c r="A721" s="25" t="s">
        <v>134</v>
      </c>
      <c r="B721" s="20" t="s">
        <v>271</v>
      </c>
      <c r="C721" s="20" t="s">
        <v>226</v>
      </c>
      <c r="D721" s="20" t="s">
        <v>872</v>
      </c>
      <c r="E721" s="20" t="s">
        <v>135</v>
      </c>
      <c r="F721" s="6">
        <f>F722</f>
        <v>126</v>
      </c>
      <c r="G721" s="6">
        <f>G722</f>
        <v>90.87</v>
      </c>
      <c r="H721" s="416">
        <f t="shared" si="139"/>
        <v>72.11904761904762</v>
      </c>
    </row>
    <row r="722" spans="1:8" ht="31.5" x14ac:dyDescent="0.25">
      <c r="A722" s="25" t="s">
        <v>136</v>
      </c>
      <c r="B722" s="20" t="s">
        <v>271</v>
      </c>
      <c r="C722" s="20" t="s">
        <v>226</v>
      </c>
      <c r="D722" s="20" t="s">
        <v>872</v>
      </c>
      <c r="E722" s="20" t="s">
        <v>137</v>
      </c>
      <c r="F722" s="6">
        <f>'Пр.4 ведом.21'!G729</f>
        <v>126</v>
      </c>
      <c r="G722" s="6">
        <f>'Пр.4 ведом.21'!H729</f>
        <v>90.87</v>
      </c>
      <c r="H722" s="416">
        <f t="shared" si="139"/>
        <v>72.11904761904762</v>
      </c>
    </row>
    <row r="723" spans="1:8" ht="15.75" x14ac:dyDescent="0.25">
      <c r="A723" s="23" t="s">
        <v>148</v>
      </c>
      <c r="B723" s="24" t="s">
        <v>271</v>
      </c>
      <c r="C723" s="24" t="s">
        <v>226</v>
      </c>
      <c r="D723" s="24" t="s">
        <v>876</v>
      </c>
      <c r="E723" s="24"/>
      <c r="F723" s="4">
        <f>F724+F728</f>
        <v>13783.1</v>
      </c>
      <c r="G723" s="4">
        <f>G724+G728</f>
        <v>3023.2609999999995</v>
      </c>
      <c r="H723" s="441">
        <f t="shared" si="139"/>
        <v>21.934550282592447</v>
      </c>
    </row>
    <row r="724" spans="1:8" ht="31.5" x14ac:dyDescent="0.25">
      <c r="A724" s="23" t="s">
        <v>880</v>
      </c>
      <c r="B724" s="24" t="s">
        <v>271</v>
      </c>
      <c r="C724" s="24" t="s">
        <v>226</v>
      </c>
      <c r="D724" s="24" t="s">
        <v>875</v>
      </c>
      <c r="E724" s="24"/>
      <c r="F724" s="4">
        <f t="shared" ref="F724:G726" si="140">F725</f>
        <v>300</v>
      </c>
      <c r="G724" s="4">
        <f t="shared" si="140"/>
        <v>16.91</v>
      </c>
      <c r="H724" s="441">
        <f t="shared" si="139"/>
        <v>5.6366666666666667</v>
      </c>
    </row>
    <row r="725" spans="1:8" ht="15.75" x14ac:dyDescent="0.25">
      <c r="A725" s="25" t="s">
        <v>485</v>
      </c>
      <c r="B725" s="20" t="s">
        <v>271</v>
      </c>
      <c r="C725" s="20" t="s">
        <v>226</v>
      </c>
      <c r="D725" s="20" t="s">
        <v>954</v>
      </c>
      <c r="E725" s="20"/>
      <c r="F725" s="6">
        <f t="shared" si="140"/>
        <v>300</v>
      </c>
      <c r="G725" s="6">
        <f t="shared" si="140"/>
        <v>16.91</v>
      </c>
      <c r="H725" s="416">
        <f t="shared" si="139"/>
        <v>5.6366666666666667</v>
      </c>
    </row>
    <row r="726" spans="1:8" ht="31.5" x14ac:dyDescent="0.25">
      <c r="A726" s="25" t="s">
        <v>138</v>
      </c>
      <c r="B726" s="20" t="s">
        <v>271</v>
      </c>
      <c r="C726" s="20" t="s">
        <v>226</v>
      </c>
      <c r="D726" s="20" t="s">
        <v>954</v>
      </c>
      <c r="E726" s="20" t="s">
        <v>139</v>
      </c>
      <c r="F726" s="6">
        <f t="shared" si="140"/>
        <v>300</v>
      </c>
      <c r="G726" s="6">
        <f t="shared" si="140"/>
        <v>16.91</v>
      </c>
      <c r="H726" s="416">
        <f t="shared" si="139"/>
        <v>5.6366666666666667</v>
      </c>
    </row>
    <row r="727" spans="1:8" ht="39.75" customHeight="1" x14ac:dyDescent="0.25">
      <c r="A727" s="25" t="s">
        <v>140</v>
      </c>
      <c r="B727" s="20" t="s">
        <v>271</v>
      </c>
      <c r="C727" s="20" t="s">
        <v>226</v>
      </c>
      <c r="D727" s="20" t="s">
        <v>954</v>
      </c>
      <c r="E727" s="20" t="s">
        <v>141</v>
      </c>
      <c r="F727" s="6">
        <f>'Пр.4 ведом.21'!G734</f>
        <v>300</v>
      </c>
      <c r="G727" s="6">
        <f>'Пр.4 ведом.21'!H734</f>
        <v>16.91</v>
      </c>
      <c r="H727" s="416">
        <f t="shared" si="139"/>
        <v>5.6366666666666667</v>
      </c>
    </row>
    <row r="728" spans="1:8" ht="36.75" customHeight="1" x14ac:dyDescent="0.25">
      <c r="A728" s="23" t="s">
        <v>939</v>
      </c>
      <c r="B728" s="24" t="s">
        <v>271</v>
      </c>
      <c r="C728" s="24" t="s">
        <v>226</v>
      </c>
      <c r="D728" s="24" t="s">
        <v>924</v>
      </c>
      <c r="E728" s="24"/>
      <c r="F728" s="4">
        <f>F729+F736</f>
        <v>13483.1</v>
      </c>
      <c r="G728" s="4">
        <f>G729+G736</f>
        <v>3006.3509999999997</v>
      </c>
      <c r="H728" s="441">
        <f t="shared" si="139"/>
        <v>22.297179432029722</v>
      </c>
    </row>
    <row r="729" spans="1:8" ht="31.5" x14ac:dyDescent="0.25">
      <c r="A729" s="25" t="s">
        <v>913</v>
      </c>
      <c r="B729" s="20" t="s">
        <v>271</v>
      </c>
      <c r="C729" s="20" t="s">
        <v>226</v>
      </c>
      <c r="D729" s="20" t="s">
        <v>925</v>
      </c>
      <c r="E729" s="20"/>
      <c r="F729" s="366">
        <f>F730+F732+F734</f>
        <v>12977.1</v>
      </c>
      <c r="G729" s="366">
        <f>G730+G732+G734</f>
        <v>2741.5639999999999</v>
      </c>
      <c r="H729" s="416">
        <f t="shared" si="139"/>
        <v>21.126168404343034</v>
      </c>
    </row>
    <row r="730" spans="1:8" ht="78.75" x14ac:dyDescent="0.25">
      <c r="A730" s="25" t="s">
        <v>134</v>
      </c>
      <c r="B730" s="20" t="s">
        <v>271</v>
      </c>
      <c r="C730" s="20" t="s">
        <v>226</v>
      </c>
      <c r="D730" s="20" t="s">
        <v>925</v>
      </c>
      <c r="E730" s="20" t="s">
        <v>135</v>
      </c>
      <c r="F730" s="366">
        <f>F731</f>
        <v>11885.1</v>
      </c>
      <c r="G730" s="366">
        <f>G731</f>
        <v>2507.556</v>
      </c>
      <c r="H730" s="416">
        <f t="shared" si="139"/>
        <v>21.098316379332104</v>
      </c>
    </row>
    <row r="731" spans="1:8" ht="24" customHeight="1" x14ac:dyDescent="0.25">
      <c r="A731" s="25" t="s">
        <v>349</v>
      </c>
      <c r="B731" s="20" t="s">
        <v>271</v>
      </c>
      <c r="C731" s="20" t="s">
        <v>226</v>
      </c>
      <c r="D731" s="20" t="s">
        <v>925</v>
      </c>
      <c r="E731" s="20" t="s">
        <v>216</v>
      </c>
      <c r="F731" s="6">
        <f>'Пр.4 ведом.21'!G738</f>
        <v>11885.1</v>
      </c>
      <c r="G731" s="6">
        <f>'Пр.4 ведом.21'!H738</f>
        <v>2507.556</v>
      </c>
      <c r="H731" s="416">
        <f t="shared" si="139"/>
        <v>21.098316379332104</v>
      </c>
    </row>
    <row r="732" spans="1:8" ht="31.5" x14ac:dyDescent="0.25">
      <c r="A732" s="25" t="s">
        <v>138</v>
      </c>
      <c r="B732" s="20" t="s">
        <v>271</v>
      </c>
      <c r="C732" s="20" t="s">
        <v>226</v>
      </c>
      <c r="D732" s="20" t="s">
        <v>925</v>
      </c>
      <c r="E732" s="20" t="s">
        <v>139</v>
      </c>
      <c r="F732" s="6">
        <f>F733</f>
        <v>1077</v>
      </c>
      <c r="G732" s="6">
        <f>G733</f>
        <v>234.00800000000001</v>
      </c>
      <c r="H732" s="416">
        <f t="shared" si="139"/>
        <v>21.727762302692668</v>
      </c>
    </row>
    <row r="733" spans="1:8" ht="31.7" customHeight="1" x14ac:dyDescent="0.25">
      <c r="A733" s="25" t="s">
        <v>140</v>
      </c>
      <c r="B733" s="20" t="s">
        <v>271</v>
      </c>
      <c r="C733" s="20" t="s">
        <v>226</v>
      </c>
      <c r="D733" s="20" t="s">
        <v>925</v>
      </c>
      <c r="E733" s="20" t="s">
        <v>141</v>
      </c>
      <c r="F733" s="6">
        <f>'Пр.4 ведом.21'!G740</f>
        <v>1077</v>
      </c>
      <c r="G733" s="6">
        <f>'Пр.4 ведом.21'!H740</f>
        <v>234.00800000000001</v>
      </c>
      <c r="H733" s="416">
        <f t="shared" si="139"/>
        <v>21.727762302692668</v>
      </c>
    </row>
    <row r="734" spans="1:8" ht="22.7" customHeight="1" x14ac:dyDescent="0.25">
      <c r="A734" s="25" t="s">
        <v>142</v>
      </c>
      <c r="B734" s="20" t="s">
        <v>271</v>
      </c>
      <c r="C734" s="20" t="s">
        <v>226</v>
      </c>
      <c r="D734" s="20" t="s">
        <v>925</v>
      </c>
      <c r="E734" s="20" t="s">
        <v>152</v>
      </c>
      <c r="F734" s="6">
        <f t="shared" ref="F734:G734" si="141">F735</f>
        <v>15</v>
      </c>
      <c r="G734" s="6">
        <f t="shared" si="141"/>
        <v>0</v>
      </c>
      <c r="H734" s="416">
        <f t="shared" si="139"/>
        <v>0</v>
      </c>
    </row>
    <row r="735" spans="1:8" ht="15.75" customHeight="1" x14ac:dyDescent="0.25">
      <c r="A735" s="25" t="s">
        <v>575</v>
      </c>
      <c r="B735" s="20" t="s">
        <v>271</v>
      </c>
      <c r="C735" s="20" t="s">
        <v>226</v>
      </c>
      <c r="D735" s="20" t="s">
        <v>925</v>
      </c>
      <c r="E735" s="20" t="s">
        <v>145</v>
      </c>
      <c r="F735" s="6">
        <f>'Пр.4 ведом.21'!G742</f>
        <v>15</v>
      </c>
      <c r="G735" s="6">
        <f>'Пр.4 ведом.21'!H742</f>
        <v>0</v>
      </c>
      <c r="H735" s="416">
        <f t="shared" si="139"/>
        <v>0</v>
      </c>
    </row>
    <row r="736" spans="1:8" ht="47.25" customHeight="1" x14ac:dyDescent="0.25">
      <c r="A736" s="25" t="s">
        <v>849</v>
      </c>
      <c r="B736" s="20" t="s">
        <v>271</v>
      </c>
      <c r="C736" s="20" t="s">
        <v>226</v>
      </c>
      <c r="D736" s="20" t="s">
        <v>926</v>
      </c>
      <c r="E736" s="20"/>
      <c r="F736" s="6">
        <f>F737</f>
        <v>506</v>
      </c>
      <c r="G736" s="6">
        <f>G737</f>
        <v>264.78699999999998</v>
      </c>
      <c r="H736" s="416">
        <f t="shared" si="139"/>
        <v>52.329446640316199</v>
      </c>
    </row>
    <row r="737" spans="1:12" ht="78.75" x14ac:dyDescent="0.25">
      <c r="A737" s="25" t="s">
        <v>134</v>
      </c>
      <c r="B737" s="20" t="s">
        <v>271</v>
      </c>
      <c r="C737" s="20" t="s">
        <v>226</v>
      </c>
      <c r="D737" s="20" t="s">
        <v>926</v>
      </c>
      <c r="E737" s="20" t="s">
        <v>135</v>
      </c>
      <c r="F737" s="6">
        <f>F738</f>
        <v>506</v>
      </c>
      <c r="G737" s="6">
        <f>G738</f>
        <v>264.78699999999998</v>
      </c>
      <c r="H737" s="416">
        <f t="shared" si="139"/>
        <v>52.329446640316199</v>
      </c>
    </row>
    <row r="738" spans="1:12" ht="31.5" x14ac:dyDescent="0.25">
      <c r="A738" s="25" t="s">
        <v>136</v>
      </c>
      <c r="B738" s="20" t="s">
        <v>271</v>
      </c>
      <c r="C738" s="20" t="s">
        <v>226</v>
      </c>
      <c r="D738" s="20" t="s">
        <v>926</v>
      </c>
      <c r="E738" s="20" t="s">
        <v>137</v>
      </c>
      <c r="F738" s="6">
        <f>'Пр.4 ведом.21'!G745</f>
        <v>506</v>
      </c>
      <c r="G738" s="6">
        <f>'Пр.4 ведом.21'!H745</f>
        <v>264.78699999999998</v>
      </c>
      <c r="H738" s="416">
        <f t="shared" si="139"/>
        <v>52.329446640316199</v>
      </c>
    </row>
    <row r="739" spans="1:12" ht="15.75" x14ac:dyDescent="0.25">
      <c r="A739" s="41" t="s">
        <v>305</v>
      </c>
      <c r="B739" s="7" t="s">
        <v>306</v>
      </c>
      <c r="C739" s="7"/>
      <c r="D739" s="7"/>
      <c r="E739" s="7"/>
      <c r="F739" s="4">
        <f>F740+F796</f>
        <v>77139.37</v>
      </c>
      <c r="G739" s="4">
        <f>G740+G796</f>
        <v>16017.284</v>
      </c>
      <c r="H739" s="441">
        <f t="shared" si="139"/>
        <v>20.764084539451126</v>
      </c>
      <c r="K739" s="227">
        <f>F739-F763-'Пр.4 ведом.21'!M1070-'Пр.4 ведом.21'!O1070-'Пр.4 ведом.21'!K1080-'Пр.4 ведом.21'!U1080</f>
        <v>71256.87</v>
      </c>
      <c r="L739" s="227">
        <f>F750+F763+F775-'Пр.4 ведом.21'!M1069-'Пр.4 ведом.21'!O1069-'Пр.4 ведом.21'!K1079-'Пр.4 ведом.21'!U1079</f>
        <v>5882.5</v>
      </c>
    </row>
    <row r="740" spans="1:12" ht="15.75" x14ac:dyDescent="0.25">
      <c r="A740" s="41" t="s">
        <v>307</v>
      </c>
      <c r="B740" s="7" t="s">
        <v>306</v>
      </c>
      <c r="C740" s="7" t="s">
        <v>125</v>
      </c>
      <c r="D740" s="7"/>
      <c r="E740" s="7"/>
      <c r="F740" s="4">
        <f>F741+F786+F791</f>
        <v>58628.969999999994</v>
      </c>
      <c r="G740" s="4">
        <f>G741+G786+G791</f>
        <v>11574.496999999999</v>
      </c>
      <c r="H740" s="441">
        <f t="shared" si="139"/>
        <v>19.741941569159412</v>
      </c>
      <c r="I740" s="22"/>
      <c r="J740" s="22"/>
    </row>
    <row r="741" spans="1:12" ht="34.5" customHeight="1" x14ac:dyDescent="0.25">
      <c r="A741" s="23" t="s">
        <v>1368</v>
      </c>
      <c r="B741" s="24" t="s">
        <v>306</v>
      </c>
      <c r="C741" s="24" t="s">
        <v>125</v>
      </c>
      <c r="D741" s="24" t="s">
        <v>274</v>
      </c>
      <c r="E741" s="24"/>
      <c r="F741" s="4">
        <f>F742+F753+F759+F763+F770+F774+F778+F782</f>
        <v>57757.27</v>
      </c>
      <c r="G741" s="4">
        <f>G742+G753+G759+G763+G770+G774+G778+G782</f>
        <v>11359.664999999999</v>
      </c>
      <c r="H741" s="441">
        <f t="shared" si="139"/>
        <v>19.667939637728722</v>
      </c>
    </row>
    <row r="742" spans="1:12" ht="34.5" customHeight="1" x14ac:dyDescent="0.25">
      <c r="A742" s="23" t="s">
        <v>1314</v>
      </c>
      <c r="B742" s="24" t="s">
        <v>306</v>
      </c>
      <c r="C742" s="24" t="s">
        <v>125</v>
      </c>
      <c r="D742" s="24" t="s">
        <v>1218</v>
      </c>
      <c r="E742" s="24"/>
      <c r="F742" s="4">
        <f>F743+F750</f>
        <v>53338.57</v>
      </c>
      <c r="G742" s="4">
        <f>G743+G750</f>
        <v>9938.0290000000005</v>
      </c>
      <c r="H742" s="441">
        <f t="shared" si="139"/>
        <v>18.631974947959797</v>
      </c>
    </row>
    <row r="743" spans="1:12" ht="15.75" x14ac:dyDescent="0.25">
      <c r="A743" s="25" t="s">
        <v>810</v>
      </c>
      <c r="B743" s="20" t="s">
        <v>306</v>
      </c>
      <c r="C743" s="20" t="s">
        <v>125</v>
      </c>
      <c r="D743" s="20" t="s">
        <v>1219</v>
      </c>
      <c r="E743" s="20"/>
      <c r="F743" s="6">
        <f>F744+F746+F748</f>
        <v>11330.67</v>
      </c>
      <c r="G743" s="6">
        <f>G744+G746+G748</f>
        <v>3022.1480000000001</v>
      </c>
      <c r="H743" s="416">
        <f t="shared" si="139"/>
        <v>26.672279750447238</v>
      </c>
    </row>
    <row r="744" spans="1:12" ht="78.75" x14ac:dyDescent="0.25">
      <c r="A744" s="25" t="s">
        <v>134</v>
      </c>
      <c r="B744" s="20" t="s">
        <v>306</v>
      </c>
      <c r="C744" s="20" t="s">
        <v>125</v>
      </c>
      <c r="D744" s="20" t="s">
        <v>1219</v>
      </c>
      <c r="E744" s="20" t="s">
        <v>135</v>
      </c>
      <c r="F744" s="6">
        <f>F745</f>
        <v>2256.17</v>
      </c>
      <c r="G744" s="6">
        <f>G745</f>
        <v>510.08800000000002</v>
      </c>
      <c r="H744" s="416">
        <f t="shared" si="139"/>
        <v>22.608580027214263</v>
      </c>
    </row>
    <row r="745" spans="1:12" ht="15.75" x14ac:dyDescent="0.25">
      <c r="A745" s="25" t="s">
        <v>215</v>
      </c>
      <c r="B745" s="20" t="s">
        <v>306</v>
      </c>
      <c r="C745" s="20" t="s">
        <v>125</v>
      </c>
      <c r="D745" s="20" t="s">
        <v>1219</v>
      </c>
      <c r="E745" s="20" t="s">
        <v>216</v>
      </c>
      <c r="F745" s="6">
        <f>'Пр.4 ведом.21'!G352</f>
        <v>2256.17</v>
      </c>
      <c r="G745" s="6">
        <f>'Пр.4 ведом.21'!H352</f>
        <v>510.08800000000002</v>
      </c>
      <c r="H745" s="416">
        <f t="shared" si="139"/>
        <v>22.608580027214263</v>
      </c>
    </row>
    <row r="746" spans="1:12" ht="31.5" x14ac:dyDescent="0.25">
      <c r="A746" s="25" t="s">
        <v>138</v>
      </c>
      <c r="B746" s="20" t="s">
        <v>306</v>
      </c>
      <c r="C746" s="20" t="s">
        <v>125</v>
      </c>
      <c r="D746" s="20" t="s">
        <v>1219</v>
      </c>
      <c r="E746" s="20" t="s">
        <v>139</v>
      </c>
      <c r="F746" s="6">
        <f>F747</f>
        <v>9000.2999999999993</v>
      </c>
      <c r="G746" s="6">
        <f>G747</f>
        <v>2475.777</v>
      </c>
      <c r="H746" s="416">
        <f t="shared" si="139"/>
        <v>27.507716409453021</v>
      </c>
      <c r="L746" s="22"/>
    </row>
    <row r="747" spans="1:12" ht="31.5" x14ac:dyDescent="0.25">
      <c r="A747" s="25" t="s">
        <v>140</v>
      </c>
      <c r="B747" s="20" t="s">
        <v>306</v>
      </c>
      <c r="C747" s="20" t="s">
        <v>125</v>
      </c>
      <c r="D747" s="20" t="s">
        <v>1219</v>
      </c>
      <c r="E747" s="20" t="s">
        <v>141</v>
      </c>
      <c r="F747" s="6">
        <f>'Пр.4 ведом.21'!G354</f>
        <v>9000.2999999999993</v>
      </c>
      <c r="G747" s="6">
        <f>'Пр.4 ведом.21'!H354</f>
        <v>2475.777</v>
      </c>
      <c r="H747" s="416">
        <f t="shared" si="139"/>
        <v>27.507716409453021</v>
      </c>
    </row>
    <row r="748" spans="1:12" ht="15.75" x14ac:dyDescent="0.25">
      <c r="A748" s="25" t="s">
        <v>142</v>
      </c>
      <c r="B748" s="20" t="s">
        <v>306</v>
      </c>
      <c r="C748" s="20" t="s">
        <v>125</v>
      </c>
      <c r="D748" s="20" t="s">
        <v>1219</v>
      </c>
      <c r="E748" s="20" t="s">
        <v>152</v>
      </c>
      <c r="F748" s="6">
        <f t="shared" ref="F748:G748" si="142">F749</f>
        <v>74.2</v>
      </c>
      <c r="G748" s="6">
        <f t="shared" si="142"/>
        <v>36.283000000000001</v>
      </c>
      <c r="H748" s="416">
        <f t="shared" si="139"/>
        <v>48.898921832884099</v>
      </c>
    </row>
    <row r="749" spans="1:12" ht="15.75" x14ac:dyDescent="0.25">
      <c r="A749" s="25" t="s">
        <v>575</v>
      </c>
      <c r="B749" s="20" t="s">
        <v>306</v>
      </c>
      <c r="C749" s="20" t="s">
        <v>125</v>
      </c>
      <c r="D749" s="20" t="s">
        <v>1219</v>
      </c>
      <c r="E749" s="20" t="s">
        <v>145</v>
      </c>
      <c r="F749" s="6">
        <f>'Пр.4 ведом.21'!G356</f>
        <v>74.2</v>
      </c>
      <c r="G749" s="6">
        <f>'Пр.4 ведом.21'!H356</f>
        <v>36.283000000000001</v>
      </c>
      <c r="H749" s="416">
        <f t="shared" si="139"/>
        <v>48.898921832884099</v>
      </c>
    </row>
    <row r="750" spans="1:12" s="202" customFormat="1" ht="29.85" customHeight="1" x14ac:dyDescent="0.25">
      <c r="A750" s="31" t="s">
        <v>1554</v>
      </c>
      <c r="B750" s="20" t="s">
        <v>306</v>
      </c>
      <c r="C750" s="20" t="s">
        <v>125</v>
      </c>
      <c r="D750" s="20" t="s">
        <v>1525</v>
      </c>
      <c r="E750" s="20"/>
      <c r="F750" s="6">
        <f>F751</f>
        <v>42007.9</v>
      </c>
      <c r="G750" s="6">
        <f>G751</f>
        <v>6915.8810000000003</v>
      </c>
      <c r="H750" s="416">
        <f t="shared" si="139"/>
        <v>16.463286667507777</v>
      </c>
    </row>
    <row r="751" spans="1:12" s="202" customFormat="1" ht="78.75" x14ac:dyDescent="0.25">
      <c r="A751" s="25" t="s">
        <v>134</v>
      </c>
      <c r="B751" s="20" t="s">
        <v>306</v>
      </c>
      <c r="C751" s="20" t="s">
        <v>125</v>
      </c>
      <c r="D751" s="20" t="s">
        <v>1525</v>
      </c>
      <c r="E751" s="20" t="s">
        <v>135</v>
      </c>
      <c r="F751" s="6">
        <f>F752</f>
        <v>42007.9</v>
      </c>
      <c r="G751" s="6">
        <f>G752</f>
        <v>6915.8810000000003</v>
      </c>
      <c r="H751" s="416">
        <f t="shared" si="139"/>
        <v>16.463286667507777</v>
      </c>
    </row>
    <row r="752" spans="1:12" s="202" customFormat="1" ht="15.75" x14ac:dyDescent="0.25">
      <c r="A752" s="25" t="s">
        <v>215</v>
      </c>
      <c r="B752" s="20" t="s">
        <v>306</v>
      </c>
      <c r="C752" s="20" t="s">
        <v>125</v>
      </c>
      <c r="D752" s="20" t="s">
        <v>1525</v>
      </c>
      <c r="E752" s="20" t="s">
        <v>216</v>
      </c>
      <c r="F752" s="6">
        <f>'Пр.4 ведом.21'!G359</f>
        <v>42007.9</v>
      </c>
      <c r="G752" s="6">
        <f>'Пр.4 ведом.21'!H359</f>
        <v>6915.8810000000003</v>
      </c>
      <c r="H752" s="416">
        <f t="shared" si="139"/>
        <v>16.463286667507777</v>
      </c>
    </row>
    <row r="753" spans="1:8" ht="31.5" x14ac:dyDescent="0.25">
      <c r="A753" s="212" t="s">
        <v>1316</v>
      </c>
      <c r="B753" s="24" t="s">
        <v>306</v>
      </c>
      <c r="C753" s="24" t="s">
        <v>125</v>
      </c>
      <c r="D753" s="24" t="s">
        <v>1220</v>
      </c>
      <c r="E753" s="24"/>
      <c r="F753" s="4">
        <f>F754</f>
        <v>924.9</v>
      </c>
      <c r="G753" s="4">
        <f>G754</f>
        <v>48.14</v>
      </c>
      <c r="H753" s="441">
        <f t="shared" si="139"/>
        <v>5.204887014812412</v>
      </c>
    </row>
    <row r="754" spans="1:8" ht="31.5" x14ac:dyDescent="0.25">
      <c r="A754" s="31" t="s">
        <v>826</v>
      </c>
      <c r="B754" s="20" t="s">
        <v>306</v>
      </c>
      <c r="C754" s="20" t="s">
        <v>125</v>
      </c>
      <c r="D754" s="20" t="s">
        <v>1222</v>
      </c>
      <c r="E754" s="20"/>
      <c r="F754" s="6">
        <f>F755+F757</f>
        <v>924.9</v>
      </c>
      <c r="G754" s="6">
        <f>G755+G757</f>
        <v>48.14</v>
      </c>
      <c r="H754" s="416">
        <f t="shared" si="139"/>
        <v>5.204887014812412</v>
      </c>
    </row>
    <row r="755" spans="1:8" ht="78.75" x14ac:dyDescent="0.25">
      <c r="A755" s="25" t="s">
        <v>134</v>
      </c>
      <c r="B755" s="20" t="s">
        <v>306</v>
      </c>
      <c r="C755" s="20" t="s">
        <v>125</v>
      </c>
      <c r="D755" s="20" t="s">
        <v>1222</v>
      </c>
      <c r="E755" s="20" t="s">
        <v>135</v>
      </c>
      <c r="F755" s="6">
        <f>F756</f>
        <v>924.9</v>
      </c>
      <c r="G755" s="6">
        <f>G756</f>
        <v>48.14</v>
      </c>
      <c r="H755" s="416">
        <f t="shared" si="139"/>
        <v>5.204887014812412</v>
      </c>
    </row>
    <row r="756" spans="1:8" ht="15.75" x14ac:dyDescent="0.25">
      <c r="A756" s="25" t="s">
        <v>215</v>
      </c>
      <c r="B756" s="20" t="s">
        <v>306</v>
      </c>
      <c r="C756" s="20" t="s">
        <v>125</v>
      </c>
      <c r="D756" s="20" t="s">
        <v>1222</v>
      </c>
      <c r="E756" s="20" t="s">
        <v>216</v>
      </c>
      <c r="F756" s="6">
        <f>'Пр.4 ведом.21'!G363</f>
        <v>924.9</v>
      </c>
      <c r="G756" s="6">
        <f>'Пр.4 ведом.21'!H363</f>
        <v>48.14</v>
      </c>
      <c r="H756" s="416">
        <f t="shared" si="139"/>
        <v>5.204887014812412</v>
      </c>
    </row>
    <row r="757" spans="1:8" ht="31.5" hidden="1" x14ac:dyDescent="0.25">
      <c r="A757" s="25" t="s">
        <v>138</v>
      </c>
      <c r="B757" s="20" t="s">
        <v>306</v>
      </c>
      <c r="C757" s="20" t="s">
        <v>125</v>
      </c>
      <c r="D757" s="20" t="s">
        <v>1222</v>
      </c>
      <c r="E757" s="20" t="s">
        <v>139</v>
      </c>
      <c r="F757" s="6">
        <f>F758</f>
        <v>0</v>
      </c>
      <c r="G757" s="6">
        <f>G758</f>
        <v>0</v>
      </c>
      <c r="H757" s="416" t="e">
        <f t="shared" si="139"/>
        <v>#DIV/0!</v>
      </c>
    </row>
    <row r="758" spans="1:8" ht="31.5" hidden="1" x14ac:dyDescent="0.25">
      <c r="A758" s="25" t="s">
        <v>140</v>
      </c>
      <c r="B758" s="20" t="s">
        <v>306</v>
      </c>
      <c r="C758" s="20" t="s">
        <v>125</v>
      </c>
      <c r="D758" s="20" t="s">
        <v>1222</v>
      </c>
      <c r="E758" s="20" t="s">
        <v>141</v>
      </c>
      <c r="F758" s="6">
        <f>'Пр.4 ведом.21'!G365</f>
        <v>0</v>
      </c>
      <c r="G758" s="6">
        <f>'Пр.4 ведом.21'!H365</f>
        <v>0</v>
      </c>
      <c r="H758" s="416" t="e">
        <f t="shared" si="139"/>
        <v>#DIV/0!</v>
      </c>
    </row>
    <row r="759" spans="1:8" ht="31.5" x14ac:dyDescent="0.25">
      <c r="A759" s="23" t="s">
        <v>957</v>
      </c>
      <c r="B759" s="24" t="s">
        <v>306</v>
      </c>
      <c r="C759" s="24" t="s">
        <v>125</v>
      </c>
      <c r="D759" s="24" t="s">
        <v>1223</v>
      </c>
      <c r="E759" s="24"/>
      <c r="F759" s="4">
        <f t="shared" ref="F759:G761" si="143">F760</f>
        <v>933.1</v>
      </c>
      <c r="G759" s="4">
        <f t="shared" si="143"/>
        <v>933.13099999999997</v>
      </c>
      <c r="H759" s="441">
        <f t="shared" si="139"/>
        <v>100.00332225913621</v>
      </c>
    </row>
    <row r="760" spans="1:8" ht="47.25" x14ac:dyDescent="0.25">
      <c r="A760" s="25" t="s">
        <v>849</v>
      </c>
      <c r="B760" s="20" t="s">
        <v>306</v>
      </c>
      <c r="C760" s="20" t="s">
        <v>125</v>
      </c>
      <c r="D760" s="20" t="s">
        <v>1224</v>
      </c>
      <c r="E760" s="20"/>
      <c r="F760" s="6">
        <f t="shared" si="143"/>
        <v>933.1</v>
      </c>
      <c r="G760" s="6">
        <f t="shared" si="143"/>
        <v>933.13099999999997</v>
      </c>
      <c r="H760" s="416">
        <f t="shared" si="139"/>
        <v>100.00332225913621</v>
      </c>
    </row>
    <row r="761" spans="1:8" ht="78.75" x14ac:dyDescent="0.25">
      <c r="A761" s="25" t="s">
        <v>134</v>
      </c>
      <c r="B761" s="20" t="s">
        <v>306</v>
      </c>
      <c r="C761" s="20" t="s">
        <v>125</v>
      </c>
      <c r="D761" s="20" t="s">
        <v>1224</v>
      </c>
      <c r="E761" s="20" t="s">
        <v>135</v>
      </c>
      <c r="F761" s="6">
        <f t="shared" si="143"/>
        <v>933.1</v>
      </c>
      <c r="G761" s="6">
        <f t="shared" si="143"/>
        <v>933.13099999999997</v>
      </c>
      <c r="H761" s="416">
        <f t="shared" si="139"/>
        <v>100.00332225913621</v>
      </c>
    </row>
    <row r="762" spans="1:8" ht="31.5" x14ac:dyDescent="0.25">
      <c r="A762" s="25" t="s">
        <v>136</v>
      </c>
      <c r="B762" s="20" t="s">
        <v>306</v>
      </c>
      <c r="C762" s="20" t="s">
        <v>125</v>
      </c>
      <c r="D762" s="20" t="s">
        <v>1224</v>
      </c>
      <c r="E762" s="20" t="s">
        <v>216</v>
      </c>
      <c r="F762" s="6">
        <f>'Пр.4 ведом.21'!G369</f>
        <v>933.1</v>
      </c>
      <c r="G762" s="6">
        <f>'Пр.4 ведом.21'!H369</f>
        <v>933.13099999999997</v>
      </c>
      <c r="H762" s="416">
        <f t="shared" si="139"/>
        <v>100.00332225913621</v>
      </c>
    </row>
    <row r="763" spans="1:8" ht="47.25" x14ac:dyDescent="0.25">
      <c r="A763" s="213" t="s">
        <v>910</v>
      </c>
      <c r="B763" s="24" t="s">
        <v>306</v>
      </c>
      <c r="C763" s="24" t="s">
        <v>125</v>
      </c>
      <c r="D763" s="24" t="s">
        <v>1225</v>
      </c>
      <c r="E763" s="24"/>
      <c r="F763" s="4">
        <f>F764+F767</f>
        <v>2442</v>
      </c>
      <c r="G763" s="4">
        <f>G764+G767</f>
        <v>405.45499999999998</v>
      </c>
      <c r="H763" s="441">
        <f t="shared" si="139"/>
        <v>16.603398853398854</v>
      </c>
    </row>
    <row r="764" spans="1:8" s="202" customFormat="1" ht="94.5" x14ac:dyDescent="0.25">
      <c r="A764" s="31" t="s">
        <v>300</v>
      </c>
      <c r="B764" s="20" t="s">
        <v>306</v>
      </c>
      <c r="C764" s="20" t="s">
        <v>125</v>
      </c>
      <c r="D764" s="20" t="s">
        <v>1420</v>
      </c>
      <c r="E764" s="20"/>
      <c r="F764" s="6">
        <f>F765</f>
        <v>2100.6</v>
      </c>
      <c r="G764" s="6">
        <f>G765</f>
        <v>374.185</v>
      </c>
      <c r="H764" s="416">
        <f t="shared" si="139"/>
        <v>17.813243835094735</v>
      </c>
    </row>
    <row r="765" spans="1:8" s="202" customFormat="1" ht="78.75" x14ac:dyDescent="0.25">
      <c r="A765" s="25" t="s">
        <v>134</v>
      </c>
      <c r="B765" s="20" t="s">
        <v>306</v>
      </c>
      <c r="C765" s="20" t="s">
        <v>125</v>
      </c>
      <c r="D765" s="20" t="s">
        <v>1420</v>
      </c>
      <c r="E765" s="20" t="s">
        <v>135</v>
      </c>
      <c r="F765" s="6">
        <f>F766</f>
        <v>2100.6</v>
      </c>
      <c r="G765" s="6">
        <f>G766</f>
        <v>374.185</v>
      </c>
      <c r="H765" s="416">
        <f t="shared" si="139"/>
        <v>17.813243835094735</v>
      </c>
    </row>
    <row r="766" spans="1:8" s="202" customFormat="1" ht="15.75" x14ac:dyDescent="0.25">
      <c r="A766" s="25" t="s">
        <v>215</v>
      </c>
      <c r="B766" s="20" t="s">
        <v>306</v>
      </c>
      <c r="C766" s="20" t="s">
        <v>125</v>
      </c>
      <c r="D766" s="20" t="s">
        <v>1420</v>
      </c>
      <c r="E766" s="20" t="s">
        <v>216</v>
      </c>
      <c r="F766" s="6">
        <f>'Пр.4 ведом.21'!G373</f>
        <v>2100.6</v>
      </c>
      <c r="G766" s="6">
        <f>'Пр.4 ведом.21'!H373</f>
        <v>374.185</v>
      </c>
      <c r="H766" s="416">
        <f t="shared" si="139"/>
        <v>17.813243835094735</v>
      </c>
    </row>
    <row r="767" spans="1:8" s="202" customFormat="1" ht="78.75" x14ac:dyDescent="0.25">
      <c r="A767" s="25" t="s">
        <v>338</v>
      </c>
      <c r="B767" s="20" t="s">
        <v>306</v>
      </c>
      <c r="C767" s="20" t="s">
        <v>125</v>
      </c>
      <c r="D767" s="20" t="s">
        <v>1306</v>
      </c>
      <c r="E767" s="20"/>
      <c r="F767" s="26">
        <f>F768</f>
        <v>341.4</v>
      </c>
      <c r="G767" s="26">
        <f>G768</f>
        <v>31.27</v>
      </c>
      <c r="H767" s="416">
        <f t="shared" si="139"/>
        <v>9.1593438781487997</v>
      </c>
    </row>
    <row r="768" spans="1:8" s="202" customFormat="1" ht="78.75" x14ac:dyDescent="0.25">
      <c r="A768" s="25" t="s">
        <v>134</v>
      </c>
      <c r="B768" s="20" t="s">
        <v>306</v>
      </c>
      <c r="C768" s="20" t="s">
        <v>125</v>
      </c>
      <c r="D768" s="20" t="s">
        <v>1306</v>
      </c>
      <c r="E768" s="20" t="s">
        <v>135</v>
      </c>
      <c r="F768" s="26">
        <f>F769</f>
        <v>341.4</v>
      </c>
      <c r="G768" s="26">
        <f>G769</f>
        <v>31.27</v>
      </c>
      <c r="H768" s="416">
        <f t="shared" si="139"/>
        <v>9.1593438781487997</v>
      </c>
    </row>
    <row r="769" spans="1:8" s="202" customFormat="1" ht="15.75" x14ac:dyDescent="0.25">
      <c r="A769" s="25" t="s">
        <v>215</v>
      </c>
      <c r="B769" s="20" t="s">
        <v>306</v>
      </c>
      <c r="C769" s="20" t="s">
        <v>125</v>
      </c>
      <c r="D769" s="20" t="s">
        <v>1306</v>
      </c>
      <c r="E769" s="20" t="s">
        <v>216</v>
      </c>
      <c r="F769" s="26">
        <f>'Пр.4 ведом.21'!G376</f>
        <v>341.4</v>
      </c>
      <c r="G769" s="26">
        <f>'Пр.4 ведом.21'!H376</f>
        <v>31.27</v>
      </c>
      <c r="H769" s="416">
        <f t="shared" si="139"/>
        <v>9.1593438781487997</v>
      </c>
    </row>
    <row r="770" spans="1:8" s="202" customFormat="1" ht="31.5" x14ac:dyDescent="0.25">
      <c r="A770" s="23" t="s">
        <v>912</v>
      </c>
      <c r="B770" s="24" t="s">
        <v>306</v>
      </c>
      <c r="C770" s="24" t="s">
        <v>125</v>
      </c>
      <c r="D770" s="24" t="s">
        <v>1230</v>
      </c>
      <c r="E770" s="24"/>
      <c r="F770" s="4">
        <f t="shared" ref="F770:G772" si="144">F771</f>
        <v>50</v>
      </c>
      <c r="G770" s="4">
        <f t="shared" si="144"/>
        <v>34.909999999999997</v>
      </c>
      <c r="H770" s="441">
        <f t="shared" si="139"/>
        <v>69.819999999999993</v>
      </c>
    </row>
    <row r="771" spans="1:8" s="202" customFormat="1" ht="31.5" x14ac:dyDescent="0.25">
      <c r="A771" s="25" t="s">
        <v>831</v>
      </c>
      <c r="B771" s="20" t="s">
        <v>306</v>
      </c>
      <c r="C771" s="20" t="s">
        <v>125</v>
      </c>
      <c r="D771" s="20" t="s">
        <v>1231</v>
      </c>
      <c r="E771" s="20"/>
      <c r="F771" s="6">
        <f t="shared" si="144"/>
        <v>50</v>
      </c>
      <c r="G771" s="6">
        <f t="shared" si="144"/>
        <v>34.909999999999997</v>
      </c>
      <c r="H771" s="416">
        <f t="shared" si="139"/>
        <v>69.819999999999993</v>
      </c>
    </row>
    <row r="772" spans="1:8" s="202" customFormat="1" ht="31.5" x14ac:dyDescent="0.25">
      <c r="A772" s="25" t="s">
        <v>138</v>
      </c>
      <c r="B772" s="20" t="s">
        <v>306</v>
      </c>
      <c r="C772" s="20" t="s">
        <v>125</v>
      </c>
      <c r="D772" s="20" t="s">
        <v>1231</v>
      </c>
      <c r="E772" s="20" t="s">
        <v>139</v>
      </c>
      <c r="F772" s="6">
        <f t="shared" si="144"/>
        <v>50</v>
      </c>
      <c r="G772" s="6">
        <f t="shared" si="144"/>
        <v>34.909999999999997</v>
      </c>
      <c r="H772" s="416">
        <f t="shared" si="139"/>
        <v>69.819999999999993</v>
      </c>
    </row>
    <row r="773" spans="1:8" s="202" customFormat="1" ht="31.5" x14ac:dyDescent="0.25">
      <c r="A773" s="25" t="s">
        <v>140</v>
      </c>
      <c r="B773" s="20" t="s">
        <v>306</v>
      </c>
      <c r="C773" s="20" t="s">
        <v>125</v>
      </c>
      <c r="D773" s="20" t="s">
        <v>1231</v>
      </c>
      <c r="E773" s="20" t="s">
        <v>141</v>
      </c>
      <c r="F773" s="6">
        <f>'Пр.4 ведом.21'!G380</f>
        <v>50</v>
      </c>
      <c r="G773" s="6">
        <f>'Пр.4 ведом.21'!H380</f>
        <v>34.909999999999997</v>
      </c>
      <c r="H773" s="416">
        <f t="shared" si="139"/>
        <v>69.819999999999993</v>
      </c>
    </row>
    <row r="774" spans="1:8" s="202" customFormat="1" ht="31.5" x14ac:dyDescent="0.25">
      <c r="A774" s="23" t="s">
        <v>1020</v>
      </c>
      <c r="B774" s="24" t="s">
        <v>306</v>
      </c>
      <c r="C774" s="24" t="s">
        <v>125</v>
      </c>
      <c r="D774" s="24" t="s">
        <v>1232</v>
      </c>
      <c r="E774" s="24"/>
      <c r="F774" s="4">
        <f t="shared" ref="F774:G776" si="145">F775</f>
        <v>68.7</v>
      </c>
      <c r="G774" s="4">
        <f t="shared" si="145"/>
        <v>0</v>
      </c>
      <c r="H774" s="441">
        <f t="shared" si="139"/>
        <v>0</v>
      </c>
    </row>
    <row r="775" spans="1:8" s="202" customFormat="1" ht="31.5" x14ac:dyDescent="0.25">
      <c r="A775" s="25" t="s">
        <v>1529</v>
      </c>
      <c r="B775" s="20" t="s">
        <v>306</v>
      </c>
      <c r="C775" s="20" t="s">
        <v>125</v>
      </c>
      <c r="D775" s="20" t="s">
        <v>1233</v>
      </c>
      <c r="E775" s="20"/>
      <c r="F775" s="6">
        <f t="shared" si="145"/>
        <v>68.7</v>
      </c>
      <c r="G775" s="6">
        <f t="shared" si="145"/>
        <v>0</v>
      </c>
      <c r="H775" s="416">
        <f t="shared" si="139"/>
        <v>0</v>
      </c>
    </row>
    <row r="776" spans="1:8" s="202" customFormat="1" ht="31.5" x14ac:dyDescent="0.25">
      <c r="A776" s="25" t="s">
        <v>138</v>
      </c>
      <c r="B776" s="20" t="s">
        <v>306</v>
      </c>
      <c r="C776" s="20" t="s">
        <v>125</v>
      </c>
      <c r="D776" s="20" t="s">
        <v>1233</v>
      </c>
      <c r="E776" s="20" t="s">
        <v>139</v>
      </c>
      <c r="F776" s="6">
        <f t="shared" si="145"/>
        <v>68.7</v>
      </c>
      <c r="G776" s="6">
        <f t="shared" si="145"/>
        <v>0</v>
      </c>
      <c r="H776" s="416">
        <f t="shared" si="139"/>
        <v>0</v>
      </c>
    </row>
    <row r="777" spans="1:8" s="202" customFormat="1" ht="31.5" x14ac:dyDescent="0.25">
      <c r="A777" s="25" t="s">
        <v>140</v>
      </c>
      <c r="B777" s="20" t="s">
        <v>306</v>
      </c>
      <c r="C777" s="20" t="s">
        <v>125</v>
      </c>
      <c r="D777" s="20" t="s">
        <v>1233</v>
      </c>
      <c r="E777" s="20" t="s">
        <v>141</v>
      </c>
      <c r="F777" s="6">
        <f>'Пр.4 ведом.21'!G384</f>
        <v>68.7</v>
      </c>
      <c r="G777" s="6">
        <f>'Пр.4 ведом.21'!H384</f>
        <v>0</v>
      </c>
      <c r="H777" s="416">
        <f t="shared" si="139"/>
        <v>0</v>
      </c>
    </row>
    <row r="778" spans="1:8" s="202" customFormat="1" ht="31.5" hidden="1" x14ac:dyDescent="0.25">
      <c r="A778" s="206" t="s">
        <v>1193</v>
      </c>
      <c r="B778" s="24" t="s">
        <v>306</v>
      </c>
      <c r="C778" s="24" t="s">
        <v>125</v>
      </c>
      <c r="D778" s="24" t="s">
        <v>1228</v>
      </c>
      <c r="E778" s="24"/>
      <c r="F778" s="21">
        <f t="shared" ref="F778:G779" si="146">F779</f>
        <v>0</v>
      </c>
      <c r="G778" s="21">
        <f t="shared" si="146"/>
        <v>0</v>
      </c>
      <c r="H778" s="416" t="e">
        <f t="shared" si="139"/>
        <v>#DIV/0!</v>
      </c>
    </row>
    <row r="779" spans="1:8" s="202" customFormat="1" ht="15.75" hidden="1" x14ac:dyDescent="0.25">
      <c r="A779" s="98" t="s">
        <v>1200</v>
      </c>
      <c r="B779" s="20" t="s">
        <v>306</v>
      </c>
      <c r="C779" s="20" t="s">
        <v>125</v>
      </c>
      <c r="D779" s="20" t="s">
        <v>1229</v>
      </c>
      <c r="E779" s="20"/>
      <c r="F779" s="26">
        <f t="shared" si="146"/>
        <v>0</v>
      </c>
      <c r="G779" s="26">
        <f t="shared" si="146"/>
        <v>0</v>
      </c>
      <c r="H779" s="416" t="e">
        <f t="shared" ref="H779:H842" si="147">G779/F779*100</f>
        <v>#DIV/0!</v>
      </c>
    </row>
    <row r="780" spans="1:8" s="202" customFormat="1" ht="31.5" hidden="1" x14ac:dyDescent="0.25">
      <c r="A780" s="25" t="s">
        <v>138</v>
      </c>
      <c r="B780" s="20" t="s">
        <v>306</v>
      </c>
      <c r="C780" s="20" t="s">
        <v>125</v>
      </c>
      <c r="D780" s="20" t="s">
        <v>1229</v>
      </c>
      <c r="E780" s="20" t="s">
        <v>139</v>
      </c>
      <c r="F780" s="26">
        <f>F781</f>
        <v>0</v>
      </c>
      <c r="G780" s="26">
        <f>G781</f>
        <v>0</v>
      </c>
      <c r="H780" s="416" t="e">
        <f t="shared" si="147"/>
        <v>#DIV/0!</v>
      </c>
    </row>
    <row r="781" spans="1:8" s="202" customFormat="1" ht="31.5" hidden="1" x14ac:dyDescent="0.25">
      <c r="A781" s="25" t="s">
        <v>140</v>
      </c>
      <c r="B781" s="20" t="s">
        <v>306</v>
      </c>
      <c r="C781" s="20" t="s">
        <v>125</v>
      </c>
      <c r="D781" s="20" t="s">
        <v>1229</v>
      </c>
      <c r="E781" s="20" t="s">
        <v>141</v>
      </c>
      <c r="F781" s="26">
        <f>'Пр.4 ведом.21'!G388</f>
        <v>0</v>
      </c>
      <c r="G781" s="26">
        <f>'Пр.4 ведом.21'!H388</f>
        <v>0</v>
      </c>
      <c r="H781" s="416" t="e">
        <f t="shared" si="147"/>
        <v>#DIV/0!</v>
      </c>
    </row>
    <row r="782" spans="1:8" ht="42.75" hidden="1" customHeight="1" x14ac:dyDescent="0.25">
      <c r="A782" s="332" t="s">
        <v>1348</v>
      </c>
      <c r="B782" s="24" t="s">
        <v>306</v>
      </c>
      <c r="C782" s="24" t="s">
        <v>125</v>
      </c>
      <c r="D782" s="24"/>
      <c r="E782" s="24"/>
      <c r="F782" s="21">
        <f t="shared" ref="F782:G784" si="148">F783</f>
        <v>0</v>
      </c>
      <c r="G782" s="21">
        <f t="shared" si="148"/>
        <v>0</v>
      </c>
      <c r="H782" s="416" t="e">
        <f t="shared" si="147"/>
        <v>#DIV/0!</v>
      </c>
    </row>
    <row r="783" spans="1:8" ht="15.75" hidden="1" customHeight="1" x14ac:dyDescent="0.25">
      <c r="A783" s="25"/>
      <c r="B783" s="20" t="s">
        <v>306</v>
      </c>
      <c r="C783" s="20" t="s">
        <v>125</v>
      </c>
      <c r="D783" s="20"/>
      <c r="E783" s="20"/>
      <c r="F783" s="26">
        <f t="shared" si="148"/>
        <v>0</v>
      </c>
      <c r="G783" s="26">
        <f t="shared" si="148"/>
        <v>0</v>
      </c>
      <c r="H783" s="416" t="e">
        <f t="shared" si="147"/>
        <v>#DIV/0!</v>
      </c>
    </row>
    <row r="784" spans="1:8" ht="15.75" hidden="1" x14ac:dyDescent="0.25">
      <c r="A784" s="25"/>
      <c r="B784" s="20" t="s">
        <v>306</v>
      </c>
      <c r="C784" s="20" t="s">
        <v>125</v>
      </c>
      <c r="D784" s="20"/>
      <c r="E784" s="20" t="s">
        <v>139</v>
      </c>
      <c r="F784" s="26">
        <f t="shared" si="148"/>
        <v>0</v>
      </c>
      <c r="G784" s="26">
        <f t="shared" si="148"/>
        <v>0</v>
      </c>
      <c r="H784" s="416" t="e">
        <f t="shared" si="147"/>
        <v>#DIV/0!</v>
      </c>
    </row>
    <row r="785" spans="1:8" ht="31.7" hidden="1" customHeight="1" x14ac:dyDescent="0.25">
      <c r="A785" s="25"/>
      <c r="B785" s="20" t="s">
        <v>306</v>
      </c>
      <c r="C785" s="20" t="s">
        <v>125</v>
      </c>
      <c r="D785" s="20"/>
      <c r="E785" s="20" t="s">
        <v>141</v>
      </c>
      <c r="F785" s="26">
        <f>'Пр.4 ведом.21'!G392</f>
        <v>0</v>
      </c>
      <c r="G785" s="26">
        <f>'Пр.4 ведом.21'!H392</f>
        <v>0</v>
      </c>
      <c r="H785" s="416" t="e">
        <f t="shared" si="147"/>
        <v>#DIV/0!</v>
      </c>
    </row>
    <row r="786" spans="1:8" ht="47.25" hidden="1" x14ac:dyDescent="0.25">
      <c r="A786" s="34" t="s">
        <v>1374</v>
      </c>
      <c r="B786" s="24" t="s">
        <v>306</v>
      </c>
      <c r="C786" s="24" t="s">
        <v>125</v>
      </c>
      <c r="D786" s="24" t="s">
        <v>331</v>
      </c>
      <c r="E786" s="24"/>
      <c r="F786" s="368">
        <f t="shared" ref="F786:G789" si="149">F787</f>
        <v>0</v>
      </c>
      <c r="G786" s="368">
        <f t="shared" si="149"/>
        <v>0</v>
      </c>
      <c r="H786" s="416" t="e">
        <f t="shared" si="147"/>
        <v>#DIV/0!</v>
      </c>
    </row>
    <row r="787" spans="1:8" ht="63" hidden="1" x14ac:dyDescent="0.25">
      <c r="A787" s="34" t="s">
        <v>1035</v>
      </c>
      <c r="B787" s="24" t="s">
        <v>306</v>
      </c>
      <c r="C787" s="24" t="s">
        <v>125</v>
      </c>
      <c r="D787" s="24" t="s">
        <v>944</v>
      </c>
      <c r="E787" s="24"/>
      <c r="F787" s="4">
        <f t="shared" si="149"/>
        <v>0</v>
      </c>
      <c r="G787" s="4">
        <f t="shared" si="149"/>
        <v>0</v>
      </c>
      <c r="H787" s="416" t="e">
        <f t="shared" si="147"/>
        <v>#DIV/0!</v>
      </c>
    </row>
    <row r="788" spans="1:8" ht="47.25" hidden="1" x14ac:dyDescent="0.25">
      <c r="A788" s="31" t="s">
        <v>1090</v>
      </c>
      <c r="B788" s="20" t="s">
        <v>306</v>
      </c>
      <c r="C788" s="20" t="s">
        <v>125</v>
      </c>
      <c r="D788" s="20" t="s">
        <v>1036</v>
      </c>
      <c r="E788" s="20"/>
      <c r="F788" s="6">
        <f t="shared" si="149"/>
        <v>0</v>
      </c>
      <c r="G788" s="6">
        <f t="shared" si="149"/>
        <v>0</v>
      </c>
      <c r="H788" s="416" t="e">
        <f t="shared" si="147"/>
        <v>#DIV/0!</v>
      </c>
    </row>
    <row r="789" spans="1:8" ht="31.5" hidden="1" x14ac:dyDescent="0.25">
      <c r="A789" s="25" t="s">
        <v>138</v>
      </c>
      <c r="B789" s="20" t="s">
        <v>306</v>
      </c>
      <c r="C789" s="20" t="s">
        <v>125</v>
      </c>
      <c r="D789" s="20" t="s">
        <v>1036</v>
      </c>
      <c r="E789" s="20" t="s">
        <v>139</v>
      </c>
      <c r="F789" s="6">
        <f t="shared" si="149"/>
        <v>0</v>
      </c>
      <c r="G789" s="6">
        <f t="shared" si="149"/>
        <v>0</v>
      </c>
      <c r="H789" s="416" t="e">
        <f t="shared" si="147"/>
        <v>#DIV/0!</v>
      </c>
    </row>
    <row r="790" spans="1:8" ht="31.5" hidden="1" x14ac:dyDescent="0.25">
      <c r="A790" s="25" t="s">
        <v>140</v>
      </c>
      <c r="B790" s="20" t="s">
        <v>306</v>
      </c>
      <c r="C790" s="20" t="s">
        <v>125</v>
      </c>
      <c r="D790" s="20" t="s">
        <v>1036</v>
      </c>
      <c r="E790" s="20" t="s">
        <v>141</v>
      </c>
      <c r="F790" s="6">
        <f>'Пр.4 ведом.21'!G397</f>
        <v>0</v>
      </c>
      <c r="G790" s="6">
        <f>'Пр.4 ведом.21'!H397</f>
        <v>0</v>
      </c>
      <c r="H790" s="416" t="e">
        <f t="shared" si="147"/>
        <v>#DIV/0!</v>
      </c>
    </row>
    <row r="791" spans="1:8" ht="47.25" x14ac:dyDescent="0.25">
      <c r="A791" s="41" t="s">
        <v>1369</v>
      </c>
      <c r="B791" s="24" t="s">
        <v>306</v>
      </c>
      <c r="C791" s="24" t="s">
        <v>125</v>
      </c>
      <c r="D791" s="24" t="s">
        <v>715</v>
      </c>
      <c r="E791" s="217"/>
      <c r="F791" s="4">
        <f t="shared" ref="F791:G791" si="150">F792</f>
        <v>871.7</v>
      </c>
      <c r="G791" s="4">
        <f t="shared" si="150"/>
        <v>214.83199999999999</v>
      </c>
      <c r="H791" s="441">
        <f t="shared" si="147"/>
        <v>24.645176092692438</v>
      </c>
    </row>
    <row r="792" spans="1:8" ht="47.25" x14ac:dyDescent="0.25">
      <c r="A792" s="41" t="s">
        <v>900</v>
      </c>
      <c r="B792" s="24" t="s">
        <v>306</v>
      </c>
      <c r="C792" s="24" t="s">
        <v>125</v>
      </c>
      <c r="D792" s="24" t="s">
        <v>898</v>
      </c>
      <c r="E792" s="217"/>
      <c r="F792" s="4">
        <f t="shared" ref="F792:G794" si="151">F793</f>
        <v>871.7</v>
      </c>
      <c r="G792" s="4">
        <f t="shared" si="151"/>
        <v>214.83199999999999</v>
      </c>
      <c r="H792" s="441">
        <f t="shared" si="147"/>
        <v>24.645176092692438</v>
      </c>
    </row>
    <row r="793" spans="1:8" ht="47.25" x14ac:dyDescent="0.25">
      <c r="A793" s="98" t="s">
        <v>1032</v>
      </c>
      <c r="B793" s="20" t="s">
        <v>306</v>
      </c>
      <c r="C793" s="20" t="s">
        <v>125</v>
      </c>
      <c r="D793" s="20" t="s">
        <v>899</v>
      </c>
      <c r="E793" s="32"/>
      <c r="F793" s="366">
        <f t="shared" si="151"/>
        <v>871.7</v>
      </c>
      <c r="G793" s="366">
        <f t="shared" si="151"/>
        <v>214.83199999999999</v>
      </c>
      <c r="H793" s="416">
        <f t="shared" si="147"/>
        <v>24.645176092692438</v>
      </c>
    </row>
    <row r="794" spans="1:8" ht="31.5" x14ac:dyDescent="0.25">
      <c r="A794" s="25" t="s">
        <v>138</v>
      </c>
      <c r="B794" s="20" t="s">
        <v>306</v>
      </c>
      <c r="C794" s="20" t="s">
        <v>125</v>
      </c>
      <c r="D794" s="20" t="s">
        <v>899</v>
      </c>
      <c r="E794" s="32" t="s">
        <v>139</v>
      </c>
      <c r="F794" s="6">
        <f t="shared" si="151"/>
        <v>871.7</v>
      </c>
      <c r="G794" s="6">
        <f t="shared" si="151"/>
        <v>214.83199999999999</v>
      </c>
      <c r="H794" s="416">
        <f t="shared" si="147"/>
        <v>24.645176092692438</v>
      </c>
    </row>
    <row r="795" spans="1:8" ht="31.5" x14ac:dyDescent="0.25">
      <c r="A795" s="25" t="s">
        <v>140</v>
      </c>
      <c r="B795" s="20" t="s">
        <v>306</v>
      </c>
      <c r="C795" s="20" t="s">
        <v>125</v>
      </c>
      <c r="D795" s="20" t="s">
        <v>899</v>
      </c>
      <c r="E795" s="32" t="s">
        <v>141</v>
      </c>
      <c r="F795" s="6">
        <f>'Пр.4 ведом.21'!G402</f>
        <v>871.7</v>
      </c>
      <c r="G795" s="6">
        <f>'Пр.4 ведом.21'!H402</f>
        <v>214.83199999999999</v>
      </c>
      <c r="H795" s="416">
        <f t="shared" si="147"/>
        <v>24.645176092692438</v>
      </c>
    </row>
    <row r="796" spans="1:8" s="202" customFormat="1" ht="31.5" x14ac:dyDescent="0.25">
      <c r="A796" s="23" t="s">
        <v>340</v>
      </c>
      <c r="B796" s="24" t="s">
        <v>306</v>
      </c>
      <c r="C796" s="24" t="s">
        <v>157</v>
      </c>
      <c r="D796" s="24"/>
      <c r="E796" s="32"/>
      <c r="F796" s="4">
        <f>F797+F807+F819+F825</f>
        <v>18510.400000000001</v>
      </c>
      <c r="G796" s="4">
        <f>G797+G807+G819+G825</f>
        <v>4442.7870000000003</v>
      </c>
      <c r="H796" s="441">
        <f t="shared" si="147"/>
        <v>24.001572089203908</v>
      </c>
    </row>
    <row r="797" spans="1:8" s="202" customFormat="1" ht="31.5" x14ac:dyDescent="0.25">
      <c r="A797" s="23" t="s">
        <v>927</v>
      </c>
      <c r="B797" s="24" t="s">
        <v>306</v>
      </c>
      <c r="C797" s="24" t="s">
        <v>157</v>
      </c>
      <c r="D797" s="24" t="s">
        <v>868</v>
      </c>
      <c r="E797" s="32"/>
      <c r="F797" s="4">
        <f>F798</f>
        <v>7291.6</v>
      </c>
      <c r="G797" s="4">
        <f>G798</f>
        <v>1756.2360000000001</v>
      </c>
      <c r="H797" s="441">
        <f t="shared" si="147"/>
        <v>24.085742498217126</v>
      </c>
    </row>
    <row r="798" spans="1:8" s="202" customFormat="1" ht="15.75" x14ac:dyDescent="0.25">
      <c r="A798" s="23" t="s">
        <v>928</v>
      </c>
      <c r="B798" s="24" t="s">
        <v>306</v>
      </c>
      <c r="C798" s="24" t="s">
        <v>157</v>
      </c>
      <c r="D798" s="24" t="s">
        <v>869</v>
      </c>
      <c r="E798" s="32"/>
      <c r="F798" s="4">
        <f>F799+F804</f>
        <v>7291.6</v>
      </c>
      <c r="G798" s="4">
        <f>G799+G804</f>
        <v>1756.2360000000001</v>
      </c>
      <c r="H798" s="441">
        <f t="shared" si="147"/>
        <v>24.085742498217126</v>
      </c>
    </row>
    <row r="799" spans="1:8" s="202" customFormat="1" ht="31.5" x14ac:dyDescent="0.25">
      <c r="A799" s="25" t="s">
        <v>907</v>
      </c>
      <c r="B799" s="20" t="s">
        <v>306</v>
      </c>
      <c r="C799" s="20" t="s">
        <v>157</v>
      </c>
      <c r="D799" s="20" t="s">
        <v>870</v>
      </c>
      <c r="E799" s="32"/>
      <c r="F799" s="6">
        <f>F800+F802</f>
        <v>7015.6</v>
      </c>
      <c r="G799" s="6">
        <f>G800+G802</f>
        <v>1563.2360000000001</v>
      </c>
      <c r="H799" s="416">
        <f t="shared" si="147"/>
        <v>22.282285192998462</v>
      </c>
    </row>
    <row r="800" spans="1:8" s="202" customFormat="1" ht="78.75" x14ac:dyDescent="0.25">
      <c r="A800" s="25" t="s">
        <v>134</v>
      </c>
      <c r="B800" s="20" t="s">
        <v>306</v>
      </c>
      <c r="C800" s="20" t="s">
        <v>157</v>
      </c>
      <c r="D800" s="20" t="s">
        <v>870</v>
      </c>
      <c r="E800" s="32" t="s">
        <v>135</v>
      </c>
      <c r="F800" s="6">
        <f>F801</f>
        <v>7015.6</v>
      </c>
      <c r="G800" s="6">
        <f>G801</f>
        <v>1563.2360000000001</v>
      </c>
      <c r="H800" s="416">
        <f t="shared" si="147"/>
        <v>22.282285192998462</v>
      </c>
    </row>
    <row r="801" spans="1:8" ht="31.5" x14ac:dyDescent="0.25">
      <c r="A801" s="25" t="s">
        <v>136</v>
      </c>
      <c r="B801" s="20" t="s">
        <v>306</v>
      </c>
      <c r="C801" s="20" t="s">
        <v>157</v>
      </c>
      <c r="D801" s="20" t="s">
        <v>870</v>
      </c>
      <c r="E801" s="40" t="s">
        <v>137</v>
      </c>
      <c r="F801" s="6">
        <f>'Пр.4 ведом.21'!G408</f>
        <v>7015.6</v>
      </c>
      <c r="G801" s="6">
        <f>'Пр.4 ведом.21'!H408</f>
        <v>1563.2360000000001</v>
      </c>
      <c r="H801" s="416">
        <f t="shared" si="147"/>
        <v>22.282285192998462</v>
      </c>
    </row>
    <row r="802" spans="1:8" ht="31.5" hidden="1" x14ac:dyDescent="0.25">
      <c r="A802" s="25" t="s">
        <v>138</v>
      </c>
      <c r="B802" s="20" t="s">
        <v>306</v>
      </c>
      <c r="C802" s="20" t="s">
        <v>157</v>
      </c>
      <c r="D802" s="20" t="s">
        <v>870</v>
      </c>
      <c r="E802" s="40" t="s">
        <v>139</v>
      </c>
      <c r="F802" s="6">
        <f>F803</f>
        <v>0</v>
      </c>
      <c r="G802" s="6">
        <f>G803</f>
        <v>0</v>
      </c>
      <c r="H802" s="416" t="e">
        <f t="shared" si="147"/>
        <v>#DIV/0!</v>
      </c>
    </row>
    <row r="803" spans="1:8" ht="31.5" hidden="1" x14ac:dyDescent="0.25">
      <c r="A803" s="25" t="s">
        <v>140</v>
      </c>
      <c r="B803" s="20" t="s">
        <v>306</v>
      </c>
      <c r="C803" s="20" t="s">
        <v>157</v>
      </c>
      <c r="D803" s="20" t="s">
        <v>870</v>
      </c>
      <c r="E803" s="40" t="s">
        <v>141</v>
      </c>
      <c r="F803" s="6">
        <f>'Пр.4 ведом.21'!G410</f>
        <v>0</v>
      </c>
      <c r="G803" s="6">
        <f>'Пр.4 ведом.21'!H410</f>
        <v>0</v>
      </c>
      <c r="H803" s="416" t="e">
        <f t="shared" si="147"/>
        <v>#DIV/0!</v>
      </c>
    </row>
    <row r="804" spans="1:8" ht="47.25" x14ac:dyDescent="0.25">
      <c r="A804" s="25" t="s">
        <v>849</v>
      </c>
      <c r="B804" s="20" t="s">
        <v>306</v>
      </c>
      <c r="C804" s="20" t="s">
        <v>157</v>
      </c>
      <c r="D804" s="20" t="s">
        <v>872</v>
      </c>
      <c r="E804" s="40"/>
      <c r="F804" s="6">
        <f>F805</f>
        <v>276</v>
      </c>
      <c r="G804" s="6">
        <f>G805</f>
        <v>193</v>
      </c>
      <c r="H804" s="416">
        <f t="shared" si="147"/>
        <v>69.927536231884062</v>
      </c>
    </row>
    <row r="805" spans="1:8" ht="78.75" x14ac:dyDescent="0.25">
      <c r="A805" s="25" t="s">
        <v>134</v>
      </c>
      <c r="B805" s="20" t="s">
        <v>306</v>
      </c>
      <c r="C805" s="20" t="s">
        <v>157</v>
      </c>
      <c r="D805" s="20" t="s">
        <v>872</v>
      </c>
      <c r="E805" s="40" t="s">
        <v>135</v>
      </c>
      <c r="F805" s="6">
        <f t="shared" ref="F805:G805" si="152">F806</f>
        <v>276</v>
      </c>
      <c r="G805" s="6">
        <f t="shared" si="152"/>
        <v>193</v>
      </c>
      <c r="H805" s="416">
        <f t="shared" si="147"/>
        <v>69.927536231884062</v>
      </c>
    </row>
    <row r="806" spans="1:8" ht="31.5" x14ac:dyDescent="0.25">
      <c r="A806" s="25" t="s">
        <v>136</v>
      </c>
      <c r="B806" s="20" t="s">
        <v>306</v>
      </c>
      <c r="C806" s="20" t="s">
        <v>157</v>
      </c>
      <c r="D806" s="20" t="s">
        <v>872</v>
      </c>
      <c r="E806" s="40" t="s">
        <v>137</v>
      </c>
      <c r="F806" s="6">
        <f>'Пр.4 ведом.21'!G413</f>
        <v>276</v>
      </c>
      <c r="G806" s="6">
        <f>'Пр.4 ведом.21'!H413</f>
        <v>193</v>
      </c>
      <c r="H806" s="416">
        <f t="shared" si="147"/>
        <v>69.927536231884062</v>
      </c>
    </row>
    <row r="807" spans="1:8" ht="15.75" x14ac:dyDescent="0.25">
      <c r="A807" s="23" t="s">
        <v>936</v>
      </c>
      <c r="B807" s="24" t="s">
        <v>306</v>
      </c>
      <c r="C807" s="24" t="s">
        <v>157</v>
      </c>
      <c r="D807" s="24" t="s">
        <v>876</v>
      </c>
      <c r="E807" s="40"/>
      <c r="F807" s="4">
        <f t="shared" ref="F807:G807" si="153">F808</f>
        <v>11014.8</v>
      </c>
      <c r="G807" s="4">
        <f t="shared" si="153"/>
        <v>2686.5509999999999</v>
      </c>
      <c r="H807" s="441">
        <f t="shared" si="147"/>
        <v>24.390374768493299</v>
      </c>
    </row>
    <row r="808" spans="1:8" ht="31.5" x14ac:dyDescent="0.25">
      <c r="A808" s="23" t="s">
        <v>939</v>
      </c>
      <c r="B808" s="24" t="s">
        <v>306</v>
      </c>
      <c r="C808" s="24" t="s">
        <v>157</v>
      </c>
      <c r="D808" s="24" t="s">
        <v>924</v>
      </c>
      <c r="E808" s="40"/>
      <c r="F808" s="4">
        <f>F809+F816</f>
        <v>11014.8</v>
      </c>
      <c r="G808" s="4">
        <f>G809+G816</f>
        <v>2686.5509999999999</v>
      </c>
      <c r="H808" s="441">
        <f t="shared" si="147"/>
        <v>24.390374768493299</v>
      </c>
    </row>
    <row r="809" spans="1:8" ht="31.5" x14ac:dyDescent="0.25">
      <c r="A809" s="25" t="s">
        <v>913</v>
      </c>
      <c r="B809" s="20" t="s">
        <v>306</v>
      </c>
      <c r="C809" s="20" t="s">
        <v>157</v>
      </c>
      <c r="D809" s="20" t="s">
        <v>925</v>
      </c>
      <c r="E809" s="40"/>
      <c r="F809" s="6">
        <f>F810+F812+F814</f>
        <v>10804.8</v>
      </c>
      <c r="G809" s="6">
        <f>G810+G812+G814</f>
        <v>2508.8710000000001</v>
      </c>
      <c r="H809" s="416">
        <f t="shared" si="147"/>
        <v>23.219967051680737</v>
      </c>
    </row>
    <row r="810" spans="1:8" ht="78.75" x14ac:dyDescent="0.25">
      <c r="A810" s="25" t="s">
        <v>134</v>
      </c>
      <c r="B810" s="20" t="s">
        <v>306</v>
      </c>
      <c r="C810" s="20" t="s">
        <v>157</v>
      </c>
      <c r="D810" s="20" t="s">
        <v>925</v>
      </c>
      <c r="E810" s="40" t="s">
        <v>135</v>
      </c>
      <c r="F810" s="6">
        <f t="shared" ref="F810:G810" si="154">F811</f>
        <v>8853.7999999999993</v>
      </c>
      <c r="G810" s="6">
        <f t="shared" si="154"/>
        <v>2026.873</v>
      </c>
      <c r="H810" s="416">
        <f t="shared" si="147"/>
        <v>22.892690144344805</v>
      </c>
    </row>
    <row r="811" spans="1:8" ht="21.75" customHeight="1" x14ac:dyDescent="0.25">
      <c r="A811" s="25" t="s">
        <v>349</v>
      </c>
      <c r="B811" s="20" t="s">
        <v>306</v>
      </c>
      <c r="C811" s="20" t="s">
        <v>157</v>
      </c>
      <c r="D811" s="20" t="s">
        <v>925</v>
      </c>
      <c r="E811" s="40" t="s">
        <v>216</v>
      </c>
      <c r="F811" s="6">
        <f>'Пр.4 ведом.21'!G418</f>
        <v>8853.7999999999993</v>
      </c>
      <c r="G811" s="6">
        <f>'Пр.4 ведом.21'!H418</f>
        <v>2026.873</v>
      </c>
      <c r="H811" s="416">
        <f t="shared" si="147"/>
        <v>22.892690144344805</v>
      </c>
    </row>
    <row r="812" spans="1:8" ht="31.5" x14ac:dyDescent="0.25">
      <c r="A812" s="25" t="s">
        <v>138</v>
      </c>
      <c r="B812" s="20" t="s">
        <v>306</v>
      </c>
      <c r="C812" s="20" t="s">
        <v>157</v>
      </c>
      <c r="D812" s="20" t="s">
        <v>925</v>
      </c>
      <c r="E812" s="40" t="s">
        <v>139</v>
      </c>
      <c r="F812" s="6">
        <f t="shared" ref="F812:G814" si="155">F813</f>
        <v>1937</v>
      </c>
      <c r="G812" s="6">
        <f t="shared" si="155"/>
        <v>480.55200000000002</v>
      </c>
      <c r="H812" s="416">
        <f t="shared" si="147"/>
        <v>24.809086215797628</v>
      </c>
    </row>
    <row r="813" spans="1:8" ht="31.5" x14ac:dyDescent="0.25">
      <c r="A813" s="25" t="s">
        <v>140</v>
      </c>
      <c r="B813" s="20" t="s">
        <v>306</v>
      </c>
      <c r="C813" s="20" t="s">
        <v>157</v>
      </c>
      <c r="D813" s="20" t="s">
        <v>925</v>
      </c>
      <c r="E813" s="40" t="s">
        <v>141</v>
      </c>
      <c r="F813" s="6">
        <f>'Пр.4 ведом.21'!G420</f>
        <v>1937</v>
      </c>
      <c r="G813" s="6">
        <f>'Пр.4 ведом.21'!H420</f>
        <v>480.55200000000002</v>
      </c>
      <c r="H813" s="416">
        <f t="shared" si="147"/>
        <v>24.809086215797628</v>
      </c>
    </row>
    <row r="814" spans="1:8" ht="15.75" x14ac:dyDescent="0.25">
      <c r="A814" s="25" t="s">
        <v>142</v>
      </c>
      <c r="B814" s="20" t="s">
        <v>306</v>
      </c>
      <c r="C814" s="20" t="s">
        <v>157</v>
      </c>
      <c r="D814" s="20" t="s">
        <v>925</v>
      </c>
      <c r="E814" s="40" t="s">
        <v>152</v>
      </c>
      <c r="F814" s="6">
        <f t="shared" si="155"/>
        <v>14</v>
      </c>
      <c r="G814" s="6">
        <f t="shared" si="155"/>
        <v>1.446</v>
      </c>
      <c r="H814" s="416">
        <f t="shared" si="147"/>
        <v>10.328571428571429</v>
      </c>
    </row>
    <row r="815" spans="1:8" ht="15.75" x14ac:dyDescent="0.25">
      <c r="A815" s="25" t="s">
        <v>575</v>
      </c>
      <c r="B815" s="20" t="s">
        <v>306</v>
      </c>
      <c r="C815" s="20" t="s">
        <v>157</v>
      </c>
      <c r="D815" s="20" t="s">
        <v>925</v>
      </c>
      <c r="E815" s="40" t="s">
        <v>145</v>
      </c>
      <c r="F815" s="6">
        <f>'Пр.4 ведом.21'!G422</f>
        <v>14</v>
      </c>
      <c r="G815" s="6">
        <f>'Пр.4 ведом.21'!H422</f>
        <v>1.446</v>
      </c>
      <c r="H815" s="416">
        <f t="shared" si="147"/>
        <v>10.328571428571429</v>
      </c>
    </row>
    <row r="816" spans="1:8" ht="47.25" x14ac:dyDescent="0.25">
      <c r="A816" s="25" t="s">
        <v>849</v>
      </c>
      <c r="B816" s="20" t="s">
        <v>306</v>
      </c>
      <c r="C816" s="20" t="s">
        <v>157</v>
      </c>
      <c r="D816" s="20" t="s">
        <v>926</v>
      </c>
      <c r="E816" s="40"/>
      <c r="F816" s="6">
        <f>F817</f>
        <v>210</v>
      </c>
      <c r="G816" s="6">
        <f>G817</f>
        <v>177.68</v>
      </c>
      <c r="H816" s="416">
        <f t="shared" si="147"/>
        <v>84.609523809523807</v>
      </c>
    </row>
    <row r="817" spans="1:12" ht="78.75" x14ac:dyDescent="0.25">
      <c r="A817" s="25" t="s">
        <v>134</v>
      </c>
      <c r="B817" s="20" t="s">
        <v>306</v>
      </c>
      <c r="C817" s="20" t="s">
        <v>157</v>
      </c>
      <c r="D817" s="20" t="s">
        <v>926</v>
      </c>
      <c r="E817" s="40" t="s">
        <v>135</v>
      </c>
      <c r="F817" s="6">
        <f t="shared" ref="F817:G817" si="156">F818</f>
        <v>210</v>
      </c>
      <c r="G817" s="6">
        <f t="shared" si="156"/>
        <v>177.68</v>
      </c>
      <c r="H817" s="416">
        <f t="shared" si="147"/>
        <v>84.609523809523807</v>
      </c>
    </row>
    <row r="818" spans="1:12" ht="31.5" x14ac:dyDescent="0.25">
      <c r="A818" s="25" t="s">
        <v>136</v>
      </c>
      <c r="B818" s="20" t="s">
        <v>306</v>
      </c>
      <c r="C818" s="20" t="s">
        <v>157</v>
      </c>
      <c r="D818" s="20" t="s">
        <v>926</v>
      </c>
      <c r="E818" s="40" t="s">
        <v>216</v>
      </c>
      <c r="F818" s="6">
        <f>'Пр.4 ведом.21'!G425</f>
        <v>210</v>
      </c>
      <c r="G818" s="6">
        <f>'Пр.4 ведом.21'!H425</f>
        <v>177.68</v>
      </c>
      <c r="H818" s="416">
        <f t="shared" si="147"/>
        <v>84.609523809523807</v>
      </c>
    </row>
    <row r="819" spans="1:12" ht="47.25" x14ac:dyDescent="0.25">
      <c r="A819" s="23" t="s">
        <v>1364</v>
      </c>
      <c r="B819" s="24" t="s">
        <v>306</v>
      </c>
      <c r="C819" s="24" t="s">
        <v>157</v>
      </c>
      <c r="D819" s="24" t="s">
        <v>351</v>
      </c>
      <c r="E819" s="40"/>
      <c r="F819" s="4">
        <f t="shared" ref="F819:G821" si="157">F820</f>
        <v>200</v>
      </c>
      <c r="G819" s="4">
        <f t="shared" si="157"/>
        <v>0</v>
      </c>
      <c r="H819" s="441">
        <f t="shared" si="147"/>
        <v>0</v>
      </c>
    </row>
    <row r="820" spans="1:12" ht="31.5" x14ac:dyDescent="0.25">
      <c r="A820" s="23" t="s">
        <v>362</v>
      </c>
      <c r="B820" s="24" t="s">
        <v>306</v>
      </c>
      <c r="C820" s="24" t="s">
        <v>157</v>
      </c>
      <c r="D820" s="24" t="s">
        <v>369</v>
      </c>
      <c r="E820" s="40"/>
      <c r="F820" s="4">
        <f t="shared" si="157"/>
        <v>200</v>
      </c>
      <c r="G820" s="4">
        <f t="shared" si="157"/>
        <v>0</v>
      </c>
      <c r="H820" s="441">
        <f t="shared" si="147"/>
        <v>0</v>
      </c>
    </row>
    <row r="821" spans="1:12" ht="31.5" x14ac:dyDescent="0.25">
      <c r="A821" s="23" t="s">
        <v>1007</v>
      </c>
      <c r="B821" s="24" t="s">
        <v>306</v>
      </c>
      <c r="C821" s="24" t="s">
        <v>157</v>
      </c>
      <c r="D821" s="24" t="s">
        <v>1236</v>
      </c>
      <c r="E821" s="40"/>
      <c r="F821" s="4">
        <f t="shared" si="157"/>
        <v>200</v>
      </c>
      <c r="G821" s="4">
        <f t="shared" si="157"/>
        <v>0</v>
      </c>
      <c r="H821" s="441">
        <f t="shared" si="147"/>
        <v>0</v>
      </c>
    </row>
    <row r="822" spans="1:12" ht="31.5" x14ac:dyDescent="0.25">
      <c r="A822" s="25" t="s">
        <v>1006</v>
      </c>
      <c r="B822" s="20" t="s">
        <v>306</v>
      </c>
      <c r="C822" s="20" t="s">
        <v>157</v>
      </c>
      <c r="D822" s="20" t="s">
        <v>1237</v>
      </c>
      <c r="E822" s="40"/>
      <c r="F822" s="6">
        <f t="shared" ref="F822:G822" si="158">F823</f>
        <v>200</v>
      </c>
      <c r="G822" s="6">
        <f t="shared" si="158"/>
        <v>0</v>
      </c>
      <c r="H822" s="416">
        <f t="shared" si="147"/>
        <v>0</v>
      </c>
    </row>
    <row r="823" spans="1:12" ht="31.5" x14ac:dyDescent="0.25">
      <c r="A823" s="25" t="s">
        <v>138</v>
      </c>
      <c r="B823" s="20" t="s">
        <v>306</v>
      </c>
      <c r="C823" s="20" t="s">
        <v>157</v>
      </c>
      <c r="D823" s="20" t="s">
        <v>1237</v>
      </c>
      <c r="E823" s="40" t="s">
        <v>139</v>
      </c>
      <c r="F823" s="6">
        <f>F824</f>
        <v>200</v>
      </c>
      <c r="G823" s="6">
        <f>G824</f>
        <v>0</v>
      </c>
      <c r="H823" s="416">
        <f t="shared" si="147"/>
        <v>0</v>
      </c>
    </row>
    <row r="824" spans="1:12" ht="31.5" x14ac:dyDescent="0.25">
      <c r="A824" s="25" t="s">
        <v>140</v>
      </c>
      <c r="B824" s="20" t="s">
        <v>306</v>
      </c>
      <c r="C824" s="20" t="s">
        <v>157</v>
      </c>
      <c r="D824" s="20" t="s">
        <v>1237</v>
      </c>
      <c r="E824" s="40" t="s">
        <v>141</v>
      </c>
      <c r="F824" s="6">
        <f>'Пр.4 ведом.21'!G431</f>
        <v>200</v>
      </c>
      <c r="G824" s="6">
        <f>'Пр.4 ведом.21'!H431</f>
        <v>0</v>
      </c>
      <c r="H824" s="416">
        <f t="shared" si="147"/>
        <v>0</v>
      </c>
    </row>
    <row r="825" spans="1:12" s="202" customFormat="1" ht="47.25" x14ac:dyDescent="0.25">
      <c r="A825" s="34" t="s">
        <v>1374</v>
      </c>
      <c r="B825" s="24" t="s">
        <v>306</v>
      </c>
      <c r="C825" s="24" t="s">
        <v>157</v>
      </c>
      <c r="D825" s="24" t="s">
        <v>331</v>
      </c>
      <c r="E825" s="24"/>
      <c r="F825" s="21">
        <f>F827</f>
        <v>4</v>
      </c>
      <c r="G825" s="21">
        <f>G827</f>
        <v>0</v>
      </c>
      <c r="H825" s="441">
        <f t="shared" si="147"/>
        <v>0</v>
      </c>
    </row>
    <row r="826" spans="1:12" s="202" customFormat="1" ht="63" x14ac:dyDescent="0.25">
      <c r="A826" s="34" t="s">
        <v>1035</v>
      </c>
      <c r="B826" s="24" t="s">
        <v>306</v>
      </c>
      <c r="C826" s="24" t="s">
        <v>157</v>
      </c>
      <c r="D826" s="24" t="s">
        <v>944</v>
      </c>
      <c r="E826" s="24"/>
      <c r="F826" s="21">
        <f>F829</f>
        <v>4</v>
      </c>
      <c r="G826" s="21">
        <f>G829</f>
        <v>0</v>
      </c>
      <c r="H826" s="441">
        <f t="shared" si="147"/>
        <v>0</v>
      </c>
    </row>
    <row r="827" spans="1:12" s="202" customFormat="1" ht="47.25" x14ac:dyDescent="0.25">
      <c r="A827" s="31" t="s">
        <v>1091</v>
      </c>
      <c r="B827" s="20" t="s">
        <v>306</v>
      </c>
      <c r="C827" s="20" t="s">
        <v>157</v>
      </c>
      <c r="D827" s="20" t="s">
        <v>1036</v>
      </c>
      <c r="E827" s="20"/>
      <c r="F827" s="26">
        <f>F828</f>
        <v>4</v>
      </c>
      <c r="G827" s="26">
        <f>G828</f>
        <v>0</v>
      </c>
      <c r="H827" s="416">
        <f t="shared" si="147"/>
        <v>0</v>
      </c>
    </row>
    <row r="828" spans="1:12" s="202" customFormat="1" ht="31.5" x14ac:dyDescent="0.25">
      <c r="A828" s="25" t="s">
        <v>138</v>
      </c>
      <c r="B828" s="20" t="s">
        <v>306</v>
      </c>
      <c r="C828" s="20" t="s">
        <v>157</v>
      </c>
      <c r="D828" s="20" t="s">
        <v>1036</v>
      </c>
      <c r="E828" s="20" t="s">
        <v>139</v>
      </c>
      <c r="F828" s="26">
        <f>F829</f>
        <v>4</v>
      </c>
      <c r="G828" s="26">
        <f>G829</f>
        <v>0</v>
      </c>
      <c r="H828" s="416">
        <f t="shared" si="147"/>
        <v>0</v>
      </c>
    </row>
    <row r="829" spans="1:12" s="202" customFormat="1" ht="31.5" x14ac:dyDescent="0.25">
      <c r="A829" s="25" t="s">
        <v>140</v>
      </c>
      <c r="B829" s="20" t="s">
        <v>306</v>
      </c>
      <c r="C829" s="20" t="s">
        <v>157</v>
      </c>
      <c r="D829" s="20" t="s">
        <v>1036</v>
      </c>
      <c r="E829" s="20" t="s">
        <v>141</v>
      </c>
      <c r="F829" s="26">
        <f>'Пр.4 ведом.21'!G436</f>
        <v>4</v>
      </c>
      <c r="G829" s="26">
        <f>'Пр.4 ведом.21'!H436</f>
        <v>0</v>
      </c>
      <c r="H829" s="416">
        <f t="shared" si="147"/>
        <v>0</v>
      </c>
    </row>
    <row r="830" spans="1:12" s="202" customFormat="1" ht="15.75" x14ac:dyDescent="0.25">
      <c r="A830" s="23" t="s">
        <v>250</v>
      </c>
      <c r="B830" s="24" t="s">
        <v>251</v>
      </c>
      <c r="C830" s="24"/>
      <c r="D830" s="24"/>
      <c r="E830" s="24"/>
      <c r="F830" s="4">
        <f>F831+F837+F869+F864</f>
        <v>17213.900000000001</v>
      </c>
      <c r="G830" s="4">
        <f>G831+G837+G869+G864</f>
        <v>3291.0650000000001</v>
      </c>
      <c r="H830" s="441">
        <f t="shared" si="147"/>
        <v>19.118648301663193</v>
      </c>
      <c r="K830" s="227">
        <f>F830-'Пр.4 ведом.21'!N1070-'Пр.4 ведом.21'!W1080-F865-F871</f>
        <v>11619.300000000001</v>
      </c>
      <c r="L830" s="227">
        <f>F861+F866+F872-'Пр.4 ведом.21'!N1069-'Пр.4 ведом.21'!W1079</f>
        <v>5594.6</v>
      </c>
    </row>
    <row r="831" spans="1:12" s="202" customFormat="1" ht="15.75" x14ac:dyDescent="0.25">
      <c r="A831" s="23" t="s">
        <v>252</v>
      </c>
      <c r="B831" s="24" t="s">
        <v>251</v>
      </c>
      <c r="C831" s="24" t="s">
        <v>125</v>
      </c>
      <c r="D831" s="24"/>
      <c r="E831" s="24"/>
      <c r="F831" s="4">
        <f t="shared" ref="F831:G835" si="159">F832</f>
        <v>9815.2999999999993</v>
      </c>
      <c r="G831" s="4">
        <f t="shared" si="159"/>
        <v>2663.7150000000001</v>
      </c>
      <c r="H831" s="441">
        <f t="shared" si="147"/>
        <v>27.138396177396519</v>
      </c>
    </row>
    <row r="832" spans="1:12" s="202" customFormat="1" ht="15.75" x14ac:dyDescent="0.25">
      <c r="A832" s="23" t="s">
        <v>148</v>
      </c>
      <c r="B832" s="24" t="s">
        <v>251</v>
      </c>
      <c r="C832" s="24" t="s">
        <v>125</v>
      </c>
      <c r="D832" s="24" t="s">
        <v>876</v>
      </c>
      <c r="E832" s="24"/>
      <c r="F832" s="4">
        <f t="shared" si="159"/>
        <v>9815.2999999999993</v>
      </c>
      <c r="G832" s="4">
        <f t="shared" si="159"/>
        <v>2663.7150000000001</v>
      </c>
      <c r="H832" s="441">
        <f t="shared" si="147"/>
        <v>27.138396177396519</v>
      </c>
    </row>
    <row r="833" spans="1:8" s="202" customFormat="1" ht="31.5" x14ac:dyDescent="0.25">
      <c r="A833" s="23" t="s">
        <v>880</v>
      </c>
      <c r="B833" s="24" t="s">
        <v>251</v>
      </c>
      <c r="C833" s="24" t="s">
        <v>125</v>
      </c>
      <c r="D833" s="24" t="s">
        <v>875</v>
      </c>
      <c r="E833" s="24"/>
      <c r="F833" s="4">
        <f t="shared" si="159"/>
        <v>9815.2999999999993</v>
      </c>
      <c r="G833" s="4">
        <f t="shared" si="159"/>
        <v>2663.7150000000001</v>
      </c>
      <c r="H833" s="441">
        <f t="shared" si="147"/>
        <v>27.138396177396519</v>
      </c>
    </row>
    <row r="834" spans="1:8" s="202" customFormat="1" ht="15.75" x14ac:dyDescent="0.25">
      <c r="A834" s="25" t="s">
        <v>253</v>
      </c>
      <c r="B834" s="20" t="s">
        <v>251</v>
      </c>
      <c r="C834" s="20" t="s">
        <v>125</v>
      </c>
      <c r="D834" s="20" t="s">
        <v>891</v>
      </c>
      <c r="E834" s="20"/>
      <c r="F834" s="6">
        <f t="shared" si="159"/>
        <v>9815.2999999999993</v>
      </c>
      <c r="G834" s="6">
        <f t="shared" si="159"/>
        <v>2663.7150000000001</v>
      </c>
      <c r="H834" s="416">
        <f t="shared" si="147"/>
        <v>27.138396177396519</v>
      </c>
    </row>
    <row r="835" spans="1:8" s="202" customFormat="1" ht="18" customHeight="1" x14ac:dyDescent="0.25">
      <c r="A835" s="25" t="s">
        <v>255</v>
      </c>
      <c r="B835" s="20" t="s">
        <v>251</v>
      </c>
      <c r="C835" s="20" t="s">
        <v>125</v>
      </c>
      <c r="D835" s="20" t="s">
        <v>891</v>
      </c>
      <c r="E835" s="20" t="s">
        <v>256</v>
      </c>
      <c r="F835" s="6">
        <f t="shared" si="159"/>
        <v>9815.2999999999993</v>
      </c>
      <c r="G835" s="6">
        <f t="shared" si="159"/>
        <v>2663.7150000000001</v>
      </c>
      <c r="H835" s="416">
        <f t="shared" si="147"/>
        <v>27.138396177396519</v>
      </c>
    </row>
    <row r="836" spans="1:8" s="202" customFormat="1" ht="31.5" x14ac:dyDescent="0.25">
      <c r="A836" s="25" t="s">
        <v>257</v>
      </c>
      <c r="B836" s="20" t="s">
        <v>251</v>
      </c>
      <c r="C836" s="20" t="s">
        <v>125</v>
      </c>
      <c r="D836" s="20" t="s">
        <v>891</v>
      </c>
      <c r="E836" s="20" t="s">
        <v>258</v>
      </c>
      <c r="F836" s="6">
        <f>'Пр.4 ведом.21'!G213</f>
        <v>9815.2999999999993</v>
      </c>
      <c r="G836" s="6">
        <f>'Пр.4 ведом.21'!H213</f>
        <v>2663.7150000000001</v>
      </c>
      <c r="H836" s="416">
        <f t="shared" si="147"/>
        <v>27.138396177396519</v>
      </c>
    </row>
    <row r="837" spans="1:8" ht="15.75" x14ac:dyDescent="0.25">
      <c r="A837" s="23" t="s">
        <v>259</v>
      </c>
      <c r="B837" s="24" t="s">
        <v>251</v>
      </c>
      <c r="C837" s="24" t="s">
        <v>222</v>
      </c>
      <c r="D837" s="24"/>
      <c r="E837" s="24"/>
      <c r="F837" s="4">
        <f>F838+F859</f>
        <v>1717</v>
      </c>
      <c r="G837" s="4">
        <f>G838+G859</f>
        <v>208.893</v>
      </c>
      <c r="H837" s="441">
        <f t="shared" si="147"/>
        <v>12.166161910308677</v>
      </c>
    </row>
    <row r="838" spans="1:8" ht="47.25" x14ac:dyDescent="0.25">
      <c r="A838" s="23" t="s">
        <v>1389</v>
      </c>
      <c r="B838" s="24" t="s">
        <v>251</v>
      </c>
      <c r="C838" s="24" t="s">
        <v>222</v>
      </c>
      <c r="D838" s="24" t="s">
        <v>351</v>
      </c>
      <c r="E838" s="24"/>
      <c r="F838" s="4">
        <f>F839+F844</f>
        <v>1707</v>
      </c>
      <c r="G838" s="4">
        <f>G839+G844</f>
        <v>208.893</v>
      </c>
      <c r="H838" s="441">
        <f t="shared" si="147"/>
        <v>12.237434094903339</v>
      </c>
    </row>
    <row r="839" spans="1:8" ht="31.5" hidden="1" x14ac:dyDescent="0.25">
      <c r="A839" s="23" t="s">
        <v>359</v>
      </c>
      <c r="B839" s="24" t="s">
        <v>251</v>
      </c>
      <c r="C839" s="24" t="s">
        <v>222</v>
      </c>
      <c r="D839" s="24" t="s">
        <v>360</v>
      </c>
      <c r="E839" s="24"/>
      <c r="F839" s="4">
        <f t="shared" ref="F839:G839" si="160">F840</f>
        <v>0</v>
      </c>
      <c r="G839" s="4">
        <f t="shared" si="160"/>
        <v>0</v>
      </c>
      <c r="H839" s="441" t="e">
        <f t="shared" si="147"/>
        <v>#DIV/0!</v>
      </c>
    </row>
    <row r="840" spans="1:8" ht="30.2" hidden="1" customHeight="1" x14ac:dyDescent="0.25">
      <c r="A840" s="23" t="s">
        <v>915</v>
      </c>
      <c r="B840" s="24" t="s">
        <v>251</v>
      </c>
      <c r="C840" s="24" t="s">
        <v>222</v>
      </c>
      <c r="D840" s="24" t="s">
        <v>914</v>
      </c>
      <c r="E840" s="24"/>
      <c r="F840" s="4">
        <f>F841</f>
        <v>0</v>
      </c>
      <c r="G840" s="4">
        <f>G841</f>
        <v>0</v>
      </c>
      <c r="H840" s="441" t="e">
        <f t="shared" si="147"/>
        <v>#DIV/0!</v>
      </c>
    </row>
    <row r="841" spans="1:8" ht="31.5" hidden="1" x14ac:dyDescent="0.25">
      <c r="A841" s="25" t="s">
        <v>834</v>
      </c>
      <c r="B841" s="20" t="s">
        <v>251</v>
      </c>
      <c r="C841" s="20" t="s">
        <v>222</v>
      </c>
      <c r="D841" s="20" t="s">
        <v>916</v>
      </c>
      <c r="E841" s="20"/>
      <c r="F841" s="6">
        <f>F842</f>
        <v>0</v>
      </c>
      <c r="G841" s="6">
        <f>G842</f>
        <v>0</v>
      </c>
      <c r="H841" s="441" t="e">
        <f t="shared" si="147"/>
        <v>#DIV/0!</v>
      </c>
    </row>
    <row r="842" spans="1:8" ht="19.5" hidden="1" customHeight="1" x14ac:dyDescent="0.25">
      <c r="A842" s="25" t="s">
        <v>255</v>
      </c>
      <c r="B842" s="20" t="s">
        <v>251</v>
      </c>
      <c r="C842" s="20" t="s">
        <v>222</v>
      </c>
      <c r="D842" s="20" t="s">
        <v>916</v>
      </c>
      <c r="E842" s="20" t="s">
        <v>256</v>
      </c>
      <c r="F842" s="6">
        <f t="shared" ref="F842:G842" si="161">F843</f>
        <v>0</v>
      </c>
      <c r="G842" s="6">
        <f t="shared" si="161"/>
        <v>0</v>
      </c>
      <c r="H842" s="441" t="e">
        <f t="shared" si="147"/>
        <v>#DIV/0!</v>
      </c>
    </row>
    <row r="843" spans="1:8" ht="31.5" hidden="1" x14ac:dyDescent="0.25">
      <c r="A843" s="25" t="s">
        <v>257</v>
      </c>
      <c r="B843" s="20" t="s">
        <v>251</v>
      </c>
      <c r="C843" s="20" t="s">
        <v>222</v>
      </c>
      <c r="D843" s="20" t="s">
        <v>916</v>
      </c>
      <c r="E843" s="20" t="s">
        <v>258</v>
      </c>
      <c r="F843" s="6">
        <f>'Пр.4 ведом.21'!G444</f>
        <v>0</v>
      </c>
      <c r="G843" s="6">
        <f>'Пр.4 ведом.21'!H444</f>
        <v>0</v>
      </c>
      <c r="H843" s="441" t="e">
        <f t="shared" ref="H843:H906" si="162">G843/F843*100</f>
        <v>#DIV/0!</v>
      </c>
    </row>
    <row r="844" spans="1:8" ht="37.5" customHeight="1" x14ac:dyDescent="0.25">
      <c r="A844" s="23" t="s">
        <v>362</v>
      </c>
      <c r="B844" s="19">
        <v>10</v>
      </c>
      <c r="C844" s="24" t="s">
        <v>222</v>
      </c>
      <c r="D844" s="24" t="s">
        <v>369</v>
      </c>
      <c r="E844" s="24"/>
      <c r="F844" s="4">
        <f>F845+F849+F855</f>
        <v>1707</v>
      </c>
      <c r="G844" s="4">
        <f>G845+G849+G855</f>
        <v>208.893</v>
      </c>
      <c r="H844" s="441">
        <f t="shared" si="162"/>
        <v>12.237434094903339</v>
      </c>
    </row>
    <row r="845" spans="1:8" ht="31.5" x14ac:dyDescent="0.25">
      <c r="A845" s="23" t="s">
        <v>1048</v>
      </c>
      <c r="B845" s="24" t="s">
        <v>251</v>
      </c>
      <c r="C845" s="24" t="s">
        <v>222</v>
      </c>
      <c r="D845" s="24" t="s">
        <v>923</v>
      </c>
      <c r="E845" s="24"/>
      <c r="F845" s="21">
        <f t="shared" ref="F845:G847" si="163">F846</f>
        <v>630</v>
      </c>
      <c r="G845" s="21">
        <f t="shared" si="163"/>
        <v>128.893</v>
      </c>
      <c r="H845" s="441">
        <f t="shared" si="162"/>
        <v>20.459206349206347</v>
      </c>
    </row>
    <row r="846" spans="1:8" ht="47.25" x14ac:dyDescent="0.25">
      <c r="A846" s="98" t="s">
        <v>1049</v>
      </c>
      <c r="B846" s="20" t="s">
        <v>251</v>
      </c>
      <c r="C846" s="20" t="s">
        <v>222</v>
      </c>
      <c r="D846" s="20" t="s">
        <v>1239</v>
      </c>
      <c r="E846" s="20"/>
      <c r="F846" s="26">
        <f t="shared" si="163"/>
        <v>630</v>
      </c>
      <c r="G846" s="26">
        <f t="shared" si="163"/>
        <v>128.893</v>
      </c>
      <c r="H846" s="416">
        <f t="shared" si="162"/>
        <v>20.459206349206347</v>
      </c>
    </row>
    <row r="847" spans="1:8" ht="18.75" customHeight="1" x14ac:dyDescent="0.25">
      <c r="A847" s="25" t="s">
        <v>255</v>
      </c>
      <c r="B847" s="20" t="s">
        <v>251</v>
      </c>
      <c r="C847" s="20" t="s">
        <v>222</v>
      </c>
      <c r="D847" s="20" t="s">
        <v>1239</v>
      </c>
      <c r="E847" s="20" t="s">
        <v>256</v>
      </c>
      <c r="F847" s="26">
        <f t="shared" si="163"/>
        <v>630</v>
      </c>
      <c r="G847" s="26">
        <f t="shared" si="163"/>
        <v>128.893</v>
      </c>
      <c r="H847" s="416">
        <f t="shared" si="162"/>
        <v>20.459206349206347</v>
      </c>
    </row>
    <row r="848" spans="1:8" ht="31.7" customHeight="1" x14ac:dyDescent="0.25">
      <c r="A848" s="25" t="s">
        <v>355</v>
      </c>
      <c r="B848" s="20" t="s">
        <v>251</v>
      </c>
      <c r="C848" s="20" t="s">
        <v>222</v>
      </c>
      <c r="D848" s="20" t="s">
        <v>1239</v>
      </c>
      <c r="E848" s="20" t="s">
        <v>356</v>
      </c>
      <c r="F848" s="26">
        <f>'Пр.4 ведом.21'!G449</f>
        <v>630</v>
      </c>
      <c r="G848" s="26">
        <f>'Пр.4 ведом.21'!H449</f>
        <v>128.893</v>
      </c>
      <c r="H848" s="416">
        <f t="shared" si="162"/>
        <v>20.459206349206347</v>
      </c>
    </row>
    <row r="849" spans="1:8" ht="31.5" x14ac:dyDescent="0.25">
      <c r="A849" s="23" t="s">
        <v>1243</v>
      </c>
      <c r="B849" s="19">
        <v>10</v>
      </c>
      <c r="C849" s="24" t="s">
        <v>222</v>
      </c>
      <c r="D849" s="24" t="s">
        <v>1241</v>
      </c>
      <c r="E849" s="24"/>
      <c r="F849" s="21">
        <f>F850</f>
        <v>657</v>
      </c>
      <c r="G849" s="21">
        <f>G850</f>
        <v>40</v>
      </c>
      <c r="H849" s="441">
        <f t="shared" si="162"/>
        <v>6.0882800608828003</v>
      </c>
    </row>
    <row r="850" spans="1:8" ht="35.450000000000003" customHeight="1" x14ac:dyDescent="0.25">
      <c r="A850" s="25" t="s">
        <v>1240</v>
      </c>
      <c r="B850" s="20" t="s">
        <v>251</v>
      </c>
      <c r="C850" s="20" t="s">
        <v>222</v>
      </c>
      <c r="D850" s="20" t="s">
        <v>1242</v>
      </c>
      <c r="E850" s="20"/>
      <c r="F850" s="26">
        <f>F852+F854</f>
        <v>657</v>
      </c>
      <c r="G850" s="26">
        <f>G852+G854</f>
        <v>40</v>
      </c>
      <c r="H850" s="416">
        <f t="shared" si="162"/>
        <v>6.0882800608828003</v>
      </c>
    </row>
    <row r="851" spans="1:8" ht="36" customHeight="1" x14ac:dyDescent="0.25">
      <c r="A851" s="25" t="s">
        <v>138</v>
      </c>
      <c r="B851" s="20" t="s">
        <v>251</v>
      </c>
      <c r="C851" s="20" t="s">
        <v>222</v>
      </c>
      <c r="D851" s="20" t="s">
        <v>1242</v>
      </c>
      <c r="E851" s="20" t="s">
        <v>139</v>
      </c>
      <c r="F851" s="26">
        <f>F852</f>
        <v>400</v>
      </c>
      <c r="G851" s="26">
        <f>G852</f>
        <v>0</v>
      </c>
      <c r="H851" s="416">
        <f t="shared" si="162"/>
        <v>0</v>
      </c>
    </row>
    <row r="852" spans="1:8" ht="39.75" customHeight="1" x14ac:dyDescent="0.25">
      <c r="A852" s="25" t="s">
        <v>140</v>
      </c>
      <c r="B852" s="20" t="s">
        <v>251</v>
      </c>
      <c r="C852" s="20" t="s">
        <v>222</v>
      </c>
      <c r="D852" s="20" t="s">
        <v>1242</v>
      </c>
      <c r="E852" s="20" t="s">
        <v>141</v>
      </c>
      <c r="F852" s="26">
        <f>'Пр.4 ведом.21'!G453</f>
        <v>400</v>
      </c>
      <c r="G852" s="26">
        <f>'Пр.4 ведом.21'!H453</f>
        <v>0</v>
      </c>
      <c r="H852" s="416">
        <f t="shared" si="162"/>
        <v>0</v>
      </c>
    </row>
    <row r="853" spans="1:8" ht="19.5" customHeight="1" x14ac:dyDescent="0.25">
      <c r="A853" s="25" t="s">
        <v>255</v>
      </c>
      <c r="B853" s="20" t="s">
        <v>251</v>
      </c>
      <c r="C853" s="20" t="s">
        <v>222</v>
      </c>
      <c r="D853" s="20" t="s">
        <v>1242</v>
      </c>
      <c r="E853" s="20" t="s">
        <v>256</v>
      </c>
      <c r="F853" s="26">
        <f>F854</f>
        <v>257</v>
      </c>
      <c r="G853" s="26">
        <f>G854</f>
        <v>40</v>
      </c>
      <c r="H853" s="416">
        <f t="shared" si="162"/>
        <v>15.56420233463035</v>
      </c>
    </row>
    <row r="854" spans="1:8" ht="31.5" x14ac:dyDescent="0.25">
      <c r="A854" s="25" t="s">
        <v>355</v>
      </c>
      <c r="B854" s="20" t="s">
        <v>251</v>
      </c>
      <c r="C854" s="20" t="s">
        <v>222</v>
      </c>
      <c r="D854" s="20" t="s">
        <v>1242</v>
      </c>
      <c r="E854" s="20" t="s">
        <v>356</v>
      </c>
      <c r="F854" s="26">
        <f>'Пр.4 ведом.21'!G455</f>
        <v>257</v>
      </c>
      <c r="G854" s="26">
        <f>'Пр.4 ведом.21'!H455</f>
        <v>40</v>
      </c>
      <c r="H854" s="416">
        <f t="shared" si="162"/>
        <v>15.56420233463035</v>
      </c>
    </row>
    <row r="855" spans="1:8" ht="31.5" x14ac:dyDescent="0.25">
      <c r="A855" s="23" t="s">
        <v>1007</v>
      </c>
      <c r="B855" s="19">
        <v>10</v>
      </c>
      <c r="C855" s="24" t="s">
        <v>222</v>
      </c>
      <c r="D855" s="24" t="s">
        <v>1236</v>
      </c>
      <c r="E855" s="24"/>
      <c r="F855" s="21">
        <f t="shared" ref="F855:G857" si="164">F856</f>
        <v>420</v>
      </c>
      <c r="G855" s="21">
        <f t="shared" si="164"/>
        <v>40</v>
      </c>
      <c r="H855" s="441">
        <f t="shared" si="162"/>
        <v>9.5238095238095237</v>
      </c>
    </row>
    <row r="856" spans="1:8" ht="15.75" x14ac:dyDescent="0.25">
      <c r="A856" s="25" t="s">
        <v>1046</v>
      </c>
      <c r="B856" s="20" t="s">
        <v>251</v>
      </c>
      <c r="C856" s="20" t="s">
        <v>222</v>
      </c>
      <c r="D856" s="20" t="s">
        <v>1238</v>
      </c>
      <c r="E856" s="20"/>
      <c r="F856" s="26">
        <f t="shared" si="164"/>
        <v>420</v>
      </c>
      <c r="G856" s="26">
        <f t="shared" si="164"/>
        <v>40</v>
      </c>
      <c r="H856" s="416">
        <f t="shared" si="162"/>
        <v>9.5238095238095237</v>
      </c>
    </row>
    <row r="857" spans="1:8" s="202" customFormat="1" ht="21.75" customHeight="1" x14ac:dyDescent="0.25">
      <c r="A857" s="25" t="s">
        <v>255</v>
      </c>
      <c r="B857" s="20" t="s">
        <v>251</v>
      </c>
      <c r="C857" s="20" t="s">
        <v>222</v>
      </c>
      <c r="D857" s="20" t="s">
        <v>1238</v>
      </c>
      <c r="E857" s="20" t="s">
        <v>256</v>
      </c>
      <c r="F857" s="26">
        <f t="shared" si="164"/>
        <v>420</v>
      </c>
      <c r="G857" s="26">
        <f t="shared" si="164"/>
        <v>40</v>
      </c>
      <c r="H857" s="416">
        <f t="shared" si="162"/>
        <v>9.5238095238095237</v>
      </c>
    </row>
    <row r="858" spans="1:8" s="202" customFormat="1" ht="31.5" x14ac:dyDescent="0.25">
      <c r="A858" s="25" t="s">
        <v>355</v>
      </c>
      <c r="B858" s="20" t="s">
        <v>251</v>
      </c>
      <c r="C858" s="20" t="s">
        <v>222</v>
      </c>
      <c r="D858" s="20" t="s">
        <v>1238</v>
      </c>
      <c r="E858" s="20" t="s">
        <v>356</v>
      </c>
      <c r="F858" s="26">
        <f>'Пр.4 ведом.21'!G459</f>
        <v>420</v>
      </c>
      <c r="G858" s="26">
        <f>'Пр.4 ведом.21'!H459</f>
        <v>40</v>
      </c>
      <c r="H858" s="416">
        <f t="shared" si="162"/>
        <v>9.5238095238095237</v>
      </c>
    </row>
    <row r="859" spans="1:8" ht="69" customHeight="1" x14ac:dyDescent="0.25">
      <c r="A859" s="23" t="s">
        <v>1363</v>
      </c>
      <c r="B859" s="24" t="s">
        <v>251</v>
      </c>
      <c r="C859" s="24" t="s">
        <v>222</v>
      </c>
      <c r="D859" s="24" t="s">
        <v>261</v>
      </c>
      <c r="E859" s="24"/>
      <c r="F859" s="4">
        <f t="shared" ref="F859:G861" si="165">F860</f>
        <v>10</v>
      </c>
      <c r="G859" s="4">
        <f t="shared" si="165"/>
        <v>0</v>
      </c>
      <c r="H859" s="441">
        <f t="shared" si="162"/>
        <v>0</v>
      </c>
    </row>
    <row r="860" spans="1:8" ht="47.25" x14ac:dyDescent="0.25">
      <c r="A860" s="23" t="s">
        <v>894</v>
      </c>
      <c r="B860" s="24" t="s">
        <v>251</v>
      </c>
      <c r="C860" s="24" t="s">
        <v>222</v>
      </c>
      <c r="D860" s="24" t="s">
        <v>892</v>
      </c>
      <c r="E860" s="24"/>
      <c r="F860" s="4">
        <f>F861</f>
        <v>10</v>
      </c>
      <c r="G860" s="4">
        <f>G861</f>
        <v>0</v>
      </c>
      <c r="H860" s="441">
        <f t="shared" si="162"/>
        <v>0</v>
      </c>
    </row>
    <row r="861" spans="1:8" ht="31.5" x14ac:dyDescent="0.25">
      <c r="A861" s="25" t="s">
        <v>893</v>
      </c>
      <c r="B861" s="20" t="s">
        <v>251</v>
      </c>
      <c r="C861" s="20" t="s">
        <v>222</v>
      </c>
      <c r="D861" s="20" t="s">
        <v>1202</v>
      </c>
      <c r="E861" s="20"/>
      <c r="F861" s="6">
        <f t="shared" si="165"/>
        <v>10</v>
      </c>
      <c r="G861" s="6">
        <f t="shared" si="165"/>
        <v>0</v>
      </c>
      <c r="H861" s="416">
        <f t="shared" si="162"/>
        <v>0</v>
      </c>
    </row>
    <row r="862" spans="1:8" ht="19.5" customHeight="1" x14ac:dyDescent="0.25">
      <c r="A862" s="25" t="s">
        <v>255</v>
      </c>
      <c r="B862" s="20" t="s">
        <v>251</v>
      </c>
      <c r="C862" s="20" t="s">
        <v>222</v>
      </c>
      <c r="D862" s="20" t="s">
        <v>1202</v>
      </c>
      <c r="E862" s="20" t="s">
        <v>256</v>
      </c>
      <c r="F862" s="6">
        <v>10</v>
      </c>
      <c r="G862" s="6">
        <f>G863</f>
        <v>0</v>
      </c>
      <c r="H862" s="416">
        <f t="shared" si="162"/>
        <v>0</v>
      </c>
    </row>
    <row r="863" spans="1:8" ht="31.5" x14ac:dyDescent="0.25">
      <c r="A863" s="25" t="s">
        <v>257</v>
      </c>
      <c r="B863" s="20" t="s">
        <v>251</v>
      </c>
      <c r="C863" s="20" t="s">
        <v>222</v>
      </c>
      <c r="D863" s="20" t="s">
        <v>1202</v>
      </c>
      <c r="E863" s="20" t="s">
        <v>258</v>
      </c>
      <c r="F863" s="6">
        <f>'Пр.4 ведом.21'!G219</f>
        <v>10</v>
      </c>
      <c r="G863" s="6">
        <f>'Пр.4 ведом.21'!H219</f>
        <v>0</v>
      </c>
      <c r="H863" s="416">
        <f t="shared" si="162"/>
        <v>0</v>
      </c>
    </row>
    <row r="864" spans="1:8" s="202" customFormat="1" ht="15.75" x14ac:dyDescent="0.25">
      <c r="A864" s="23" t="s">
        <v>407</v>
      </c>
      <c r="B864" s="24" t="s">
        <v>251</v>
      </c>
      <c r="C864" s="24" t="s">
        <v>157</v>
      </c>
      <c r="D864" s="24"/>
      <c r="E864" s="24"/>
      <c r="F864" s="4">
        <f t="shared" ref="F864:G867" si="166">F865</f>
        <v>1975.4</v>
      </c>
      <c r="G864" s="4">
        <f t="shared" si="166"/>
        <v>0</v>
      </c>
      <c r="H864" s="441">
        <f t="shared" si="162"/>
        <v>0</v>
      </c>
    </row>
    <row r="865" spans="1:8" s="202" customFormat="1" ht="31.5" x14ac:dyDescent="0.25">
      <c r="A865" s="23" t="s">
        <v>895</v>
      </c>
      <c r="B865" s="24" t="s">
        <v>251</v>
      </c>
      <c r="C865" s="24" t="s">
        <v>157</v>
      </c>
      <c r="D865" s="24" t="s">
        <v>873</v>
      </c>
      <c r="E865" s="20"/>
      <c r="F865" s="21">
        <f t="shared" si="166"/>
        <v>1975.4</v>
      </c>
      <c r="G865" s="21">
        <f t="shared" si="166"/>
        <v>0</v>
      </c>
      <c r="H865" s="441">
        <f t="shared" si="162"/>
        <v>0</v>
      </c>
    </row>
    <row r="866" spans="1:8" s="202" customFormat="1" ht="47.25" x14ac:dyDescent="0.25">
      <c r="A866" s="25" t="s">
        <v>1185</v>
      </c>
      <c r="B866" s="20" t="s">
        <v>251</v>
      </c>
      <c r="C866" s="20" t="s">
        <v>157</v>
      </c>
      <c r="D866" s="20" t="s">
        <v>1184</v>
      </c>
      <c r="E866" s="20"/>
      <c r="F866" s="26">
        <f t="shared" si="166"/>
        <v>1975.4</v>
      </c>
      <c r="G866" s="26">
        <f t="shared" si="166"/>
        <v>0</v>
      </c>
      <c r="H866" s="416">
        <f t="shared" si="162"/>
        <v>0</v>
      </c>
    </row>
    <row r="867" spans="1:8" s="202" customFormat="1" ht="31.5" x14ac:dyDescent="0.25">
      <c r="A867" s="25" t="s">
        <v>138</v>
      </c>
      <c r="B867" s="20" t="s">
        <v>251</v>
      </c>
      <c r="C867" s="20" t="s">
        <v>157</v>
      </c>
      <c r="D867" s="20" t="s">
        <v>1184</v>
      </c>
      <c r="E867" s="20" t="s">
        <v>139</v>
      </c>
      <c r="F867" s="26">
        <f t="shared" si="166"/>
        <v>1975.4</v>
      </c>
      <c r="G867" s="26">
        <f t="shared" si="166"/>
        <v>0</v>
      </c>
      <c r="H867" s="416">
        <f t="shared" si="162"/>
        <v>0</v>
      </c>
    </row>
    <row r="868" spans="1:8" s="202" customFormat="1" ht="31.5" x14ac:dyDescent="0.25">
      <c r="A868" s="25" t="s">
        <v>140</v>
      </c>
      <c r="B868" s="20" t="s">
        <v>251</v>
      </c>
      <c r="C868" s="20" t="s">
        <v>157</v>
      </c>
      <c r="D868" s="20" t="s">
        <v>1184</v>
      </c>
      <c r="E868" s="20" t="s">
        <v>141</v>
      </c>
      <c r="F868" s="26">
        <f>'Пр.4 ведом.21'!G528</f>
        <v>1975.4</v>
      </c>
      <c r="G868" s="26">
        <f>'Пр.4 ведом.21'!H528</f>
        <v>0</v>
      </c>
      <c r="H868" s="416">
        <f t="shared" si="162"/>
        <v>0</v>
      </c>
    </row>
    <row r="869" spans="1:8" s="202" customFormat="1" ht="15.75" x14ac:dyDescent="0.25">
      <c r="A869" s="23" t="s">
        <v>265</v>
      </c>
      <c r="B869" s="24" t="s">
        <v>251</v>
      </c>
      <c r="C869" s="24" t="s">
        <v>127</v>
      </c>
      <c r="D869" s="24"/>
      <c r="E869" s="24"/>
      <c r="F869" s="4">
        <f>F870+F877</f>
        <v>3706.2000000000007</v>
      </c>
      <c r="G869" s="4">
        <f>G870+G877</f>
        <v>418.45699999999999</v>
      </c>
      <c r="H869" s="441">
        <f t="shared" si="162"/>
        <v>11.290729048621227</v>
      </c>
    </row>
    <row r="870" spans="1:8" s="202" customFormat="1" ht="31.5" x14ac:dyDescent="0.25">
      <c r="A870" s="23" t="s">
        <v>927</v>
      </c>
      <c r="B870" s="24" t="s">
        <v>251</v>
      </c>
      <c r="C870" s="24" t="s">
        <v>127</v>
      </c>
      <c r="D870" s="24" t="s">
        <v>868</v>
      </c>
      <c r="E870" s="24"/>
      <c r="F870" s="4">
        <f>F871</f>
        <v>3619.2000000000007</v>
      </c>
      <c r="G870" s="4">
        <f>G871</f>
        <v>418.45699999999999</v>
      </c>
      <c r="H870" s="441">
        <f t="shared" si="162"/>
        <v>11.562140804597698</v>
      </c>
    </row>
    <row r="871" spans="1:8" ht="31.5" x14ac:dyDescent="0.25">
      <c r="A871" s="23" t="s">
        <v>895</v>
      </c>
      <c r="B871" s="24" t="s">
        <v>251</v>
      </c>
      <c r="C871" s="24" t="s">
        <v>127</v>
      </c>
      <c r="D871" s="24" t="s">
        <v>873</v>
      </c>
      <c r="E871" s="24"/>
      <c r="F871" s="4">
        <f>F872</f>
        <v>3619.2000000000007</v>
      </c>
      <c r="G871" s="4">
        <f>G872</f>
        <v>418.45699999999999</v>
      </c>
      <c r="H871" s="441">
        <f t="shared" si="162"/>
        <v>11.562140804597698</v>
      </c>
    </row>
    <row r="872" spans="1:8" ht="43.5" customHeight="1" x14ac:dyDescent="0.25">
      <c r="A872" s="31" t="s">
        <v>266</v>
      </c>
      <c r="B872" s="20" t="s">
        <v>251</v>
      </c>
      <c r="C872" s="20" t="s">
        <v>127</v>
      </c>
      <c r="D872" s="20" t="s">
        <v>935</v>
      </c>
      <c r="E872" s="20"/>
      <c r="F872" s="6">
        <f>F873+F875</f>
        <v>3619.2000000000007</v>
      </c>
      <c r="G872" s="6">
        <f>G873+G875</f>
        <v>418.45699999999999</v>
      </c>
      <c r="H872" s="416">
        <f t="shared" si="162"/>
        <v>11.562140804597698</v>
      </c>
    </row>
    <row r="873" spans="1:8" ht="78.75" x14ac:dyDescent="0.25">
      <c r="A873" s="25" t="s">
        <v>134</v>
      </c>
      <c r="B873" s="20" t="s">
        <v>251</v>
      </c>
      <c r="C873" s="20" t="s">
        <v>127</v>
      </c>
      <c r="D873" s="20" t="s">
        <v>935</v>
      </c>
      <c r="E873" s="20" t="s">
        <v>135</v>
      </c>
      <c r="F873" s="6">
        <f t="shared" ref="F873:G873" si="167">F874</f>
        <v>3313.0000000000005</v>
      </c>
      <c r="G873" s="6">
        <f t="shared" si="167"/>
        <v>408.779</v>
      </c>
      <c r="H873" s="416">
        <f t="shared" si="162"/>
        <v>12.338635677633562</v>
      </c>
    </row>
    <row r="874" spans="1:8" ht="31.5" x14ac:dyDescent="0.25">
      <c r="A874" s="25" t="s">
        <v>136</v>
      </c>
      <c r="B874" s="20" t="s">
        <v>251</v>
      </c>
      <c r="C874" s="20" t="s">
        <v>127</v>
      </c>
      <c r="D874" s="20" t="s">
        <v>935</v>
      </c>
      <c r="E874" s="20" t="s">
        <v>137</v>
      </c>
      <c r="F874" s="6">
        <f>'Пр.4 ведом.21'!G225</f>
        <v>3313.0000000000005</v>
      </c>
      <c r="G874" s="6">
        <f>'Пр.4 ведом.21'!H225</f>
        <v>408.779</v>
      </c>
      <c r="H874" s="416">
        <f t="shared" si="162"/>
        <v>12.338635677633562</v>
      </c>
    </row>
    <row r="875" spans="1:8" ht="32.25" customHeight="1" x14ac:dyDescent="0.25">
      <c r="A875" s="25" t="s">
        <v>138</v>
      </c>
      <c r="B875" s="20" t="s">
        <v>251</v>
      </c>
      <c r="C875" s="20" t="s">
        <v>127</v>
      </c>
      <c r="D875" s="20" t="s">
        <v>935</v>
      </c>
      <c r="E875" s="20" t="s">
        <v>139</v>
      </c>
      <c r="F875" s="6">
        <f t="shared" ref="F875:G875" si="168">F876</f>
        <v>306.20000000000005</v>
      </c>
      <c r="G875" s="6">
        <f t="shared" si="168"/>
        <v>9.6780000000000008</v>
      </c>
      <c r="H875" s="416">
        <f t="shared" si="162"/>
        <v>3.1606792945787068</v>
      </c>
    </row>
    <row r="876" spans="1:8" ht="31.7" customHeight="1" x14ac:dyDescent="0.25">
      <c r="A876" s="25" t="s">
        <v>140</v>
      </c>
      <c r="B876" s="20" t="s">
        <v>251</v>
      </c>
      <c r="C876" s="20" t="s">
        <v>127</v>
      </c>
      <c r="D876" s="20" t="s">
        <v>935</v>
      </c>
      <c r="E876" s="20" t="s">
        <v>141</v>
      </c>
      <c r="F876" s="6">
        <f>'Пр.4 ведом.21'!G227</f>
        <v>306.20000000000005</v>
      </c>
      <c r="G876" s="6">
        <f>'Пр.4 ведом.21'!H227</f>
        <v>9.6780000000000008</v>
      </c>
      <c r="H876" s="416">
        <f t="shared" si="162"/>
        <v>3.1606792945787068</v>
      </c>
    </row>
    <row r="877" spans="1:8" s="202" customFormat="1" ht="15" customHeight="1" x14ac:dyDescent="0.25">
      <c r="A877" s="23" t="s">
        <v>148</v>
      </c>
      <c r="B877" s="24" t="s">
        <v>251</v>
      </c>
      <c r="C877" s="24" t="s">
        <v>127</v>
      </c>
      <c r="D877" s="24" t="s">
        <v>876</v>
      </c>
      <c r="E877" s="24"/>
      <c r="F877" s="4">
        <f t="shared" ref="F877:G880" si="169">F878</f>
        <v>87</v>
      </c>
      <c r="G877" s="4">
        <f t="shared" si="169"/>
        <v>0</v>
      </c>
      <c r="H877" s="441">
        <f t="shared" si="162"/>
        <v>0</v>
      </c>
    </row>
    <row r="878" spans="1:8" ht="37.5" customHeight="1" x14ac:dyDescent="0.25">
      <c r="A878" s="23" t="s">
        <v>880</v>
      </c>
      <c r="B878" s="24" t="s">
        <v>251</v>
      </c>
      <c r="C878" s="24" t="s">
        <v>127</v>
      </c>
      <c r="D878" s="24" t="s">
        <v>875</v>
      </c>
      <c r="E878" s="24"/>
      <c r="F878" s="4">
        <f t="shared" si="169"/>
        <v>87</v>
      </c>
      <c r="G878" s="4">
        <f t="shared" si="169"/>
        <v>0</v>
      </c>
      <c r="H878" s="441">
        <f t="shared" si="162"/>
        <v>0</v>
      </c>
    </row>
    <row r="879" spans="1:8" ht="15.75" customHeight="1" x14ac:dyDescent="0.25">
      <c r="A879" s="25" t="s">
        <v>579</v>
      </c>
      <c r="B879" s="20" t="s">
        <v>251</v>
      </c>
      <c r="C879" s="20" t="s">
        <v>127</v>
      </c>
      <c r="D879" s="20" t="s">
        <v>995</v>
      </c>
      <c r="E879" s="20"/>
      <c r="F879" s="6">
        <f t="shared" si="169"/>
        <v>87</v>
      </c>
      <c r="G879" s="6">
        <f t="shared" si="169"/>
        <v>0</v>
      </c>
      <c r="H879" s="416">
        <f t="shared" si="162"/>
        <v>0</v>
      </c>
    </row>
    <row r="880" spans="1:8" ht="31.7" customHeight="1" x14ac:dyDescent="0.25">
      <c r="A880" s="25" t="s">
        <v>138</v>
      </c>
      <c r="B880" s="20" t="s">
        <v>251</v>
      </c>
      <c r="C880" s="20" t="s">
        <v>127</v>
      </c>
      <c r="D880" s="20" t="s">
        <v>995</v>
      </c>
      <c r="E880" s="20" t="s">
        <v>139</v>
      </c>
      <c r="F880" s="6">
        <f t="shared" si="169"/>
        <v>87</v>
      </c>
      <c r="G880" s="6">
        <f t="shared" si="169"/>
        <v>0</v>
      </c>
      <c r="H880" s="416">
        <f t="shared" si="162"/>
        <v>0</v>
      </c>
    </row>
    <row r="881" spans="1:12" ht="35.450000000000003" customHeight="1" x14ac:dyDescent="0.25">
      <c r="A881" s="25" t="s">
        <v>140</v>
      </c>
      <c r="B881" s="20" t="s">
        <v>251</v>
      </c>
      <c r="C881" s="20" t="s">
        <v>127</v>
      </c>
      <c r="D881" s="20" t="s">
        <v>995</v>
      </c>
      <c r="E881" s="20" t="s">
        <v>141</v>
      </c>
      <c r="F881" s="6">
        <f>'Пр.4 ведом.21'!G1036</f>
        <v>87</v>
      </c>
      <c r="G881" s="6">
        <f>'Пр.4 ведом.21'!H1036</f>
        <v>0</v>
      </c>
      <c r="H881" s="416">
        <f t="shared" si="162"/>
        <v>0</v>
      </c>
    </row>
    <row r="882" spans="1:12" ht="15.75" x14ac:dyDescent="0.25">
      <c r="A882" s="41" t="s">
        <v>497</v>
      </c>
      <c r="B882" s="7" t="s">
        <v>498</v>
      </c>
      <c r="C882" s="40"/>
      <c r="D882" s="40"/>
      <c r="E882" s="40"/>
      <c r="F882" s="4">
        <f>F883+F919</f>
        <v>65495.430000000008</v>
      </c>
      <c r="G882" s="4">
        <f>G883+G919</f>
        <v>14864.333999999999</v>
      </c>
      <c r="H882" s="441">
        <f t="shared" si="162"/>
        <v>22.695223162898536</v>
      </c>
      <c r="K882" s="227">
        <f>F882-F906-'Пр.4 ведом.21'!T1070</f>
        <v>63981.930000000008</v>
      </c>
      <c r="L882" s="227">
        <f>F906+F911-'Пр.4 ведом.21'!T1069</f>
        <v>1513.5</v>
      </c>
    </row>
    <row r="883" spans="1:12" ht="15.75" x14ac:dyDescent="0.25">
      <c r="A883" s="23" t="s">
        <v>499</v>
      </c>
      <c r="B883" s="24" t="s">
        <v>498</v>
      </c>
      <c r="C883" s="24" t="s">
        <v>125</v>
      </c>
      <c r="D883" s="20"/>
      <c r="E883" s="20"/>
      <c r="F883" s="4">
        <f>F884+F914</f>
        <v>52266.23</v>
      </c>
      <c r="G883" s="4">
        <f>G884+G914</f>
        <v>11707.102999999999</v>
      </c>
      <c r="H883" s="441">
        <f t="shared" si="162"/>
        <v>22.398981139447017</v>
      </c>
      <c r="I883" s="22"/>
      <c r="J883" s="22"/>
    </row>
    <row r="884" spans="1:12" ht="47.25" x14ac:dyDescent="0.25">
      <c r="A884" s="23" t="s">
        <v>1386</v>
      </c>
      <c r="B884" s="24" t="s">
        <v>498</v>
      </c>
      <c r="C884" s="24" t="s">
        <v>125</v>
      </c>
      <c r="D884" s="24" t="s">
        <v>489</v>
      </c>
      <c r="E884" s="24"/>
      <c r="F884" s="4">
        <f>F885+F889+F899+F906+F910</f>
        <v>51709.43</v>
      </c>
      <c r="G884" s="4">
        <f>G885+G889+G899+G906+G910</f>
        <v>11603.602999999999</v>
      </c>
      <c r="H884" s="441">
        <f t="shared" si="162"/>
        <v>22.440013359265418</v>
      </c>
    </row>
    <row r="885" spans="1:12" ht="31.5" x14ac:dyDescent="0.25">
      <c r="A885" s="23" t="s">
        <v>947</v>
      </c>
      <c r="B885" s="24" t="s">
        <v>498</v>
      </c>
      <c r="C885" s="24" t="s">
        <v>125</v>
      </c>
      <c r="D885" s="24" t="s">
        <v>1278</v>
      </c>
      <c r="E885" s="24"/>
      <c r="F885" s="4">
        <f t="shared" ref="F885:G887" si="170">F886</f>
        <v>48186.7</v>
      </c>
      <c r="G885" s="4">
        <f t="shared" si="170"/>
        <v>10523.353999999999</v>
      </c>
      <c r="H885" s="441">
        <f t="shared" si="162"/>
        <v>21.83871068157811</v>
      </c>
    </row>
    <row r="886" spans="1:12" ht="31.5" x14ac:dyDescent="0.25">
      <c r="A886" s="25" t="s">
        <v>1308</v>
      </c>
      <c r="B886" s="20" t="s">
        <v>498</v>
      </c>
      <c r="C886" s="20" t="s">
        <v>125</v>
      </c>
      <c r="D886" s="20" t="s">
        <v>1279</v>
      </c>
      <c r="E886" s="20"/>
      <c r="F886" s="6">
        <f t="shared" si="170"/>
        <v>48186.7</v>
      </c>
      <c r="G886" s="6">
        <f t="shared" si="170"/>
        <v>10523.353999999999</v>
      </c>
      <c r="H886" s="416">
        <f t="shared" si="162"/>
        <v>21.83871068157811</v>
      </c>
    </row>
    <row r="887" spans="1:12" ht="31.5" x14ac:dyDescent="0.25">
      <c r="A887" s="25" t="s">
        <v>279</v>
      </c>
      <c r="B887" s="20" t="s">
        <v>498</v>
      </c>
      <c r="C887" s="20" t="s">
        <v>125</v>
      </c>
      <c r="D887" s="20" t="s">
        <v>1279</v>
      </c>
      <c r="E887" s="20" t="s">
        <v>280</v>
      </c>
      <c r="F887" s="6">
        <f t="shared" si="170"/>
        <v>48186.7</v>
      </c>
      <c r="G887" s="6">
        <f t="shared" si="170"/>
        <v>10523.353999999999</v>
      </c>
      <c r="H887" s="416">
        <f t="shared" si="162"/>
        <v>21.83871068157811</v>
      </c>
    </row>
    <row r="888" spans="1:12" ht="15.75" x14ac:dyDescent="0.25">
      <c r="A888" s="25" t="s">
        <v>281</v>
      </c>
      <c r="B888" s="20" t="s">
        <v>498</v>
      </c>
      <c r="C888" s="20" t="s">
        <v>125</v>
      </c>
      <c r="D888" s="20" t="s">
        <v>1279</v>
      </c>
      <c r="E888" s="20" t="s">
        <v>282</v>
      </c>
      <c r="F888" s="6">
        <f>'Пр.4 ведом.21'!G760</f>
        <v>48186.7</v>
      </c>
      <c r="G888" s="6">
        <f>'Пр.4 ведом.21'!H760</f>
        <v>10523.353999999999</v>
      </c>
      <c r="H888" s="416">
        <f t="shared" si="162"/>
        <v>21.83871068157811</v>
      </c>
    </row>
    <row r="889" spans="1:12" ht="31.5" x14ac:dyDescent="0.25">
      <c r="A889" s="23" t="s">
        <v>955</v>
      </c>
      <c r="B889" s="24" t="s">
        <v>498</v>
      </c>
      <c r="C889" s="24" t="s">
        <v>125</v>
      </c>
      <c r="D889" s="24" t="s">
        <v>1280</v>
      </c>
      <c r="E889" s="24"/>
      <c r="F889" s="4">
        <f>F890+F893+F896</f>
        <v>736</v>
      </c>
      <c r="G889" s="4">
        <f>G890+G893+G896</f>
        <v>36</v>
      </c>
      <c r="H889" s="441">
        <f t="shared" si="162"/>
        <v>4.8913043478260869</v>
      </c>
    </row>
    <row r="890" spans="1:12" ht="31.5" hidden="1" x14ac:dyDescent="0.25">
      <c r="A890" s="25" t="s">
        <v>285</v>
      </c>
      <c r="B890" s="20" t="s">
        <v>498</v>
      </c>
      <c r="C890" s="20" t="s">
        <v>125</v>
      </c>
      <c r="D890" s="20" t="s">
        <v>1338</v>
      </c>
      <c r="E890" s="20"/>
      <c r="F890" s="6">
        <f t="shared" ref="F890:G890" si="171">F891</f>
        <v>0</v>
      </c>
      <c r="G890" s="6">
        <f t="shared" si="171"/>
        <v>0</v>
      </c>
      <c r="H890" s="416" t="e">
        <f t="shared" si="162"/>
        <v>#DIV/0!</v>
      </c>
    </row>
    <row r="891" spans="1:12" ht="31.5" hidden="1" x14ac:dyDescent="0.25">
      <c r="A891" s="25" t="s">
        <v>279</v>
      </c>
      <c r="B891" s="20" t="s">
        <v>498</v>
      </c>
      <c r="C891" s="20" t="s">
        <v>125</v>
      </c>
      <c r="D891" s="20" t="s">
        <v>1338</v>
      </c>
      <c r="E891" s="20" t="s">
        <v>280</v>
      </c>
      <c r="F891" s="6">
        <f>'Пр.4 ведом.21'!G764</f>
        <v>0</v>
      </c>
      <c r="G891" s="6">
        <f>'Пр.4 ведом.21'!H764</f>
        <v>0</v>
      </c>
      <c r="H891" s="416" t="e">
        <f t="shared" si="162"/>
        <v>#DIV/0!</v>
      </c>
    </row>
    <row r="892" spans="1:12" ht="20.25" hidden="1" customHeight="1" x14ac:dyDescent="0.25">
      <c r="A892" s="25" t="s">
        <v>281</v>
      </c>
      <c r="B892" s="20" t="s">
        <v>498</v>
      </c>
      <c r="C892" s="20" t="s">
        <v>125</v>
      </c>
      <c r="D892" s="20" t="s">
        <v>1338</v>
      </c>
      <c r="E892" s="20" t="s">
        <v>282</v>
      </c>
      <c r="F892" s="6">
        <f>'Пр.4 ведом.21'!G764</f>
        <v>0</v>
      </c>
      <c r="G892" s="6">
        <f>'Пр.4 ведом.21'!H764</f>
        <v>0</v>
      </c>
      <c r="H892" s="416" t="e">
        <f t="shared" si="162"/>
        <v>#DIV/0!</v>
      </c>
    </row>
    <row r="893" spans="1:12" ht="33" customHeight="1" x14ac:dyDescent="0.25">
      <c r="A893" s="25" t="s">
        <v>287</v>
      </c>
      <c r="B893" s="20" t="s">
        <v>498</v>
      </c>
      <c r="C893" s="20" t="s">
        <v>125</v>
      </c>
      <c r="D893" s="20" t="s">
        <v>1339</v>
      </c>
      <c r="E893" s="20"/>
      <c r="F893" s="6">
        <f t="shared" ref="F893:G893" si="172">F894</f>
        <v>700</v>
      </c>
      <c r="G893" s="6">
        <f t="shared" si="172"/>
        <v>0</v>
      </c>
      <c r="H893" s="416">
        <f t="shared" si="162"/>
        <v>0</v>
      </c>
    </row>
    <row r="894" spans="1:12" ht="37.5" customHeight="1" x14ac:dyDescent="0.25">
      <c r="A894" s="25" t="s">
        <v>279</v>
      </c>
      <c r="B894" s="20" t="s">
        <v>498</v>
      </c>
      <c r="C894" s="20" t="s">
        <v>125</v>
      </c>
      <c r="D894" s="20" t="s">
        <v>1339</v>
      </c>
      <c r="E894" s="20" t="s">
        <v>280</v>
      </c>
      <c r="F894" s="6">
        <f>'Пр.4 ведом.21'!G767</f>
        <v>700</v>
      </c>
      <c r="G894" s="6">
        <f>'Пр.4 ведом.21'!H767</f>
        <v>0</v>
      </c>
      <c r="H894" s="416">
        <f t="shared" si="162"/>
        <v>0</v>
      </c>
    </row>
    <row r="895" spans="1:12" s="202" customFormat="1" ht="15.75" customHeight="1" x14ac:dyDescent="0.25">
      <c r="A895" s="25" t="s">
        <v>281</v>
      </c>
      <c r="B895" s="20" t="s">
        <v>498</v>
      </c>
      <c r="C895" s="20" t="s">
        <v>125</v>
      </c>
      <c r="D895" s="20" t="s">
        <v>1339</v>
      </c>
      <c r="E895" s="20" t="s">
        <v>282</v>
      </c>
      <c r="F895" s="6">
        <f>'Пр.4 ведом.21'!G767</f>
        <v>700</v>
      </c>
      <c r="G895" s="6">
        <f>'Пр.4 ведом.21'!H767</f>
        <v>0</v>
      </c>
      <c r="H895" s="416">
        <f t="shared" si="162"/>
        <v>0</v>
      </c>
    </row>
    <row r="896" spans="1:12" s="202" customFormat="1" ht="20.25" customHeight="1" x14ac:dyDescent="0.25">
      <c r="A896" s="25" t="s">
        <v>840</v>
      </c>
      <c r="B896" s="20" t="s">
        <v>498</v>
      </c>
      <c r="C896" s="20" t="s">
        <v>125</v>
      </c>
      <c r="D896" s="20" t="s">
        <v>1281</v>
      </c>
      <c r="E896" s="20"/>
      <c r="F896" s="6">
        <f>F897</f>
        <v>36</v>
      </c>
      <c r="G896" s="6">
        <f>G897</f>
        <v>36</v>
      </c>
      <c r="H896" s="416">
        <f t="shared" si="162"/>
        <v>100</v>
      </c>
    </row>
    <row r="897" spans="1:8" s="202" customFormat="1" ht="33" customHeight="1" x14ac:dyDescent="0.25">
      <c r="A897" s="25" t="s">
        <v>279</v>
      </c>
      <c r="B897" s="20" t="s">
        <v>498</v>
      </c>
      <c r="C897" s="20" t="s">
        <v>125</v>
      </c>
      <c r="D897" s="20" t="s">
        <v>1281</v>
      </c>
      <c r="E897" s="20" t="s">
        <v>280</v>
      </c>
      <c r="F897" s="6">
        <f>'Пр.4 ведом.21'!G770</f>
        <v>36</v>
      </c>
      <c r="G897" s="6">
        <f>'Пр.4 ведом.21'!H770</f>
        <v>36</v>
      </c>
      <c r="H897" s="416">
        <f t="shared" si="162"/>
        <v>100</v>
      </c>
    </row>
    <row r="898" spans="1:8" ht="20.25" customHeight="1" x14ac:dyDescent="0.25">
      <c r="A898" s="25" t="s">
        <v>281</v>
      </c>
      <c r="B898" s="20" t="s">
        <v>498</v>
      </c>
      <c r="C898" s="20" t="s">
        <v>125</v>
      </c>
      <c r="D898" s="20" t="s">
        <v>1281</v>
      </c>
      <c r="E898" s="20" t="s">
        <v>282</v>
      </c>
      <c r="F898" s="6">
        <f>'Пр.4 ведом.21'!G770</f>
        <v>36</v>
      </c>
      <c r="G898" s="6">
        <f>'Пр.4 ведом.21'!H770</f>
        <v>36</v>
      </c>
      <c r="H898" s="416">
        <f t="shared" si="162"/>
        <v>100</v>
      </c>
    </row>
    <row r="899" spans="1:8" ht="33" customHeight="1" x14ac:dyDescent="0.25">
      <c r="A899" s="23" t="s">
        <v>957</v>
      </c>
      <c r="B899" s="24" t="s">
        <v>498</v>
      </c>
      <c r="C899" s="24" t="s">
        <v>125</v>
      </c>
      <c r="D899" s="24" t="s">
        <v>1282</v>
      </c>
      <c r="E899" s="24"/>
      <c r="F899" s="4">
        <f>F900+F903</f>
        <v>1204</v>
      </c>
      <c r="G899" s="4">
        <f>G900+G903</f>
        <v>627</v>
      </c>
      <c r="H899" s="441">
        <f t="shared" si="162"/>
        <v>52.076411960132894</v>
      </c>
    </row>
    <row r="900" spans="1:8" ht="39.200000000000003" hidden="1" customHeight="1" x14ac:dyDescent="0.25">
      <c r="A900" s="25" t="s">
        <v>801</v>
      </c>
      <c r="B900" s="20" t="s">
        <v>498</v>
      </c>
      <c r="C900" s="20" t="s">
        <v>125</v>
      </c>
      <c r="D900" s="20" t="s">
        <v>1320</v>
      </c>
      <c r="E900" s="20"/>
      <c r="F900" s="6">
        <f>'Пр.4 ведом.21'!G774</f>
        <v>0</v>
      </c>
      <c r="G900" s="6">
        <f>'Пр.4 ведом.21'!H774</f>
        <v>0</v>
      </c>
      <c r="H900" s="416" t="e">
        <f t="shared" si="162"/>
        <v>#DIV/0!</v>
      </c>
    </row>
    <row r="901" spans="1:8" ht="40.700000000000003" hidden="1" customHeight="1" x14ac:dyDescent="0.25">
      <c r="A901" s="25" t="s">
        <v>279</v>
      </c>
      <c r="B901" s="20" t="s">
        <v>498</v>
      </c>
      <c r="C901" s="20" t="s">
        <v>125</v>
      </c>
      <c r="D901" s="20" t="s">
        <v>1320</v>
      </c>
      <c r="E901" s="20" t="s">
        <v>280</v>
      </c>
      <c r="F901" s="6">
        <f t="shared" ref="F901:G901" si="173">F902</f>
        <v>0</v>
      </c>
      <c r="G901" s="6">
        <f t="shared" si="173"/>
        <v>0</v>
      </c>
      <c r="H901" s="416" t="e">
        <f t="shared" si="162"/>
        <v>#DIV/0!</v>
      </c>
    </row>
    <row r="902" spans="1:8" ht="15.75" hidden="1" customHeight="1" x14ac:dyDescent="0.25">
      <c r="A902" s="25" t="s">
        <v>281</v>
      </c>
      <c r="B902" s="20" t="s">
        <v>498</v>
      </c>
      <c r="C902" s="20" t="s">
        <v>125</v>
      </c>
      <c r="D902" s="20" t="s">
        <v>1320</v>
      </c>
      <c r="E902" s="20" t="s">
        <v>282</v>
      </c>
      <c r="F902" s="6">
        <f>'Пр.4 ведом.21'!G774</f>
        <v>0</v>
      </c>
      <c r="G902" s="6">
        <f>'Пр.4 ведом.21'!H774</f>
        <v>0</v>
      </c>
      <c r="H902" s="416" t="e">
        <f t="shared" si="162"/>
        <v>#DIV/0!</v>
      </c>
    </row>
    <row r="903" spans="1:8" ht="34.5" customHeight="1" x14ac:dyDescent="0.25">
      <c r="A903" s="45" t="s">
        <v>774</v>
      </c>
      <c r="B903" s="20" t="s">
        <v>498</v>
      </c>
      <c r="C903" s="20" t="s">
        <v>125</v>
      </c>
      <c r="D903" s="20" t="s">
        <v>1283</v>
      </c>
      <c r="E903" s="20"/>
      <c r="F903" s="6">
        <f>'Пр.4 ведом.21'!G777</f>
        <v>1204</v>
      </c>
      <c r="G903" s="6">
        <f>'Пр.4 ведом.21'!H777</f>
        <v>627</v>
      </c>
      <c r="H903" s="416">
        <f t="shared" si="162"/>
        <v>52.076411960132894</v>
      </c>
    </row>
    <row r="904" spans="1:8" ht="39.75" customHeight="1" x14ac:dyDescent="0.25">
      <c r="A904" s="31" t="s">
        <v>279</v>
      </c>
      <c r="B904" s="20" t="s">
        <v>498</v>
      </c>
      <c r="C904" s="20" t="s">
        <v>125</v>
      </c>
      <c r="D904" s="20" t="s">
        <v>1283</v>
      </c>
      <c r="E904" s="20" t="s">
        <v>280</v>
      </c>
      <c r="F904" s="6">
        <f>F905</f>
        <v>1204</v>
      </c>
      <c r="G904" s="6">
        <f>G905</f>
        <v>627</v>
      </c>
      <c r="H904" s="416">
        <f t="shared" si="162"/>
        <v>52.076411960132894</v>
      </c>
    </row>
    <row r="905" spans="1:8" ht="15.75" x14ac:dyDescent="0.25">
      <c r="A905" s="31" t="s">
        <v>281</v>
      </c>
      <c r="B905" s="20" t="s">
        <v>498</v>
      </c>
      <c r="C905" s="20" t="s">
        <v>125</v>
      </c>
      <c r="D905" s="20" t="s">
        <v>1283</v>
      </c>
      <c r="E905" s="20" t="s">
        <v>282</v>
      </c>
      <c r="F905" s="6">
        <f>'Пр.4 ведом.21'!G777</f>
        <v>1204</v>
      </c>
      <c r="G905" s="6">
        <f>'Пр.4 ведом.21'!H777</f>
        <v>627</v>
      </c>
      <c r="H905" s="416">
        <f t="shared" si="162"/>
        <v>52.076411960132894</v>
      </c>
    </row>
    <row r="906" spans="1:8" ht="47.25" x14ac:dyDescent="0.25">
      <c r="A906" s="23" t="s">
        <v>910</v>
      </c>
      <c r="B906" s="24" t="s">
        <v>498</v>
      </c>
      <c r="C906" s="24" t="s">
        <v>125</v>
      </c>
      <c r="D906" s="24" t="s">
        <v>1284</v>
      </c>
      <c r="E906" s="24"/>
      <c r="F906" s="4">
        <f>F907</f>
        <v>813.5</v>
      </c>
      <c r="G906" s="4">
        <f>G907</f>
        <v>117.349</v>
      </c>
      <c r="H906" s="441">
        <f t="shared" si="162"/>
        <v>14.425199754148741</v>
      </c>
    </row>
    <row r="907" spans="1:8" ht="103.7" customHeight="1" x14ac:dyDescent="0.25">
      <c r="A907" s="31" t="s">
        <v>471</v>
      </c>
      <c r="B907" s="20" t="s">
        <v>498</v>
      </c>
      <c r="C907" s="20" t="s">
        <v>125</v>
      </c>
      <c r="D907" s="20" t="s">
        <v>1419</v>
      </c>
      <c r="E907" s="20"/>
      <c r="F907" s="6">
        <f>F908</f>
        <v>813.5</v>
      </c>
      <c r="G907" s="6">
        <f>G908</f>
        <v>117.349</v>
      </c>
      <c r="H907" s="416">
        <f t="shared" ref="H907:H966" si="174">G907/F907*100</f>
        <v>14.425199754148741</v>
      </c>
    </row>
    <row r="908" spans="1:8" ht="31.5" x14ac:dyDescent="0.25">
      <c r="A908" s="25" t="s">
        <v>279</v>
      </c>
      <c r="B908" s="20" t="s">
        <v>498</v>
      </c>
      <c r="C908" s="20" t="s">
        <v>125</v>
      </c>
      <c r="D908" s="20" t="s">
        <v>1419</v>
      </c>
      <c r="E908" s="20" t="s">
        <v>280</v>
      </c>
      <c r="F908" s="6">
        <f t="shared" ref="F908:G914" si="175">F909</f>
        <v>813.5</v>
      </c>
      <c r="G908" s="6">
        <f t="shared" si="175"/>
        <v>117.349</v>
      </c>
      <c r="H908" s="416">
        <f t="shared" si="174"/>
        <v>14.425199754148741</v>
      </c>
    </row>
    <row r="909" spans="1:8" ht="15.75" x14ac:dyDescent="0.25">
      <c r="A909" s="25" t="s">
        <v>281</v>
      </c>
      <c r="B909" s="20" t="s">
        <v>498</v>
      </c>
      <c r="C909" s="20" t="s">
        <v>125</v>
      </c>
      <c r="D909" s="20" t="s">
        <v>1419</v>
      </c>
      <c r="E909" s="20" t="s">
        <v>282</v>
      </c>
      <c r="F909" s="6">
        <f>'Пр.4 ведом.21'!G781</f>
        <v>813.5</v>
      </c>
      <c r="G909" s="6">
        <f>'Пр.4 ведом.21'!H781</f>
        <v>117.349</v>
      </c>
      <c r="H909" s="416">
        <f t="shared" si="174"/>
        <v>14.425199754148741</v>
      </c>
    </row>
    <row r="910" spans="1:8" s="202" customFormat="1" ht="63" x14ac:dyDescent="0.25">
      <c r="A910" s="23" t="s">
        <v>1207</v>
      </c>
      <c r="B910" s="24" t="s">
        <v>498</v>
      </c>
      <c r="C910" s="24" t="s">
        <v>125</v>
      </c>
      <c r="D910" s="24" t="s">
        <v>1285</v>
      </c>
      <c r="E910" s="24"/>
      <c r="F910" s="4">
        <f t="shared" ref="F910:G912" si="176">F911</f>
        <v>769.23</v>
      </c>
      <c r="G910" s="4">
        <f t="shared" si="176"/>
        <v>299.89999999999998</v>
      </c>
      <c r="H910" s="441">
        <f t="shared" si="174"/>
        <v>38.987038987038986</v>
      </c>
    </row>
    <row r="911" spans="1:8" s="202" customFormat="1" ht="63" x14ac:dyDescent="0.25">
      <c r="A911" s="25" t="s">
        <v>1209</v>
      </c>
      <c r="B911" s="20" t="s">
        <v>498</v>
      </c>
      <c r="C911" s="20" t="s">
        <v>125</v>
      </c>
      <c r="D911" s="20" t="s">
        <v>1340</v>
      </c>
      <c r="E911" s="20"/>
      <c r="F911" s="6">
        <f t="shared" si="176"/>
        <v>769.23</v>
      </c>
      <c r="G911" s="6">
        <f t="shared" si="176"/>
        <v>299.89999999999998</v>
      </c>
      <c r="H911" s="416">
        <f t="shared" si="174"/>
        <v>38.987038987038986</v>
      </c>
    </row>
    <row r="912" spans="1:8" s="202" customFormat="1" ht="31.5" x14ac:dyDescent="0.25">
      <c r="A912" s="25" t="s">
        <v>279</v>
      </c>
      <c r="B912" s="20" t="s">
        <v>498</v>
      </c>
      <c r="C912" s="20" t="s">
        <v>125</v>
      </c>
      <c r="D912" s="20" t="s">
        <v>1340</v>
      </c>
      <c r="E912" s="20" t="s">
        <v>280</v>
      </c>
      <c r="F912" s="6">
        <f t="shared" si="176"/>
        <v>769.23</v>
      </c>
      <c r="G912" s="6">
        <f t="shared" si="176"/>
        <v>299.89999999999998</v>
      </c>
      <c r="H912" s="416">
        <f t="shared" si="174"/>
        <v>38.987038987038986</v>
      </c>
    </row>
    <row r="913" spans="1:8" s="202" customFormat="1" ht="15.75" x14ac:dyDescent="0.25">
      <c r="A913" s="25" t="s">
        <v>281</v>
      </c>
      <c r="B913" s="20" t="s">
        <v>498</v>
      </c>
      <c r="C913" s="20" t="s">
        <v>125</v>
      </c>
      <c r="D913" s="20" t="s">
        <v>1340</v>
      </c>
      <c r="E913" s="20" t="s">
        <v>282</v>
      </c>
      <c r="F913" s="6">
        <f>'Пр.4 ведом.21'!G785</f>
        <v>769.23</v>
      </c>
      <c r="G913" s="6">
        <f>'Пр.4 ведом.21'!H785</f>
        <v>299.89999999999998</v>
      </c>
      <c r="H913" s="416">
        <f t="shared" si="174"/>
        <v>38.987038987038986</v>
      </c>
    </row>
    <row r="914" spans="1:8" ht="47.25" x14ac:dyDescent="0.25">
      <c r="A914" s="41" t="s">
        <v>1369</v>
      </c>
      <c r="B914" s="24" t="s">
        <v>498</v>
      </c>
      <c r="C914" s="24" t="s">
        <v>125</v>
      </c>
      <c r="D914" s="24" t="s">
        <v>715</v>
      </c>
      <c r="E914" s="217"/>
      <c r="F914" s="4">
        <f t="shared" si="175"/>
        <v>556.79999999999995</v>
      </c>
      <c r="G914" s="4">
        <f t="shared" si="175"/>
        <v>103.5</v>
      </c>
      <c r="H914" s="441">
        <f t="shared" si="174"/>
        <v>18.58836206896552</v>
      </c>
    </row>
    <row r="915" spans="1:8" ht="47.25" x14ac:dyDescent="0.25">
      <c r="A915" s="41" t="s">
        <v>900</v>
      </c>
      <c r="B915" s="24" t="s">
        <v>498</v>
      </c>
      <c r="C915" s="24" t="s">
        <v>125</v>
      </c>
      <c r="D915" s="24" t="s">
        <v>898</v>
      </c>
      <c r="E915" s="217"/>
      <c r="F915" s="4">
        <f t="shared" ref="F915:G917" si="177">F916</f>
        <v>556.79999999999995</v>
      </c>
      <c r="G915" s="4">
        <f t="shared" si="177"/>
        <v>103.5</v>
      </c>
      <c r="H915" s="441">
        <f t="shared" si="174"/>
        <v>18.58836206896552</v>
      </c>
    </row>
    <row r="916" spans="1:8" ht="47.25" x14ac:dyDescent="0.25">
      <c r="A916" s="98" t="s">
        <v>790</v>
      </c>
      <c r="B916" s="20" t="s">
        <v>498</v>
      </c>
      <c r="C916" s="20" t="s">
        <v>125</v>
      </c>
      <c r="D916" s="20" t="s">
        <v>946</v>
      </c>
      <c r="E916" s="32"/>
      <c r="F916" s="6">
        <f t="shared" si="177"/>
        <v>556.79999999999995</v>
      </c>
      <c r="G916" s="6">
        <f t="shared" si="177"/>
        <v>103.5</v>
      </c>
      <c r="H916" s="416">
        <f t="shared" si="174"/>
        <v>18.58836206896552</v>
      </c>
    </row>
    <row r="917" spans="1:8" ht="31.5" x14ac:dyDescent="0.25">
      <c r="A917" s="29" t="s">
        <v>279</v>
      </c>
      <c r="B917" s="20" t="s">
        <v>498</v>
      </c>
      <c r="C917" s="20" t="s">
        <v>125</v>
      </c>
      <c r="D917" s="20" t="s">
        <v>946</v>
      </c>
      <c r="E917" s="32" t="s">
        <v>280</v>
      </c>
      <c r="F917" s="6">
        <f t="shared" si="177"/>
        <v>556.79999999999995</v>
      </c>
      <c r="G917" s="6">
        <f t="shared" si="177"/>
        <v>103.5</v>
      </c>
      <c r="H917" s="416">
        <f t="shared" si="174"/>
        <v>18.58836206896552</v>
      </c>
    </row>
    <row r="918" spans="1:8" ht="15.75" x14ac:dyDescent="0.25">
      <c r="A918" s="184" t="s">
        <v>281</v>
      </c>
      <c r="B918" s="20" t="s">
        <v>498</v>
      </c>
      <c r="C918" s="20" t="s">
        <v>125</v>
      </c>
      <c r="D918" s="20" t="s">
        <v>946</v>
      </c>
      <c r="E918" s="32" t="s">
        <v>282</v>
      </c>
      <c r="F918" s="6">
        <f>'Пр.4 ведом.21'!G790</f>
        <v>556.79999999999995</v>
      </c>
      <c r="G918" s="6">
        <f>'Пр.4 ведом.21'!H790</f>
        <v>103.5</v>
      </c>
      <c r="H918" s="416">
        <f t="shared" si="174"/>
        <v>18.58836206896552</v>
      </c>
    </row>
    <row r="919" spans="1:8" ht="31.5" x14ac:dyDescent="0.25">
      <c r="A919" s="23" t="s">
        <v>507</v>
      </c>
      <c r="B919" s="24" t="s">
        <v>498</v>
      </c>
      <c r="C919" s="24" t="s">
        <v>241</v>
      </c>
      <c r="D919" s="24"/>
      <c r="E919" s="24"/>
      <c r="F919" s="4">
        <f>F920+F928+F940</f>
        <v>13229.2</v>
      </c>
      <c r="G919" s="4">
        <f>G920+G928+G940</f>
        <v>3157.2309999999998</v>
      </c>
      <c r="H919" s="416">
        <f t="shared" si="174"/>
        <v>23.86562301575303</v>
      </c>
    </row>
    <row r="920" spans="1:8" ht="31.5" x14ac:dyDescent="0.25">
      <c r="A920" s="23" t="s">
        <v>927</v>
      </c>
      <c r="B920" s="24" t="s">
        <v>498</v>
      </c>
      <c r="C920" s="24" t="s">
        <v>241</v>
      </c>
      <c r="D920" s="24" t="s">
        <v>868</v>
      </c>
      <c r="E920" s="24"/>
      <c r="F920" s="4">
        <f>F921</f>
        <v>5224.5</v>
      </c>
      <c r="G920" s="4">
        <f>G921</f>
        <v>1095.806</v>
      </c>
      <c r="H920" s="441">
        <f t="shared" si="174"/>
        <v>20.974370753182122</v>
      </c>
    </row>
    <row r="921" spans="1:8" ht="15.75" x14ac:dyDescent="0.25">
      <c r="A921" s="23" t="s">
        <v>928</v>
      </c>
      <c r="B921" s="24" t="s">
        <v>498</v>
      </c>
      <c r="C921" s="24" t="s">
        <v>241</v>
      </c>
      <c r="D921" s="24" t="s">
        <v>869</v>
      </c>
      <c r="E921" s="24"/>
      <c r="F921" s="4">
        <f>F922+F925</f>
        <v>5224.5</v>
      </c>
      <c r="G921" s="4">
        <f>G922+G925</f>
        <v>1095.806</v>
      </c>
      <c r="H921" s="441">
        <f t="shared" si="174"/>
        <v>20.974370753182122</v>
      </c>
    </row>
    <row r="922" spans="1:8" ht="31.5" x14ac:dyDescent="0.25">
      <c r="A922" s="25" t="s">
        <v>907</v>
      </c>
      <c r="B922" s="20" t="s">
        <v>498</v>
      </c>
      <c r="C922" s="20" t="s">
        <v>241</v>
      </c>
      <c r="D922" s="20" t="s">
        <v>870</v>
      </c>
      <c r="E922" s="20"/>
      <c r="F922" s="6">
        <f>F923</f>
        <v>4888.5</v>
      </c>
      <c r="G922" s="6">
        <f>G923</f>
        <v>1095.806</v>
      </c>
      <c r="H922" s="416">
        <f t="shared" si="174"/>
        <v>22.415996727012377</v>
      </c>
    </row>
    <row r="923" spans="1:8" ht="78.75" x14ac:dyDescent="0.25">
      <c r="A923" s="25" t="s">
        <v>134</v>
      </c>
      <c r="B923" s="20" t="s">
        <v>498</v>
      </c>
      <c r="C923" s="20" t="s">
        <v>241</v>
      </c>
      <c r="D923" s="20" t="s">
        <v>870</v>
      </c>
      <c r="E923" s="20" t="s">
        <v>135</v>
      </c>
      <c r="F923" s="6">
        <f>F924</f>
        <v>4888.5</v>
      </c>
      <c r="G923" s="6">
        <f>G924</f>
        <v>1095.806</v>
      </c>
      <c r="H923" s="416">
        <f t="shared" si="174"/>
        <v>22.415996727012377</v>
      </c>
    </row>
    <row r="924" spans="1:8" ht="31.5" x14ac:dyDescent="0.25">
      <c r="A924" s="25" t="s">
        <v>136</v>
      </c>
      <c r="B924" s="20" t="s">
        <v>498</v>
      </c>
      <c r="C924" s="20" t="s">
        <v>241</v>
      </c>
      <c r="D924" s="20" t="s">
        <v>870</v>
      </c>
      <c r="E924" s="20" t="s">
        <v>137</v>
      </c>
      <c r="F924" s="6">
        <f>'Пр.4 ведом.21'!G796</f>
        <v>4888.5</v>
      </c>
      <c r="G924" s="6">
        <f>'Пр.4 ведом.21'!H796</f>
        <v>1095.806</v>
      </c>
      <c r="H924" s="416">
        <f t="shared" si="174"/>
        <v>22.415996727012377</v>
      </c>
    </row>
    <row r="925" spans="1:8" ht="47.25" x14ac:dyDescent="0.25">
      <c r="A925" s="25" t="s">
        <v>849</v>
      </c>
      <c r="B925" s="20" t="s">
        <v>498</v>
      </c>
      <c r="C925" s="20" t="s">
        <v>241</v>
      </c>
      <c r="D925" s="20" t="s">
        <v>872</v>
      </c>
      <c r="E925" s="20"/>
      <c r="F925" s="6">
        <f>F926</f>
        <v>336</v>
      </c>
      <c r="G925" s="6">
        <f>G926</f>
        <v>0</v>
      </c>
      <c r="H925" s="416">
        <f t="shared" si="174"/>
        <v>0</v>
      </c>
    </row>
    <row r="926" spans="1:8" ht="78.75" x14ac:dyDescent="0.25">
      <c r="A926" s="25" t="s">
        <v>134</v>
      </c>
      <c r="B926" s="20" t="s">
        <v>498</v>
      </c>
      <c r="C926" s="20" t="s">
        <v>241</v>
      </c>
      <c r="D926" s="20" t="s">
        <v>872</v>
      </c>
      <c r="E926" s="20" t="s">
        <v>135</v>
      </c>
      <c r="F926" s="6">
        <f>F927</f>
        <v>336</v>
      </c>
      <c r="G926" s="6">
        <f>G927</f>
        <v>0</v>
      </c>
      <c r="H926" s="416">
        <f t="shared" si="174"/>
        <v>0</v>
      </c>
    </row>
    <row r="927" spans="1:8" ht="31.5" x14ac:dyDescent="0.25">
      <c r="A927" s="25" t="s">
        <v>136</v>
      </c>
      <c r="B927" s="20" t="s">
        <v>498</v>
      </c>
      <c r="C927" s="20" t="s">
        <v>241</v>
      </c>
      <c r="D927" s="20" t="s">
        <v>872</v>
      </c>
      <c r="E927" s="20" t="s">
        <v>137</v>
      </c>
      <c r="F927" s="6">
        <f>'Пр.4 ведом.21'!G799</f>
        <v>336</v>
      </c>
      <c r="G927" s="6">
        <f>'Пр.4 ведом.21'!H799</f>
        <v>0</v>
      </c>
      <c r="H927" s="416">
        <f t="shared" si="174"/>
        <v>0</v>
      </c>
    </row>
    <row r="928" spans="1:8" ht="15.75" x14ac:dyDescent="0.25">
      <c r="A928" s="23" t="s">
        <v>148</v>
      </c>
      <c r="B928" s="24" t="s">
        <v>498</v>
      </c>
      <c r="C928" s="24" t="s">
        <v>241</v>
      </c>
      <c r="D928" s="24" t="s">
        <v>876</v>
      </c>
      <c r="E928" s="24"/>
      <c r="F928" s="4">
        <f>F929</f>
        <v>5304.7</v>
      </c>
      <c r="G928" s="4">
        <f>G929</f>
        <v>1267.68</v>
      </c>
      <c r="H928" s="441">
        <f t="shared" si="174"/>
        <v>23.897298621976741</v>
      </c>
    </row>
    <row r="929" spans="1:8" ht="31.5" x14ac:dyDescent="0.25">
      <c r="A929" s="23" t="s">
        <v>939</v>
      </c>
      <c r="B929" s="24" t="s">
        <v>498</v>
      </c>
      <c r="C929" s="24" t="s">
        <v>241</v>
      </c>
      <c r="D929" s="24" t="s">
        <v>924</v>
      </c>
      <c r="E929" s="24"/>
      <c r="F929" s="4">
        <f>F930+F937</f>
        <v>5304.7</v>
      </c>
      <c r="G929" s="4">
        <f>G930+G937</f>
        <v>1267.68</v>
      </c>
      <c r="H929" s="441">
        <f t="shared" si="174"/>
        <v>23.897298621976741</v>
      </c>
    </row>
    <row r="930" spans="1:8" ht="31.5" x14ac:dyDescent="0.25">
      <c r="A930" s="25" t="s">
        <v>913</v>
      </c>
      <c r="B930" s="20" t="s">
        <v>498</v>
      </c>
      <c r="C930" s="20" t="s">
        <v>241</v>
      </c>
      <c r="D930" s="20" t="s">
        <v>925</v>
      </c>
      <c r="E930" s="20"/>
      <c r="F930" s="6">
        <f>F931+F933+F935</f>
        <v>5089.7</v>
      </c>
      <c r="G930" s="6">
        <f>G931+G933+G935</f>
        <v>1059.7150000000001</v>
      </c>
      <c r="H930" s="416">
        <f t="shared" si="174"/>
        <v>20.820775291274536</v>
      </c>
    </row>
    <row r="931" spans="1:8" ht="78.75" x14ac:dyDescent="0.25">
      <c r="A931" s="25" t="s">
        <v>134</v>
      </c>
      <c r="B931" s="20" t="s">
        <v>498</v>
      </c>
      <c r="C931" s="20" t="s">
        <v>241</v>
      </c>
      <c r="D931" s="20" t="s">
        <v>925</v>
      </c>
      <c r="E931" s="20" t="s">
        <v>135</v>
      </c>
      <c r="F931" s="6">
        <f>F932</f>
        <v>4695.3999999999996</v>
      </c>
      <c r="G931" s="6">
        <f>G932</f>
        <v>1003.652</v>
      </c>
      <c r="H931" s="416">
        <f t="shared" si="174"/>
        <v>21.375218298760494</v>
      </c>
    </row>
    <row r="932" spans="1:8" ht="21.75" customHeight="1" x14ac:dyDescent="0.25">
      <c r="A932" s="25" t="s">
        <v>349</v>
      </c>
      <c r="B932" s="20" t="s">
        <v>498</v>
      </c>
      <c r="C932" s="20" t="s">
        <v>241</v>
      </c>
      <c r="D932" s="20" t="s">
        <v>925</v>
      </c>
      <c r="E932" s="20" t="s">
        <v>216</v>
      </c>
      <c r="F932" s="6">
        <f>'Пр.4 ведом.21'!G804</f>
        <v>4695.3999999999996</v>
      </c>
      <c r="G932" s="6">
        <f>'Пр.4 ведом.21'!H804</f>
        <v>1003.652</v>
      </c>
      <c r="H932" s="416">
        <f t="shared" si="174"/>
        <v>21.375218298760494</v>
      </c>
    </row>
    <row r="933" spans="1:8" ht="31.5" x14ac:dyDescent="0.25">
      <c r="A933" s="25" t="s">
        <v>138</v>
      </c>
      <c r="B933" s="20" t="s">
        <v>498</v>
      </c>
      <c r="C933" s="20" t="s">
        <v>241</v>
      </c>
      <c r="D933" s="20" t="s">
        <v>925</v>
      </c>
      <c r="E933" s="20" t="s">
        <v>139</v>
      </c>
      <c r="F933" s="6">
        <f t="shared" ref="F933:G933" si="178">F934</f>
        <v>343.3</v>
      </c>
      <c r="G933" s="6">
        <f t="shared" si="178"/>
        <v>53.969000000000001</v>
      </c>
      <c r="H933" s="416">
        <f t="shared" si="174"/>
        <v>15.720652490533061</v>
      </c>
    </row>
    <row r="934" spans="1:8" ht="31.5" x14ac:dyDescent="0.25">
      <c r="A934" s="25" t="s">
        <v>140</v>
      </c>
      <c r="B934" s="20" t="s">
        <v>498</v>
      </c>
      <c r="C934" s="20" t="s">
        <v>241</v>
      </c>
      <c r="D934" s="20" t="s">
        <v>925</v>
      </c>
      <c r="E934" s="20" t="s">
        <v>141</v>
      </c>
      <c r="F934" s="6">
        <f>'Пр.4 ведом.21'!G806</f>
        <v>343.3</v>
      </c>
      <c r="G934" s="6">
        <f>'Пр.4 ведом.21'!H806</f>
        <v>53.969000000000001</v>
      </c>
      <c r="H934" s="416">
        <f t="shared" si="174"/>
        <v>15.720652490533061</v>
      </c>
    </row>
    <row r="935" spans="1:8" ht="15.75" x14ac:dyDescent="0.25">
      <c r="A935" s="25" t="s">
        <v>142</v>
      </c>
      <c r="B935" s="20" t="s">
        <v>498</v>
      </c>
      <c r="C935" s="20" t="s">
        <v>241</v>
      </c>
      <c r="D935" s="20" t="s">
        <v>925</v>
      </c>
      <c r="E935" s="20" t="s">
        <v>152</v>
      </c>
      <c r="F935" s="6">
        <f>F936</f>
        <v>51</v>
      </c>
      <c r="G935" s="6">
        <f>G936</f>
        <v>2.0939999999999999</v>
      </c>
      <c r="H935" s="416">
        <f t="shared" si="174"/>
        <v>4.1058823529411761</v>
      </c>
    </row>
    <row r="936" spans="1:8" ht="15.75" x14ac:dyDescent="0.25">
      <c r="A936" s="25" t="s">
        <v>575</v>
      </c>
      <c r="B936" s="20" t="s">
        <v>498</v>
      </c>
      <c r="C936" s="20" t="s">
        <v>241</v>
      </c>
      <c r="D936" s="20" t="s">
        <v>925</v>
      </c>
      <c r="E936" s="20" t="s">
        <v>145</v>
      </c>
      <c r="F936" s="6">
        <f>'Пр.4 ведом.21'!G808</f>
        <v>51</v>
      </c>
      <c r="G936" s="6">
        <f>'Пр.4 ведом.21'!H808</f>
        <v>2.0939999999999999</v>
      </c>
      <c r="H936" s="416">
        <f t="shared" si="174"/>
        <v>4.1058823529411761</v>
      </c>
    </row>
    <row r="937" spans="1:8" ht="47.25" x14ac:dyDescent="0.25">
      <c r="A937" s="25" t="s">
        <v>849</v>
      </c>
      <c r="B937" s="20" t="s">
        <v>498</v>
      </c>
      <c r="C937" s="20" t="s">
        <v>241</v>
      </c>
      <c r="D937" s="20" t="s">
        <v>926</v>
      </c>
      <c r="E937" s="20"/>
      <c r="F937" s="6">
        <f>F938</f>
        <v>215</v>
      </c>
      <c r="G937" s="6">
        <f>G938</f>
        <v>207.965</v>
      </c>
      <c r="H937" s="416">
        <f t="shared" si="174"/>
        <v>96.72790697674418</v>
      </c>
    </row>
    <row r="938" spans="1:8" ht="78.75" x14ac:dyDescent="0.25">
      <c r="A938" s="25" t="s">
        <v>134</v>
      </c>
      <c r="B938" s="20" t="s">
        <v>498</v>
      </c>
      <c r="C938" s="20" t="s">
        <v>241</v>
      </c>
      <c r="D938" s="20" t="s">
        <v>926</v>
      </c>
      <c r="E938" s="20" t="s">
        <v>135</v>
      </c>
      <c r="F938" s="6">
        <f t="shared" ref="F938:G938" si="179">F939</f>
        <v>215</v>
      </c>
      <c r="G938" s="6">
        <f t="shared" si="179"/>
        <v>207.965</v>
      </c>
      <c r="H938" s="416">
        <f t="shared" si="174"/>
        <v>96.72790697674418</v>
      </c>
    </row>
    <row r="939" spans="1:8" ht="31.5" x14ac:dyDescent="0.25">
      <c r="A939" s="25" t="s">
        <v>136</v>
      </c>
      <c r="B939" s="20" t="s">
        <v>498</v>
      </c>
      <c r="C939" s="20" t="s">
        <v>241</v>
      </c>
      <c r="D939" s="20" t="s">
        <v>926</v>
      </c>
      <c r="E939" s="20" t="s">
        <v>137</v>
      </c>
      <c r="F939" s="6">
        <f>'Пр.4 ведом.21'!G811</f>
        <v>215</v>
      </c>
      <c r="G939" s="6">
        <f>'Пр.4 ведом.21'!H811</f>
        <v>207.965</v>
      </c>
      <c r="H939" s="416">
        <f t="shared" si="174"/>
        <v>96.72790697674418</v>
      </c>
    </row>
    <row r="940" spans="1:8" ht="47.25" x14ac:dyDescent="0.25">
      <c r="A940" s="41" t="s">
        <v>1386</v>
      </c>
      <c r="B940" s="24" t="s">
        <v>498</v>
      </c>
      <c r="C940" s="24" t="s">
        <v>241</v>
      </c>
      <c r="D940" s="7" t="s">
        <v>489</v>
      </c>
      <c r="E940" s="24"/>
      <c r="F940" s="4">
        <f>F941</f>
        <v>2700</v>
      </c>
      <c r="G940" s="4">
        <f>G941</f>
        <v>793.745</v>
      </c>
      <c r="H940" s="441">
        <f t="shared" si="174"/>
        <v>29.397962962962964</v>
      </c>
    </row>
    <row r="941" spans="1:8" ht="33.75" customHeight="1" x14ac:dyDescent="0.25">
      <c r="A941" s="58" t="s">
        <v>961</v>
      </c>
      <c r="B941" s="24" t="s">
        <v>498</v>
      </c>
      <c r="C941" s="24" t="s">
        <v>241</v>
      </c>
      <c r="D941" s="7" t="s">
        <v>1286</v>
      </c>
      <c r="E941" s="24"/>
      <c r="F941" s="4">
        <f>F942</f>
        <v>2700</v>
      </c>
      <c r="G941" s="4">
        <f>G942</f>
        <v>793.745</v>
      </c>
      <c r="H941" s="441">
        <f t="shared" si="174"/>
        <v>29.397962962962964</v>
      </c>
    </row>
    <row r="942" spans="1:8" ht="15.75" x14ac:dyDescent="0.25">
      <c r="A942" s="29" t="s">
        <v>962</v>
      </c>
      <c r="B942" s="20" t="s">
        <v>498</v>
      </c>
      <c r="C942" s="20" t="s">
        <v>241</v>
      </c>
      <c r="D942" s="40" t="s">
        <v>1287</v>
      </c>
      <c r="E942" s="20"/>
      <c r="F942" s="366">
        <f>F943+F945</f>
        <v>2700</v>
      </c>
      <c r="G942" s="366">
        <f>G943+G945</f>
        <v>793.745</v>
      </c>
      <c r="H942" s="416">
        <f t="shared" si="174"/>
        <v>29.397962962962964</v>
      </c>
    </row>
    <row r="943" spans="1:8" ht="78.75" x14ac:dyDescent="0.25">
      <c r="A943" s="25" t="s">
        <v>134</v>
      </c>
      <c r="B943" s="20" t="s">
        <v>498</v>
      </c>
      <c r="C943" s="20" t="s">
        <v>241</v>
      </c>
      <c r="D943" s="40" t="s">
        <v>1287</v>
      </c>
      <c r="E943" s="20" t="s">
        <v>135</v>
      </c>
      <c r="F943" s="366">
        <f>F944</f>
        <v>2200</v>
      </c>
      <c r="G943" s="366">
        <f>G944</f>
        <v>615.4</v>
      </c>
      <c r="H943" s="416">
        <f t="shared" si="174"/>
        <v>27.972727272727273</v>
      </c>
    </row>
    <row r="944" spans="1:8" ht="21.75" customHeight="1" x14ac:dyDescent="0.25">
      <c r="A944" s="25" t="s">
        <v>349</v>
      </c>
      <c r="B944" s="20" t="s">
        <v>498</v>
      </c>
      <c r="C944" s="20" t="s">
        <v>241</v>
      </c>
      <c r="D944" s="40" t="s">
        <v>1287</v>
      </c>
      <c r="E944" s="20" t="s">
        <v>216</v>
      </c>
      <c r="F944" s="366">
        <f>'Пр.4 ведом.21'!G816</f>
        <v>2200</v>
      </c>
      <c r="G944" s="366">
        <f>'Пр.4 ведом.21'!H816</f>
        <v>615.4</v>
      </c>
      <c r="H944" s="416">
        <f t="shared" si="174"/>
        <v>27.972727272727273</v>
      </c>
    </row>
    <row r="945" spans="1:8" ht="36" customHeight="1" x14ac:dyDescent="0.25">
      <c r="A945" s="29" t="s">
        <v>138</v>
      </c>
      <c r="B945" s="20" t="s">
        <v>498</v>
      </c>
      <c r="C945" s="20" t="s">
        <v>241</v>
      </c>
      <c r="D945" s="40" t="s">
        <v>1287</v>
      </c>
      <c r="E945" s="20" t="s">
        <v>139</v>
      </c>
      <c r="F945" s="366">
        <f>F946</f>
        <v>500</v>
      </c>
      <c r="G945" s="366">
        <f>G946</f>
        <v>178.345</v>
      </c>
      <c r="H945" s="416">
        <f t="shared" si="174"/>
        <v>35.669000000000004</v>
      </c>
    </row>
    <row r="946" spans="1:8" ht="31.5" x14ac:dyDescent="0.25">
      <c r="A946" s="29" t="s">
        <v>140</v>
      </c>
      <c r="B946" s="20" t="s">
        <v>498</v>
      </c>
      <c r="C946" s="20" t="s">
        <v>241</v>
      </c>
      <c r="D946" s="40" t="s">
        <v>1287</v>
      </c>
      <c r="E946" s="20" t="s">
        <v>141</v>
      </c>
      <c r="F946" s="6">
        <f>'Пр.4 ведом.21'!G818</f>
        <v>500</v>
      </c>
      <c r="G946" s="6">
        <f>'Пр.4 ведом.21'!H818</f>
        <v>178.345</v>
      </c>
      <c r="H946" s="416">
        <f t="shared" si="174"/>
        <v>35.669000000000004</v>
      </c>
    </row>
    <row r="947" spans="1:8" ht="15.75" x14ac:dyDescent="0.25">
      <c r="A947" s="41" t="s">
        <v>589</v>
      </c>
      <c r="B947" s="7" t="s">
        <v>245</v>
      </c>
      <c r="C947" s="40"/>
      <c r="D947" s="40"/>
      <c r="E947" s="40"/>
      <c r="F947" s="4">
        <f t="shared" ref="F947:G947" si="180">F948</f>
        <v>5996.3</v>
      </c>
      <c r="G947" s="4">
        <f t="shared" si="180"/>
        <v>1083.268</v>
      </c>
      <c r="H947" s="441">
        <f t="shared" si="174"/>
        <v>18.065607124393377</v>
      </c>
    </row>
    <row r="948" spans="1:8" ht="15.75" x14ac:dyDescent="0.25">
      <c r="A948" s="41" t="s">
        <v>590</v>
      </c>
      <c r="B948" s="7" t="s">
        <v>245</v>
      </c>
      <c r="C948" s="7" t="s">
        <v>220</v>
      </c>
      <c r="D948" s="7"/>
      <c r="E948" s="7"/>
      <c r="F948" s="4">
        <f>F949+F961</f>
        <v>5996.3</v>
      </c>
      <c r="G948" s="4">
        <f>G949+G961</f>
        <v>1083.268</v>
      </c>
      <c r="H948" s="441">
        <f t="shared" si="174"/>
        <v>18.065607124393377</v>
      </c>
    </row>
    <row r="949" spans="1:8" ht="15.75" x14ac:dyDescent="0.25">
      <c r="A949" s="23" t="s">
        <v>148</v>
      </c>
      <c r="B949" s="24" t="s">
        <v>245</v>
      </c>
      <c r="C949" s="24" t="s">
        <v>220</v>
      </c>
      <c r="D949" s="24" t="s">
        <v>274</v>
      </c>
      <c r="E949" s="24"/>
      <c r="F949" s="4">
        <f>F950</f>
        <v>5918.3</v>
      </c>
      <c r="G949" s="4">
        <f>G950</f>
        <v>1063.768</v>
      </c>
      <c r="H949" s="441">
        <f t="shared" si="174"/>
        <v>17.974215568659918</v>
      </c>
    </row>
    <row r="950" spans="1:8" ht="15.75" x14ac:dyDescent="0.25">
      <c r="A950" s="23" t="s">
        <v>964</v>
      </c>
      <c r="B950" s="24" t="s">
        <v>245</v>
      </c>
      <c r="C950" s="24" t="s">
        <v>220</v>
      </c>
      <c r="D950" s="24" t="s">
        <v>1218</v>
      </c>
      <c r="E950" s="24"/>
      <c r="F950" s="4">
        <f>F951+F958</f>
        <v>5918.3</v>
      </c>
      <c r="G950" s="4">
        <f>G951+G958</f>
        <v>1063.768</v>
      </c>
      <c r="H950" s="441">
        <f t="shared" si="174"/>
        <v>17.974215568659918</v>
      </c>
    </row>
    <row r="951" spans="1:8" ht="15.75" x14ac:dyDescent="0.25">
      <c r="A951" s="25" t="s">
        <v>811</v>
      </c>
      <c r="B951" s="20" t="s">
        <v>245</v>
      </c>
      <c r="C951" s="20" t="s">
        <v>220</v>
      </c>
      <c r="D951" s="20" t="s">
        <v>1219</v>
      </c>
      <c r="E951" s="20"/>
      <c r="F951" s="6">
        <f>F952+F954+F956</f>
        <v>5642.3</v>
      </c>
      <c r="G951" s="6">
        <f>G952+G954+G956</f>
        <v>934.76800000000003</v>
      </c>
      <c r="H951" s="416">
        <f t="shared" si="174"/>
        <v>16.567144604150791</v>
      </c>
    </row>
    <row r="952" spans="1:8" ht="78.75" x14ac:dyDescent="0.25">
      <c r="A952" s="25" t="s">
        <v>134</v>
      </c>
      <c r="B952" s="20" t="s">
        <v>245</v>
      </c>
      <c r="C952" s="20" t="s">
        <v>220</v>
      </c>
      <c r="D952" s="20" t="s">
        <v>1219</v>
      </c>
      <c r="E952" s="20" t="s">
        <v>135</v>
      </c>
      <c r="F952" s="6">
        <f>F953</f>
        <v>4897.2</v>
      </c>
      <c r="G952" s="6">
        <f>G953</f>
        <v>772.89700000000005</v>
      </c>
      <c r="H952" s="416">
        <f t="shared" si="174"/>
        <v>15.782426692804052</v>
      </c>
    </row>
    <row r="953" spans="1:8" ht="15.75" x14ac:dyDescent="0.25">
      <c r="A953" s="25" t="s">
        <v>215</v>
      </c>
      <c r="B953" s="20" t="s">
        <v>245</v>
      </c>
      <c r="C953" s="20" t="s">
        <v>220</v>
      </c>
      <c r="D953" s="20" t="s">
        <v>1219</v>
      </c>
      <c r="E953" s="20" t="s">
        <v>216</v>
      </c>
      <c r="F953" s="6">
        <f>'Пр.4 ведом.21'!G466</f>
        <v>4897.2</v>
      </c>
      <c r="G953" s="6">
        <f>'Пр.4 ведом.21'!H466</f>
        <v>772.89700000000005</v>
      </c>
      <c r="H953" s="416">
        <f t="shared" si="174"/>
        <v>15.782426692804052</v>
      </c>
    </row>
    <row r="954" spans="1:8" ht="31.5" x14ac:dyDescent="0.25">
      <c r="A954" s="25" t="s">
        <v>138</v>
      </c>
      <c r="B954" s="20" t="s">
        <v>245</v>
      </c>
      <c r="C954" s="20" t="s">
        <v>220</v>
      </c>
      <c r="D954" s="20" t="s">
        <v>1219</v>
      </c>
      <c r="E954" s="20" t="s">
        <v>139</v>
      </c>
      <c r="F954" s="6">
        <f t="shared" ref="F954:G954" si="181">F955</f>
        <v>715.1</v>
      </c>
      <c r="G954" s="6">
        <f t="shared" si="181"/>
        <v>159.82499999999999</v>
      </c>
      <c r="H954" s="416">
        <f t="shared" si="174"/>
        <v>22.350020976087258</v>
      </c>
    </row>
    <row r="955" spans="1:8" ht="31.5" x14ac:dyDescent="0.25">
      <c r="A955" s="25" t="s">
        <v>140</v>
      </c>
      <c r="B955" s="20" t="s">
        <v>245</v>
      </c>
      <c r="C955" s="20" t="s">
        <v>220</v>
      </c>
      <c r="D955" s="20" t="s">
        <v>1219</v>
      </c>
      <c r="E955" s="20" t="s">
        <v>141</v>
      </c>
      <c r="F955" s="6">
        <f>'Пр.4 ведом.21'!G468</f>
        <v>715.1</v>
      </c>
      <c r="G955" s="6">
        <f>'Пр.4 ведом.21'!H468</f>
        <v>159.82499999999999</v>
      </c>
      <c r="H955" s="416">
        <f t="shared" si="174"/>
        <v>22.350020976087258</v>
      </c>
    </row>
    <row r="956" spans="1:8" ht="15.75" x14ac:dyDescent="0.25">
      <c r="A956" s="25" t="s">
        <v>142</v>
      </c>
      <c r="B956" s="20" t="s">
        <v>245</v>
      </c>
      <c r="C956" s="20" t="s">
        <v>220</v>
      </c>
      <c r="D956" s="20" t="s">
        <v>1219</v>
      </c>
      <c r="E956" s="20" t="s">
        <v>152</v>
      </c>
      <c r="F956" s="366">
        <f t="shared" ref="F956:G956" si="182">F957</f>
        <v>30</v>
      </c>
      <c r="G956" s="366">
        <f t="shared" si="182"/>
        <v>2.0459999999999998</v>
      </c>
      <c r="H956" s="416">
        <f t="shared" si="174"/>
        <v>6.8199999999999994</v>
      </c>
    </row>
    <row r="957" spans="1:8" ht="15.75" x14ac:dyDescent="0.25">
      <c r="A957" s="25" t="s">
        <v>575</v>
      </c>
      <c r="B957" s="20" t="s">
        <v>245</v>
      </c>
      <c r="C957" s="20" t="s">
        <v>220</v>
      </c>
      <c r="D957" s="20" t="s">
        <v>1219</v>
      </c>
      <c r="E957" s="20" t="s">
        <v>145</v>
      </c>
      <c r="F957" s="366">
        <f>'Пр.4 ведом.21'!G470</f>
        <v>30</v>
      </c>
      <c r="G957" s="366">
        <f>'Пр.4 ведом.21'!H470</f>
        <v>2.0459999999999998</v>
      </c>
      <c r="H957" s="416">
        <f t="shared" si="174"/>
        <v>6.8199999999999994</v>
      </c>
    </row>
    <row r="958" spans="1:8" ht="47.25" x14ac:dyDescent="0.25">
      <c r="A958" s="25" t="s">
        <v>849</v>
      </c>
      <c r="B958" s="20" t="s">
        <v>245</v>
      </c>
      <c r="C958" s="20" t="s">
        <v>220</v>
      </c>
      <c r="D958" s="20" t="s">
        <v>1327</v>
      </c>
      <c r="E958" s="20"/>
      <c r="F958" s="6">
        <f>F959</f>
        <v>276</v>
      </c>
      <c r="G958" s="6">
        <f>G959</f>
        <v>129</v>
      </c>
      <c r="H958" s="416">
        <f t="shared" si="174"/>
        <v>46.739130434782609</v>
      </c>
    </row>
    <row r="959" spans="1:8" ht="78.75" x14ac:dyDescent="0.25">
      <c r="A959" s="25" t="s">
        <v>134</v>
      </c>
      <c r="B959" s="20" t="s">
        <v>245</v>
      </c>
      <c r="C959" s="20" t="s">
        <v>220</v>
      </c>
      <c r="D959" s="20" t="s">
        <v>1327</v>
      </c>
      <c r="E959" s="20" t="s">
        <v>135</v>
      </c>
      <c r="F959" s="6">
        <f>F960</f>
        <v>276</v>
      </c>
      <c r="G959" s="6">
        <f>G960</f>
        <v>129</v>
      </c>
      <c r="H959" s="416">
        <f t="shared" si="174"/>
        <v>46.739130434782609</v>
      </c>
    </row>
    <row r="960" spans="1:8" ht="31.5" x14ac:dyDescent="0.25">
      <c r="A960" s="25" t="s">
        <v>136</v>
      </c>
      <c r="B960" s="20" t="s">
        <v>245</v>
      </c>
      <c r="C960" s="20" t="s">
        <v>220</v>
      </c>
      <c r="D960" s="20" t="s">
        <v>1327</v>
      </c>
      <c r="E960" s="20" t="s">
        <v>216</v>
      </c>
      <c r="F960" s="6">
        <f>'Пр.4 ведом.21'!G474</f>
        <v>276</v>
      </c>
      <c r="G960" s="6">
        <f>'Пр.4 ведом.21'!H474</f>
        <v>129</v>
      </c>
      <c r="H960" s="416">
        <f t="shared" si="174"/>
        <v>46.739130434782609</v>
      </c>
    </row>
    <row r="961" spans="1:8" ht="47.25" x14ac:dyDescent="0.25">
      <c r="A961" s="41" t="s">
        <v>1369</v>
      </c>
      <c r="B961" s="24" t="s">
        <v>245</v>
      </c>
      <c r="C961" s="24" t="s">
        <v>220</v>
      </c>
      <c r="D961" s="24" t="s">
        <v>715</v>
      </c>
      <c r="E961" s="217"/>
      <c r="F961" s="4">
        <f t="shared" ref="F961:G964" si="183">F962</f>
        <v>78</v>
      </c>
      <c r="G961" s="4">
        <f t="shared" si="183"/>
        <v>19.5</v>
      </c>
      <c r="H961" s="441">
        <f t="shared" si="174"/>
        <v>25</v>
      </c>
    </row>
    <row r="962" spans="1:8" s="202" customFormat="1" ht="47.25" x14ac:dyDescent="0.25">
      <c r="A962" s="41" t="s">
        <v>900</v>
      </c>
      <c r="B962" s="24" t="s">
        <v>245</v>
      </c>
      <c r="C962" s="24" t="s">
        <v>220</v>
      </c>
      <c r="D962" s="24" t="s">
        <v>898</v>
      </c>
      <c r="E962" s="217"/>
      <c r="F962" s="4">
        <f t="shared" si="183"/>
        <v>78</v>
      </c>
      <c r="G962" s="4">
        <f t="shared" si="183"/>
        <v>19.5</v>
      </c>
      <c r="H962" s="441">
        <f t="shared" si="174"/>
        <v>25</v>
      </c>
    </row>
    <row r="963" spans="1:8" s="202" customFormat="1" ht="47.25" x14ac:dyDescent="0.25">
      <c r="A963" s="98" t="s">
        <v>1014</v>
      </c>
      <c r="B963" s="20" t="s">
        <v>245</v>
      </c>
      <c r="C963" s="20" t="s">
        <v>220</v>
      </c>
      <c r="D963" s="20" t="s">
        <v>899</v>
      </c>
      <c r="E963" s="32"/>
      <c r="F963" s="6">
        <f t="shared" si="183"/>
        <v>78</v>
      </c>
      <c r="G963" s="6">
        <f t="shared" si="183"/>
        <v>19.5</v>
      </c>
      <c r="H963" s="416">
        <f t="shared" si="174"/>
        <v>25</v>
      </c>
    </row>
    <row r="964" spans="1:8" s="202" customFormat="1" ht="31.5" x14ac:dyDescent="0.25">
      <c r="A964" s="25" t="s">
        <v>138</v>
      </c>
      <c r="B964" s="20" t="s">
        <v>245</v>
      </c>
      <c r="C964" s="20" t="s">
        <v>220</v>
      </c>
      <c r="D964" s="20" t="s">
        <v>899</v>
      </c>
      <c r="E964" s="32" t="s">
        <v>139</v>
      </c>
      <c r="F964" s="6">
        <f t="shared" si="183"/>
        <v>78</v>
      </c>
      <c r="G964" s="6">
        <f t="shared" si="183"/>
        <v>19.5</v>
      </c>
      <c r="H964" s="416">
        <f t="shared" si="174"/>
        <v>25</v>
      </c>
    </row>
    <row r="965" spans="1:8" s="202" customFormat="1" ht="31.5" x14ac:dyDescent="0.25">
      <c r="A965" s="25" t="s">
        <v>140</v>
      </c>
      <c r="B965" s="20" t="s">
        <v>245</v>
      </c>
      <c r="C965" s="20" t="s">
        <v>220</v>
      </c>
      <c r="D965" s="20" t="s">
        <v>899</v>
      </c>
      <c r="E965" s="32" t="s">
        <v>141</v>
      </c>
      <c r="F965" s="6">
        <f>'Пр.4 ведом.21'!G479</f>
        <v>78</v>
      </c>
      <c r="G965" s="6">
        <f>'Пр.4 ведом.21'!H479</f>
        <v>19.5</v>
      </c>
      <c r="H965" s="416">
        <f t="shared" si="174"/>
        <v>25</v>
      </c>
    </row>
    <row r="966" spans="1:8" ht="15.75" x14ac:dyDescent="0.25">
      <c r="A966" s="61" t="s">
        <v>594</v>
      </c>
      <c r="B966" s="7"/>
      <c r="C966" s="7"/>
      <c r="D966" s="7"/>
      <c r="E966" s="7"/>
      <c r="F966" s="370">
        <f>F10+F223+F242+F304+F471+F739+F882+F947+F830</f>
        <v>806957.7300000001</v>
      </c>
      <c r="G966" s="370">
        <f>G10+G223+G242+G304+G471+G739+G882+G947+G830</f>
        <v>167078.63</v>
      </c>
      <c r="H966" s="441">
        <f t="shared" si="174"/>
        <v>20.704756121488543</v>
      </c>
    </row>
    <row r="967" spans="1:8" x14ac:dyDescent="0.25">
      <c r="F967" s="22">
        <f>'Пр.4 ведом.21'!G1066</f>
        <v>806957.7300000001</v>
      </c>
    </row>
    <row r="968" spans="1:8" x14ac:dyDescent="0.25">
      <c r="F968" s="22">
        <f>F967-F966</f>
        <v>0</v>
      </c>
    </row>
  </sheetData>
  <autoFilter ref="A9:F968"/>
  <mergeCells count="5">
    <mergeCell ref="G1:H1"/>
    <mergeCell ref="A7:H7"/>
    <mergeCell ref="G5:H5"/>
    <mergeCell ref="F4:H4"/>
    <mergeCell ref="G2:H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G310" sqref="G310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203"/>
      <c r="E1" s="203"/>
      <c r="F1" s="462" t="s">
        <v>1564</v>
      </c>
      <c r="G1" s="462"/>
    </row>
    <row r="2" spans="1:10" ht="15.75" x14ac:dyDescent="0.25">
      <c r="A2" s="56"/>
      <c r="B2" s="56"/>
      <c r="C2" s="56"/>
      <c r="D2" s="203"/>
      <c r="E2" s="203"/>
      <c r="F2" s="462" t="s">
        <v>1562</v>
      </c>
      <c r="G2" s="462"/>
    </row>
    <row r="3" spans="1:10" ht="18.75" x14ac:dyDescent="0.3">
      <c r="A3" s="56"/>
      <c r="B3" s="56"/>
      <c r="C3" s="56"/>
      <c r="D3" s="203"/>
      <c r="E3" s="187"/>
      <c r="F3" s="462" t="s">
        <v>1561</v>
      </c>
      <c r="G3" s="462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468" t="s">
        <v>1321</v>
      </c>
      <c r="B5" s="468"/>
      <c r="C5" s="468"/>
      <c r="D5" s="468"/>
      <c r="E5" s="468"/>
      <c r="F5" s="468"/>
      <c r="G5" s="468"/>
    </row>
    <row r="6" spans="1:10" x14ac:dyDescent="0.25">
      <c r="A6" s="56"/>
      <c r="B6" s="56"/>
      <c r="C6" s="56"/>
      <c r="D6" s="56"/>
      <c r="E6" s="56"/>
      <c r="F6" s="115"/>
      <c r="G6" s="268" t="s">
        <v>1</v>
      </c>
    </row>
    <row r="7" spans="1:10" ht="35.450000000000003" customHeight="1" x14ac:dyDescent="0.25">
      <c r="A7" s="221" t="s">
        <v>600</v>
      </c>
      <c r="B7" s="222" t="s">
        <v>119</v>
      </c>
      <c r="C7" s="222" t="s">
        <v>120</v>
      </c>
      <c r="D7" s="222" t="s">
        <v>121</v>
      </c>
      <c r="E7" s="222" t="s">
        <v>122</v>
      </c>
      <c r="F7" s="269" t="s">
        <v>1093</v>
      </c>
      <c r="G7" s="269" t="s">
        <v>1322</v>
      </c>
      <c r="H7" s="227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247959.91000000003</v>
      </c>
      <c r="I7" s="227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242586.16999999998</v>
      </c>
    </row>
    <row r="8" spans="1:10" s="202" customFormat="1" ht="16.350000000000001" customHeight="1" x14ac:dyDescent="0.25">
      <c r="A8" s="295" t="s">
        <v>1430</v>
      </c>
      <c r="B8" s="296"/>
      <c r="C8" s="296"/>
      <c r="D8" s="296"/>
      <c r="E8" s="296"/>
      <c r="F8" s="297">
        <f>'пр.4.1. рдпр 22-23'!D10</f>
        <v>12478.692500000001</v>
      </c>
      <c r="G8" s="297">
        <f>'пр.4.1. рдпр 22-23'!E10</f>
        <v>25451.88</v>
      </c>
      <c r="H8" s="227"/>
      <c r="I8" s="227"/>
    </row>
    <row r="9" spans="1:10" ht="15.75" x14ac:dyDescent="0.25">
      <c r="A9" s="41" t="s">
        <v>124</v>
      </c>
      <c r="B9" s="7" t="s">
        <v>125</v>
      </c>
      <c r="C9" s="7"/>
      <c r="D9" s="7"/>
      <c r="E9" s="7"/>
      <c r="F9" s="4">
        <f>F10+F29+F45+F106+F136+F128</f>
        <v>136787.41</v>
      </c>
      <c r="G9" s="4">
        <f>G10+G29+G45+G106+G136+G128</f>
        <v>123941.72</v>
      </c>
      <c r="H9" s="220"/>
      <c r="I9" s="220"/>
      <c r="J9" s="220"/>
    </row>
    <row r="10" spans="1:10" ht="47.25" x14ac:dyDescent="0.25">
      <c r="A10" s="41" t="s">
        <v>582</v>
      </c>
      <c r="B10" s="7" t="s">
        <v>125</v>
      </c>
      <c r="C10" s="7" t="s">
        <v>220</v>
      </c>
      <c r="D10" s="7"/>
      <c r="E10" s="7"/>
      <c r="F10" s="4">
        <f>F11+F21</f>
        <v>4867.3999999999996</v>
      </c>
      <c r="G10" s="4">
        <f>G11+G21</f>
        <v>4867.3999999999996</v>
      </c>
      <c r="H10" s="220"/>
      <c r="I10" s="220"/>
    </row>
    <row r="11" spans="1:10" ht="31.5" x14ac:dyDescent="0.25">
      <c r="A11" s="23" t="s">
        <v>927</v>
      </c>
      <c r="B11" s="7" t="s">
        <v>125</v>
      </c>
      <c r="C11" s="7" t="s">
        <v>220</v>
      </c>
      <c r="D11" s="7" t="s">
        <v>868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928</v>
      </c>
      <c r="B12" s="7" t="s">
        <v>125</v>
      </c>
      <c r="C12" s="7" t="s">
        <v>220</v>
      </c>
      <c r="D12" s="7" t="s">
        <v>869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583</v>
      </c>
      <c r="B13" s="40" t="s">
        <v>125</v>
      </c>
      <c r="C13" s="40" t="s">
        <v>220</v>
      </c>
      <c r="D13" s="40" t="s">
        <v>1345</v>
      </c>
      <c r="E13" s="40"/>
      <c r="F13" s="6">
        <f>F14+F16</f>
        <v>4826.8999999999996</v>
      </c>
      <c r="G13" s="6">
        <f>G14+G16</f>
        <v>4826.8999999999996</v>
      </c>
      <c r="H13" s="227">
        <f>F13+F18+F48+F57+F60+F118+F125+F446+F453+F717+F798+F803+F926+F929+F722</f>
        <v>104071.91</v>
      </c>
      <c r="I13" s="227">
        <f>G13+G18+G48+G57+G60+G118+G125+G446+G453+G717+G798+G803+G926+G929+G722</f>
        <v>91098.720000000016</v>
      </c>
    </row>
    <row r="14" spans="1:10" ht="94.5" x14ac:dyDescent="0.25">
      <c r="A14" s="29" t="s">
        <v>134</v>
      </c>
      <c r="B14" s="40" t="s">
        <v>125</v>
      </c>
      <c r="C14" s="40" t="s">
        <v>220</v>
      </c>
      <c r="D14" s="40" t="s">
        <v>1345</v>
      </c>
      <c r="E14" s="40" t="s">
        <v>135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136</v>
      </c>
      <c r="B15" s="40" t="s">
        <v>125</v>
      </c>
      <c r="C15" s="40" t="s">
        <v>220</v>
      </c>
      <c r="D15" s="40" t="s">
        <v>1345</v>
      </c>
      <c r="E15" s="40" t="s">
        <v>137</v>
      </c>
      <c r="F15" s="6">
        <f>'пр.6.1.ведом.22-23'!G38</f>
        <v>4736.8999999999996</v>
      </c>
      <c r="G15" s="6">
        <f>'пр.6.1.ведом.22-23'!H38</f>
        <v>4736.8999999999996</v>
      </c>
    </row>
    <row r="16" spans="1:10" ht="31.5" x14ac:dyDescent="0.25">
      <c r="A16" s="29" t="s">
        <v>138</v>
      </c>
      <c r="B16" s="40" t="s">
        <v>125</v>
      </c>
      <c r="C16" s="40" t="s">
        <v>220</v>
      </c>
      <c r="D16" s="40" t="s">
        <v>1345</v>
      </c>
      <c r="E16" s="40" t="s">
        <v>139</v>
      </c>
      <c r="F16" s="6">
        <f>F17</f>
        <v>90</v>
      </c>
      <c r="G16" s="6">
        <f>G17</f>
        <v>90</v>
      </c>
    </row>
    <row r="17" spans="1:9" ht="47.25" x14ac:dyDescent="0.25">
      <c r="A17" s="29" t="s">
        <v>140</v>
      </c>
      <c r="B17" s="40" t="s">
        <v>125</v>
      </c>
      <c r="C17" s="40" t="s">
        <v>220</v>
      </c>
      <c r="D17" s="40" t="s">
        <v>1345</v>
      </c>
      <c r="E17" s="40" t="s">
        <v>141</v>
      </c>
      <c r="F17" s="6">
        <f>'пр.6.1.ведом.22-23'!G40</f>
        <v>90</v>
      </c>
      <c r="G17" s="6">
        <f>'пр.6.1.ведом.22-23'!H40</f>
        <v>90</v>
      </c>
    </row>
    <row r="18" spans="1:9" ht="47.25" hidden="1" x14ac:dyDescent="0.25">
      <c r="A18" s="25" t="s">
        <v>849</v>
      </c>
      <c r="B18" s="40" t="s">
        <v>125</v>
      </c>
      <c r="C18" s="40" t="s">
        <v>220</v>
      </c>
      <c r="D18" s="40" t="s">
        <v>872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134</v>
      </c>
      <c r="B19" s="40" t="s">
        <v>125</v>
      </c>
      <c r="C19" s="40" t="s">
        <v>220</v>
      </c>
      <c r="D19" s="40" t="s">
        <v>872</v>
      </c>
      <c r="E19" s="40" t="s">
        <v>135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136</v>
      </c>
      <c r="B20" s="40" t="s">
        <v>125</v>
      </c>
      <c r="C20" s="40" t="s">
        <v>220</v>
      </c>
      <c r="D20" s="40" t="s">
        <v>872</v>
      </c>
      <c r="E20" s="40" t="s">
        <v>137</v>
      </c>
      <c r="F20" s="6">
        <f>'пр.6.1.ведом.22-23'!G43</f>
        <v>0</v>
      </c>
      <c r="G20" s="6">
        <f>'пр.6.1.ведом.22-23'!H43</f>
        <v>0</v>
      </c>
    </row>
    <row r="21" spans="1:9" ht="47.25" x14ac:dyDescent="0.25">
      <c r="A21" s="23" t="s">
        <v>1355</v>
      </c>
      <c r="B21" s="24" t="s">
        <v>125</v>
      </c>
      <c r="C21" s="7" t="s">
        <v>220</v>
      </c>
      <c r="D21" s="24" t="s">
        <v>169</v>
      </c>
      <c r="E21" s="7"/>
      <c r="F21" s="367">
        <f>F22</f>
        <v>40.5</v>
      </c>
      <c r="G21" s="367">
        <f>G22</f>
        <v>40.5</v>
      </c>
    </row>
    <row r="22" spans="1:9" ht="78.75" x14ac:dyDescent="0.25">
      <c r="A22" s="215" t="s">
        <v>853</v>
      </c>
      <c r="B22" s="24" t="s">
        <v>125</v>
      </c>
      <c r="C22" s="7" t="s">
        <v>220</v>
      </c>
      <c r="D22" s="7" t="s">
        <v>860</v>
      </c>
      <c r="E22" s="7"/>
      <c r="F22" s="367">
        <f>F23+F26</f>
        <v>40.5</v>
      </c>
      <c r="G22" s="367">
        <f>G23+G26</f>
        <v>40.5</v>
      </c>
    </row>
    <row r="23" spans="1:9" ht="63" x14ac:dyDescent="0.25">
      <c r="A23" s="31" t="s">
        <v>703</v>
      </c>
      <c r="B23" s="20" t="s">
        <v>125</v>
      </c>
      <c r="C23" s="20" t="s">
        <v>220</v>
      </c>
      <c r="D23" s="40" t="s">
        <v>1003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138</v>
      </c>
      <c r="B24" s="20" t="s">
        <v>125</v>
      </c>
      <c r="C24" s="20" t="s">
        <v>220</v>
      </c>
      <c r="D24" s="40" t="s">
        <v>1003</v>
      </c>
      <c r="E24" s="20" t="s">
        <v>139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140</v>
      </c>
      <c r="B25" s="20" t="s">
        <v>125</v>
      </c>
      <c r="C25" s="20" t="s">
        <v>220</v>
      </c>
      <c r="D25" s="40" t="s">
        <v>704</v>
      </c>
      <c r="E25" s="20" t="s">
        <v>141</v>
      </c>
      <c r="F25" s="6">
        <f>'пр.6.1.ведом.22-23'!G48</f>
        <v>40.5</v>
      </c>
      <c r="G25" s="6">
        <f>'пр.6.1.ведом.22-23'!H48</f>
        <v>40.5</v>
      </c>
    </row>
    <row r="26" spans="1:9" ht="63" hidden="1" x14ac:dyDescent="0.25">
      <c r="A26" s="31" t="s">
        <v>703</v>
      </c>
      <c r="B26" s="20" t="s">
        <v>125</v>
      </c>
      <c r="C26" s="20" t="s">
        <v>220</v>
      </c>
      <c r="D26" s="20" t="s">
        <v>1002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138</v>
      </c>
      <c r="B27" s="20" t="s">
        <v>125</v>
      </c>
      <c r="C27" s="20" t="s">
        <v>220</v>
      </c>
      <c r="D27" s="20" t="s">
        <v>1002</v>
      </c>
      <c r="E27" s="20" t="s">
        <v>139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140</v>
      </c>
      <c r="B28" s="20" t="s">
        <v>125</v>
      </c>
      <c r="C28" s="20" t="s">
        <v>220</v>
      </c>
      <c r="D28" s="20" t="s">
        <v>1002</v>
      </c>
      <c r="E28" s="20" t="s">
        <v>141</v>
      </c>
      <c r="F28" s="6">
        <f>'пр.6.1.ведом.22-23'!G51</f>
        <v>0</v>
      </c>
      <c r="G28" s="6">
        <f>'пр.6.1.ведом.22-23'!H51</f>
        <v>0</v>
      </c>
    </row>
    <row r="29" spans="1:9" ht="78.75" x14ac:dyDescent="0.25">
      <c r="A29" s="41" t="s">
        <v>585</v>
      </c>
      <c r="B29" s="7" t="s">
        <v>125</v>
      </c>
      <c r="C29" s="7" t="s">
        <v>222</v>
      </c>
      <c r="D29" s="7"/>
      <c r="E29" s="7"/>
      <c r="F29" s="4">
        <f t="shared" ref="F29:G30" si="2">F30</f>
        <v>5488</v>
      </c>
      <c r="G29" s="4">
        <f t="shared" si="2"/>
        <v>5488</v>
      </c>
    </row>
    <row r="30" spans="1:9" ht="31.5" x14ac:dyDescent="0.25">
      <c r="A30" s="23" t="s">
        <v>927</v>
      </c>
      <c r="B30" s="7" t="s">
        <v>125</v>
      </c>
      <c r="C30" s="7" t="s">
        <v>222</v>
      </c>
      <c r="D30" s="7" t="s">
        <v>868</v>
      </c>
      <c r="E30" s="7"/>
      <c r="F30" s="4">
        <f t="shared" si="2"/>
        <v>5488</v>
      </c>
      <c r="G30" s="4">
        <f t="shared" si="2"/>
        <v>5488</v>
      </c>
    </row>
    <row r="31" spans="1:9" ht="31.5" x14ac:dyDescent="0.25">
      <c r="A31" s="23" t="s">
        <v>996</v>
      </c>
      <c r="B31" s="7" t="s">
        <v>125</v>
      </c>
      <c r="C31" s="7" t="s">
        <v>222</v>
      </c>
      <c r="D31" s="7" t="s">
        <v>997</v>
      </c>
      <c r="E31" s="7"/>
      <c r="F31" s="4">
        <f>F37+F42+F32</f>
        <v>5488</v>
      </c>
      <c r="G31" s="4">
        <f>G37+G42+G32</f>
        <v>5488</v>
      </c>
    </row>
    <row r="32" spans="1:9" s="202" customFormat="1" ht="47.25" x14ac:dyDescent="0.25">
      <c r="A32" s="285" t="s">
        <v>1380</v>
      </c>
      <c r="B32" s="20" t="s">
        <v>125</v>
      </c>
      <c r="C32" s="20" t="s">
        <v>222</v>
      </c>
      <c r="D32" s="20" t="s">
        <v>1418</v>
      </c>
      <c r="E32" s="24"/>
      <c r="F32" s="6">
        <f>F33+F35</f>
        <v>4247.6000000000004</v>
      </c>
      <c r="G32" s="6">
        <f>G33+G35</f>
        <v>4247.6000000000004</v>
      </c>
      <c r="H32" s="227">
        <f>F32+F37+F109+F114</f>
        <v>7286.5</v>
      </c>
      <c r="I32" s="227">
        <f>G32+G37+G109+G114</f>
        <v>7286.5</v>
      </c>
    </row>
    <row r="33" spans="1:9" s="202" customFormat="1" ht="94.5" x14ac:dyDescent="0.25">
      <c r="A33" s="25" t="s">
        <v>134</v>
      </c>
      <c r="B33" s="20" t="s">
        <v>125</v>
      </c>
      <c r="C33" s="20" t="s">
        <v>222</v>
      </c>
      <c r="D33" s="20" t="s">
        <v>1418</v>
      </c>
      <c r="E33" s="20" t="s">
        <v>135</v>
      </c>
      <c r="F33" s="6">
        <f>F34</f>
        <v>4154.6000000000004</v>
      </c>
      <c r="G33" s="6">
        <f>G34</f>
        <v>4154.6000000000004</v>
      </c>
    </row>
    <row r="34" spans="1:9" s="202" customFormat="1" ht="31.5" x14ac:dyDescent="0.25">
      <c r="A34" s="25" t="s">
        <v>136</v>
      </c>
      <c r="B34" s="20" t="s">
        <v>125</v>
      </c>
      <c r="C34" s="20" t="s">
        <v>222</v>
      </c>
      <c r="D34" s="20" t="s">
        <v>1418</v>
      </c>
      <c r="E34" s="20" t="s">
        <v>137</v>
      </c>
      <c r="F34" s="6">
        <f>'пр.6.1.ведом.22-23'!G1072</f>
        <v>4154.6000000000004</v>
      </c>
      <c r="G34" s="6">
        <f>'пр.6.1.ведом.22-23'!H1072</f>
        <v>4154.6000000000004</v>
      </c>
    </row>
    <row r="35" spans="1:9" s="202" customFormat="1" ht="47.25" x14ac:dyDescent="0.25">
      <c r="A35" s="25" t="s">
        <v>205</v>
      </c>
      <c r="B35" s="20" t="s">
        <v>125</v>
      </c>
      <c r="C35" s="20" t="s">
        <v>222</v>
      </c>
      <c r="D35" s="20" t="s">
        <v>1418</v>
      </c>
      <c r="E35" s="20" t="s">
        <v>139</v>
      </c>
      <c r="F35" s="6">
        <f>F36</f>
        <v>93</v>
      </c>
      <c r="G35" s="6">
        <f>G36</f>
        <v>93</v>
      </c>
    </row>
    <row r="36" spans="1:9" s="202" customFormat="1" ht="47.25" x14ac:dyDescent="0.25">
      <c r="A36" s="25" t="s">
        <v>140</v>
      </c>
      <c r="B36" s="20" t="s">
        <v>125</v>
      </c>
      <c r="C36" s="20" t="s">
        <v>222</v>
      </c>
      <c r="D36" s="20" t="s">
        <v>1418</v>
      </c>
      <c r="E36" s="20" t="s">
        <v>141</v>
      </c>
      <c r="F36" s="6">
        <f>'пр.6.1.ведом.22-23'!G1074</f>
        <v>93</v>
      </c>
      <c r="G36" s="6">
        <f>'пр.6.1.ведом.22-23'!H1074</f>
        <v>93</v>
      </c>
    </row>
    <row r="37" spans="1:9" ht="31.5" x14ac:dyDescent="0.25">
      <c r="A37" s="25" t="s">
        <v>1000</v>
      </c>
      <c r="B37" s="40" t="s">
        <v>125</v>
      </c>
      <c r="C37" s="40" t="s">
        <v>222</v>
      </c>
      <c r="D37" s="40" t="s">
        <v>1001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134</v>
      </c>
      <c r="B38" s="40" t="s">
        <v>125</v>
      </c>
      <c r="C38" s="40" t="s">
        <v>222</v>
      </c>
      <c r="D38" s="40" t="s">
        <v>1001</v>
      </c>
      <c r="E38" s="40" t="s">
        <v>135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136</v>
      </c>
      <c r="B39" s="40" t="s">
        <v>125</v>
      </c>
      <c r="C39" s="40" t="s">
        <v>222</v>
      </c>
      <c r="D39" s="40" t="s">
        <v>1001</v>
      </c>
      <c r="E39" s="40" t="s">
        <v>137</v>
      </c>
      <c r="F39" s="6">
        <f>'пр.6.1.ведом.22-23'!G1077</f>
        <v>1240.4000000000001</v>
      </c>
      <c r="G39" s="6">
        <f>'пр.6.1.ведом.22-23'!H1077</f>
        <v>1240.4000000000001</v>
      </c>
    </row>
    <row r="40" spans="1:9" ht="31.5" hidden="1" x14ac:dyDescent="0.25">
      <c r="A40" s="29" t="s">
        <v>138</v>
      </c>
      <c r="B40" s="40" t="s">
        <v>125</v>
      </c>
      <c r="C40" s="40" t="s">
        <v>222</v>
      </c>
      <c r="D40" s="40" t="s">
        <v>1001</v>
      </c>
      <c r="E40" s="40" t="s">
        <v>139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140</v>
      </c>
      <c r="B41" s="40" t="s">
        <v>125</v>
      </c>
      <c r="C41" s="40" t="s">
        <v>222</v>
      </c>
      <c r="D41" s="40" t="s">
        <v>1001</v>
      </c>
      <c r="E41" s="40" t="s">
        <v>141</v>
      </c>
      <c r="F41" s="6">
        <f>'пр.6.1.ведом.22-23'!G1079</f>
        <v>0</v>
      </c>
      <c r="G41" s="6">
        <f>'пр.6.1.ведом.22-23'!H1079</f>
        <v>0</v>
      </c>
    </row>
    <row r="42" spans="1:9" ht="47.25" hidden="1" x14ac:dyDescent="0.25">
      <c r="A42" s="25" t="s">
        <v>849</v>
      </c>
      <c r="B42" s="40" t="s">
        <v>125</v>
      </c>
      <c r="C42" s="40" t="s">
        <v>222</v>
      </c>
      <c r="D42" s="40" t="s">
        <v>999</v>
      </c>
      <c r="E42" s="40"/>
      <c r="F42" s="6">
        <f>'Пр.3 Рд,пр, ЦС,ВР 21'!F40</f>
        <v>0</v>
      </c>
      <c r="G42" s="6">
        <f t="shared" si="1"/>
        <v>0</v>
      </c>
    </row>
    <row r="43" spans="1:9" ht="94.5" hidden="1" x14ac:dyDescent="0.25">
      <c r="A43" s="25" t="s">
        <v>134</v>
      </c>
      <c r="B43" s="40" t="s">
        <v>125</v>
      </c>
      <c r="C43" s="40" t="s">
        <v>222</v>
      </c>
      <c r="D43" s="40" t="s">
        <v>999</v>
      </c>
      <c r="E43" s="40" t="s">
        <v>135</v>
      </c>
      <c r="F43" s="6">
        <f>'Пр.3 Рд,пр, ЦС,ВР 21'!F41</f>
        <v>0</v>
      </c>
      <c r="G43" s="6">
        <f t="shared" si="1"/>
        <v>0</v>
      </c>
    </row>
    <row r="44" spans="1:9" ht="39.75" hidden="1" customHeight="1" x14ac:dyDescent="0.25">
      <c r="A44" s="25" t="s">
        <v>136</v>
      </c>
      <c r="B44" s="40" t="s">
        <v>125</v>
      </c>
      <c r="C44" s="40" t="s">
        <v>222</v>
      </c>
      <c r="D44" s="40" t="s">
        <v>999</v>
      </c>
      <c r="E44" s="40" t="s">
        <v>137</v>
      </c>
      <c r="F44" s="6">
        <f>'Пр.3 Рд,пр, ЦС,ВР 21'!F42</f>
        <v>0</v>
      </c>
      <c r="G44" s="6">
        <f t="shared" si="1"/>
        <v>0</v>
      </c>
    </row>
    <row r="45" spans="1:9" ht="78.75" x14ac:dyDescent="0.25">
      <c r="A45" s="41" t="s">
        <v>156</v>
      </c>
      <c r="B45" s="7" t="s">
        <v>125</v>
      </c>
      <c r="C45" s="7" t="s">
        <v>157</v>
      </c>
      <c r="D45" s="7"/>
      <c r="E45" s="7"/>
      <c r="F45" s="4">
        <f>F46+F85</f>
        <v>56977.11</v>
      </c>
      <c r="G45" s="4">
        <f>G46+G85</f>
        <v>43788.420000000006</v>
      </c>
      <c r="H45" s="227">
        <f>'пр.6.1.ведом.22-23'!H490+'пр.6.1.ведом.22-23'!H52</f>
        <v>43788.42</v>
      </c>
      <c r="I45" s="227">
        <f>H46-F45</f>
        <v>5218.0900000000038</v>
      </c>
    </row>
    <row r="46" spans="1:9" ht="31.5" x14ac:dyDescent="0.25">
      <c r="A46" s="23" t="s">
        <v>927</v>
      </c>
      <c r="B46" s="7" t="s">
        <v>125</v>
      </c>
      <c r="C46" s="7" t="s">
        <v>157</v>
      </c>
      <c r="D46" s="7" t="s">
        <v>868</v>
      </c>
      <c r="E46" s="7"/>
      <c r="F46" s="4">
        <f>F47+F63</f>
        <v>56293.61</v>
      </c>
      <c r="G46" s="4">
        <f>G47+G63</f>
        <v>43104.920000000006</v>
      </c>
      <c r="H46">
        <f>50028.3+12166.9</f>
        <v>62195.200000000004</v>
      </c>
    </row>
    <row r="47" spans="1:9" ht="15.75" x14ac:dyDescent="0.25">
      <c r="A47" s="23" t="s">
        <v>928</v>
      </c>
      <c r="B47" s="7" t="s">
        <v>125</v>
      </c>
      <c r="C47" s="7" t="s">
        <v>157</v>
      </c>
      <c r="D47" s="7" t="s">
        <v>869</v>
      </c>
      <c r="E47" s="7"/>
      <c r="F47" s="4">
        <f>F48+F57+F60</f>
        <v>52962.71</v>
      </c>
      <c r="G47" s="4">
        <f>G48+G57+G60</f>
        <v>39989.520000000004</v>
      </c>
    </row>
    <row r="48" spans="1:9" ht="31.5" x14ac:dyDescent="0.25">
      <c r="A48" s="29" t="s">
        <v>907</v>
      </c>
      <c r="B48" s="40" t="s">
        <v>125</v>
      </c>
      <c r="C48" s="40" t="s">
        <v>157</v>
      </c>
      <c r="D48" s="40" t="s">
        <v>870</v>
      </c>
      <c r="E48" s="40"/>
      <c r="F48" s="6">
        <f>F49+F51+F53+F55</f>
        <v>48838.31</v>
      </c>
      <c r="G48" s="6">
        <f>G49+G51+G53+G55</f>
        <v>35865.120000000003</v>
      </c>
      <c r="H48" s="227">
        <f>'пр.6.1.ведом.22-23'!G55+'пр.6.1.ведом.22-23'!G493</f>
        <v>48838.31</v>
      </c>
    </row>
    <row r="49" spans="1:9" ht="94.5" x14ac:dyDescent="0.25">
      <c r="A49" s="29" t="s">
        <v>134</v>
      </c>
      <c r="B49" s="40" t="s">
        <v>125</v>
      </c>
      <c r="C49" s="40" t="s">
        <v>157</v>
      </c>
      <c r="D49" s="40" t="s">
        <v>870</v>
      </c>
      <c r="E49" s="40" t="s">
        <v>135</v>
      </c>
      <c r="F49" s="6">
        <f>F50</f>
        <v>42632.909999999996</v>
      </c>
      <c r="G49" s="6">
        <f>G50</f>
        <v>29659.72</v>
      </c>
    </row>
    <row r="50" spans="1:9" ht="40.700000000000003" customHeight="1" x14ac:dyDescent="0.25">
      <c r="A50" s="29" t="s">
        <v>136</v>
      </c>
      <c r="B50" s="40" t="s">
        <v>125</v>
      </c>
      <c r="C50" s="40" t="s">
        <v>157</v>
      </c>
      <c r="D50" s="40" t="s">
        <v>870</v>
      </c>
      <c r="E50" s="40" t="s">
        <v>137</v>
      </c>
      <c r="F50" s="6">
        <f>'пр.6.1.ведом.22-23'!G495+'пр.6.1.ведом.22-23'!G57</f>
        <v>42632.909999999996</v>
      </c>
      <c r="G50" s="6">
        <f>'пр.6.1.ведом.22-23'!H495+'пр.6.1.ведом.22-23'!H57</f>
        <v>29659.72</v>
      </c>
    </row>
    <row r="51" spans="1:9" ht="31.5" x14ac:dyDescent="0.25">
      <c r="A51" s="29" t="s">
        <v>138</v>
      </c>
      <c r="B51" s="40" t="s">
        <v>125</v>
      </c>
      <c r="C51" s="40" t="s">
        <v>157</v>
      </c>
      <c r="D51" s="40" t="s">
        <v>870</v>
      </c>
      <c r="E51" s="40" t="s">
        <v>139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140</v>
      </c>
      <c r="B52" s="40" t="s">
        <v>125</v>
      </c>
      <c r="C52" s="40" t="s">
        <v>157</v>
      </c>
      <c r="D52" s="40" t="s">
        <v>870</v>
      </c>
      <c r="E52" s="40" t="s">
        <v>141</v>
      </c>
      <c r="F52" s="6">
        <f>'пр.6.1.ведом.22-23'!G59+'пр.6.1.ведом.22-23'!G497</f>
        <v>5999.4</v>
      </c>
      <c r="G52" s="6">
        <f>'пр.6.1.ведом.22-23'!H59+'пр.6.1.ведом.22-23'!H497</f>
        <v>5999.4</v>
      </c>
    </row>
    <row r="53" spans="1:9" ht="31.5" hidden="1" x14ac:dyDescent="0.25">
      <c r="A53" s="25" t="s">
        <v>255</v>
      </c>
      <c r="B53" s="40" t="s">
        <v>125</v>
      </c>
      <c r="C53" s="40" t="s">
        <v>157</v>
      </c>
      <c r="D53" s="40" t="s">
        <v>870</v>
      </c>
      <c r="E53" s="40" t="s">
        <v>256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257</v>
      </c>
      <c r="B54" s="40" t="s">
        <v>125</v>
      </c>
      <c r="C54" s="40" t="s">
        <v>157</v>
      </c>
      <c r="D54" s="40" t="s">
        <v>870</v>
      </c>
      <c r="E54" s="40" t="s">
        <v>258</v>
      </c>
      <c r="F54" s="6">
        <f>'пр.6.1.ведом.22-23'!G61</f>
        <v>0</v>
      </c>
      <c r="G54" s="6">
        <f>'пр.6.1.ведом.22-23'!H61</f>
        <v>0</v>
      </c>
    </row>
    <row r="55" spans="1:9" ht="15.75" x14ac:dyDescent="0.25">
      <c r="A55" s="29" t="s">
        <v>142</v>
      </c>
      <c r="B55" s="40" t="s">
        <v>125</v>
      </c>
      <c r="C55" s="40" t="s">
        <v>157</v>
      </c>
      <c r="D55" s="40" t="s">
        <v>870</v>
      </c>
      <c r="E55" s="40" t="s">
        <v>152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575</v>
      </c>
      <c r="B56" s="40" t="s">
        <v>125</v>
      </c>
      <c r="C56" s="40" t="s">
        <v>157</v>
      </c>
      <c r="D56" s="40" t="s">
        <v>870</v>
      </c>
      <c r="E56" s="40" t="s">
        <v>145</v>
      </c>
      <c r="F56" s="6">
        <f>'пр.6.1.ведом.22-23'!G63+'пр.6.1.ведом.22-23'!G499</f>
        <v>206</v>
      </c>
      <c r="G56" s="6">
        <f>'пр.6.1.ведом.22-23'!H63+'пр.6.1.ведом.22-23'!H499</f>
        <v>206</v>
      </c>
    </row>
    <row r="57" spans="1:9" ht="31.5" x14ac:dyDescent="0.25">
      <c r="A57" s="25" t="s">
        <v>160</v>
      </c>
      <c r="B57" s="20" t="s">
        <v>125</v>
      </c>
      <c r="C57" s="20" t="s">
        <v>157</v>
      </c>
      <c r="D57" s="40" t="s">
        <v>871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134</v>
      </c>
      <c r="B58" s="20" t="s">
        <v>125</v>
      </c>
      <c r="C58" s="20" t="s">
        <v>157</v>
      </c>
      <c r="D58" s="40" t="s">
        <v>871</v>
      </c>
      <c r="E58" s="20" t="s">
        <v>135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136</v>
      </c>
      <c r="B59" s="20" t="s">
        <v>125</v>
      </c>
      <c r="C59" s="20" t="s">
        <v>157</v>
      </c>
      <c r="D59" s="40" t="s">
        <v>871</v>
      </c>
      <c r="E59" s="20" t="s">
        <v>137</v>
      </c>
      <c r="F59" s="6">
        <f>'пр.6.1.ведом.22-23'!G66</f>
        <v>2071.4</v>
      </c>
      <c r="G59" s="6">
        <f>'пр.6.1.ведом.22-23'!H66</f>
        <v>2071.4</v>
      </c>
    </row>
    <row r="60" spans="1:9" ht="47.25" x14ac:dyDescent="0.25">
      <c r="A60" s="25" t="s">
        <v>849</v>
      </c>
      <c r="B60" s="40" t="s">
        <v>125</v>
      </c>
      <c r="C60" s="20" t="s">
        <v>157</v>
      </c>
      <c r="D60" s="40" t="s">
        <v>872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134</v>
      </c>
      <c r="B61" s="40" t="s">
        <v>125</v>
      </c>
      <c r="C61" s="20" t="s">
        <v>157</v>
      </c>
      <c r="D61" s="40" t="s">
        <v>872</v>
      </c>
      <c r="E61" s="40" t="s">
        <v>135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136</v>
      </c>
      <c r="B62" s="40" t="s">
        <v>125</v>
      </c>
      <c r="C62" s="20" t="s">
        <v>157</v>
      </c>
      <c r="D62" s="40" t="s">
        <v>872</v>
      </c>
      <c r="E62" s="40" t="s">
        <v>137</v>
      </c>
      <c r="F62" s="6">
        <f>'пр.6.1.ведом.22-23'!G69+'пр.6.1.ведом.22-23'!G502</f>
        <v>2053</v>
      </c>
      <c r="G62" s="6">
        <f>'пр.6.1.ведом.22-23'!H69+'пр.6.1.ведом.22-23'!H502</f>
        <v>2053</v>
      </c>
      <c r="H62" s="227">
        <f>'пр.6.1.ведом.22-23'!G500+'пр.6.1.ведом.22-23'!G67</f>
        <v>2053</v>
      </c>
    </row>
    <row r="63" spans="1:9" ht="47.25" x14ac:dyDescent="0.25">
      <c r="A63" s="23" t="s">
        <v>895</v>
      </c>
      <c r="B63" s="7" t="s">
        <v>125</v>
      </c>
      <c r="C63" s="24" t="s">
        <v>157</v>
      </c>
      <c r="D63" s="7" t="s">
        <v>873</v>
      </c>
      <c r="E63" s="7"/>
      <c r="F63" s="4">
        <f>F64+F67+F72+F77+F82</f>
        <v>3330.9</v>
      </c>
      <c r="G63" s="4">
        <f>G64+G67+G72+G77+G82</f>
        <v>3115.4</v>
      </c>
    </row>
    <row r="64" spans="1:9" ht="47.25" hidden="1" x14ac:dyDescent="0.25">
      <c r="A64" s="25" t="s">
        <v>194</v>
      </c>
      <c r="B64" s="40" t="s">
        <v>125</v>
      </c>
      <c r="C64" s="20" t="s">
        <v>157</v>
      </c>
      <c r="D64" s="40" t="s">
        <v>1083</v>
      </c>
      <c r="E64" s="7"/>
      <c r="F64" s="6">
        <f>F65</f>
        <v>0</v>
      </c>
      <c r="G64" s="6">
        <f>G65</f>
        <v>0</v>
      </c>
      <c r="H64" s="227">
        <f>F64+F67+F72+F77+F82+F286+F342+F875</f>
        <v>7245.5</v>
      </c>
      <c r="I64" s="227">
        <f>G64+G67+G72+G77+G82+G286+G342+G875</f>
        <v>6996.6</v>
      </c>
    </row>
    <row r="65" spans="1:7" ht="31.5" hidden="1" x14ac:dyDescent="0.25">
      <c r="A65" s="25" t="s">
        <v>138</v>
      </c>
      <c r="B65" s="40" t="s">
        <v>125</v>
      </c>
      <c r="C65" s="20" t="s">
        <v>157</v>
      </c>
      <c r="D65" s="40" t="s">
        <v>1083</v>
      </c>
      <c r="E65" s="40" t="s">
        <v>139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140</v>
      </c>
      <c r="B66" s="40" t="s">
        <v>125</v>
      </c>
      <c r="C66" s="20" t="s">
        <v>157</v>
      </c>
      <c r="D66" s="40" t="s">
        <v>1083</v>
      </c>
      <c r="E66" s="40" t="s">
        <v>141</v>
      </c>
      <c r="F66" s="6">
        <f>'пр.6.1.ведом.22-23'!G73</f>
        <v>0</v>
      </c>
      <c r="G66" s="6">
        <f>'пр.6.1.ведом.22-23'!H73</f>
        <v>0</v>
      </c>
    </row>
    <row r="67" spans="1:7" ht="47.25" x14ac:dyDescent="0.25">
      <c r="A67" s="45" t="s">
        <v>196</v>
      </c>
      <c r="B67" s="40" t="s">
        <v>125</v>
      </c>
      <c r="C67" s="20" t="s">
        <v>157</v>
      </c>
      <c r="D67" s="40" t="s">
        <v>930</v>
      </c>
      <c r="E67" s="40"/>
      <c r="F67" s="6">
        <f>F68+F70</f>
        <v>563.20000000000005</v>
      </c>
      <c r="G67" s="6">
        <f>G68+G70</f>
        <v>347.7</v>
      </c>
    </row>
    <row r="68" spans="1:7" ht="94.5" x14ac:dyDescent="0.25">
      <c r="A68" s="29" t="s">
        <v>134</v>
      </c>
      <c r="B68" s="40" t="s">
        <v>125</v>
      </c>
      <c r="C68" s="20" t="s">
        <v>157</v>
      </c>
      <c r="D68" s="40" t="s">
        <v>930</v>
      </c>
      <c r="E68" s="40" t="s">
        <v>135</v>
      </c>
      <c r="F68" s="6">
        <f>F69</f>
        <v>563.20000000000005</v>
      </c>
      <c r="G68" s="6">
        <f>G69</f>
        <v>347.7</v>
      </c>
    </row>
    <row r="69" spans="1:7" ht="31.5" x14ac:dyDescent="0.25">
      <c r="A69" s="29" t="s">
        <v>136</v>
      </c>
      <c r="B69" s="40" t="s">
        <v>125</v>
      </c>
      <c r="C69" s="20" t="s">
        <v>157</v>
      </c>
      <c r="D69" s="40" t="s">
        <v>930</v>
      </c>
      <c r="E69" s="40" t="s">
        <v>137</v>
      </c>
      <c r="F69" s="6">
        <f>'пр.6.1.ведом.22-23'!G76</f>
        <v>563.20000000000005</v>
      </c>
      <c r="G69" s="6">
        <f>'пр.6.1.ведом.22-23'!H76</f>
        <v>347.7</v>
      </c>
    </row>
    <row r="70" spans="1:7" ht="31.5" hidden="1" x14ac:dyDescent="0.25">
      <c r="A70" s="25" t="s">
        <v>138</v>
      </c>
      <c r="B70" s="40" t="s">
        <v>125</v>
      </c>
      <c r="C70" s="20" t="s">
        <v>157</v>
      </c>
      <c r="D70" s="40" t="s">
        <v>930</v>
      </c>
      <c r="E70" s="40" t="s">
        <v>139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140</v>
      </c>
      <c r="B71" s="40" t="s">
        <v>125</v>
      </c>
      <c r="C71" s="20" t="s">
        <v>157</v>
      </c>
      <c r="D71" s="40" t="s">
        <v>930</v>
      </c>
      <c r="E71" s="40" t="s">
        <v>141</v>
      </c>
      <c r="F71" s="6">
        <f>'пр.6.1.ведом.22-23'!G78</f>
        <v>0</v>
      </c>
      <c r="G71" s="6">
        <f>'пр.6.1.ведом.22-23'!H78</f>
        <v>0</v>
      </c>
    </row>
    <row r="72" spans="1:7" ht="63" x14ac:dyDescent="0.25">
      <c r="A72" s="31" t="s">
        <v>201</v>
      </c>
      <c r="B72" s="40" t="s">
        <v>125</v>
      </c>
      <c r="C72" s="20" t="s">
        <v>157</v>
      </c>
      <c r="D72" s="40" t="s">
        <v>1038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134</v>
      </c>
      <c r="B73" s="40" t="s">
        <v>125</v>
      </c>
      <c r="C73" s="20" t="s">
        <v>157</v>
      </c>
      <c r="D73" s="40" t="s">
        <v>1038</v>
      </c>
      <c r="E73" s="40" t="s">
        <v>135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136</v>
      </c>
      <c r="B74" s="40" t="s">
        <v>125</v>
      </c>
      <c r="C74" s="20" t="s">
        <v>157</v>
      </c>
      <c r="D74" s="40" t="s">
        <v>1038</v>
      </c>
      <c r="E74" s="40" t="s">
        <v>137</v>
      </c>
      <c r="F74" s="6">
        <f>'пр.6.1.ведом.22-23'!G81</f>
        <v>1372.1</v>
      </c>
      <c r="G74" s="6">
        <f>'пр.6.1.ведом.22-23'!H81</f>
        <v>1372.1</v>
      </c>
    </row>
    <row r="75" spans="1:7" ht="31.5" x14ac:dyDescent="0.25">
      <c r="A75" s="25" t="s">
        <v>138</v>
      </c>
      <c r="B75" s="40" t="s">
        <v>125</v>
      </c>
      <c r="C75" s="20" t="s">
        <v>157</v>
      </c>
      <c r="D75" s="40" t="s">
        <v>1038</v>
      </c>
      <c r="E75" s="40" t="s">
        <v>139</v>
      </c>
      <c r="F75" s="6">
        <f>F76</f>
        <v>39</v>
      </c>
      <c r="G75" s="6">
        <f>G76</f>
        <v>39</v>
      </c>
    </row>
    <row r="76" spans="1:7" ht="47.25" x14ac:dyDescent="0.25">
      <c r="A76" s="25" t="s">
        <v>140</v>
      </c>
      <c r="B76" s="40" t="s">
        <v>125</v>
      </c>
      <c r="C76" s="20" t="s">
        <v>157</v>
      </c>
      <c r="D76" s="40" t="s">
        <v>1038</v>
      </c>
      <c r="E76" s="40" t="s">
        <v>141</v>
      </c>
      <c r="F76" s="6">
        <f>'пр.6.1.ведом.22-23'!G83</f>
        <v>39</v>
      </c>
      <c r="G76" s="6">
        <f>'пр.6.1.ведом.22-23'!H83</f>
        <v>39</v>
      </c>
    </row>
    <row r="77" spans="1:7" ht="47.25" x14ac:dyDescent="0.25">
      <c r="A77" s="45" t="s">
        <v>203</v>
      </c>
      <c r="B77" s="40" t="s">
        <v>125</v>
      </c>
      <c r="C77" s="20" t="s">
        <v>157</v>
      </c>
      <c r="D77" s="40" t="s">
        <v>931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134</v>
      </c>
      <c r="B78" s="40" t="s">
        <v>125</v>
      </c>
      <c r="C78" s="20" t="s">
        <v>157</v>
      </c>
      <c r="D78" s="40" t="s">
        <v>931</v>
      </c>
      <c r="E78" s="40" t="s">
        <v>135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136</v>
      </c>
      <c r="B79" s="40" t="s">
        <v>125</v>
      </c>
      <c r="C79" s="20" t="s">
        <v>157</v>
      </c>
      <c r="D79" s="40" t="s">
        <v>931</v>
      </c>
      <c r="E79" s="40" t="s">
        <v>137</v>
      </c>
      <c r="F79" s="6">
        <f>'пр.6.1.ведом.22-23'!G86</f>
        <v>1300.3</v>
      </c>
      <c r="G79" s="6">
        <f>'пр.6.1.ведом.22-23'!H86</f>
        <v>1300.3</v>
      </c>
    </row>
    <row r="80" spans="1:7" ht="31.5" x14ac:dyDescent="0.25">
      <c r="A80" s="29" t="s">
        <v>138</v>
      </c>
      <c r="B80" s="40" t="s">
        <v>125</v>
      </c>
      <c r="C80" s="20" t="s">
        <v>157</v>
      </c>
      <c r="D80" s="40" t="s">
        <v>931</v>
      </c>
      <c r="E80" s="40" t="s">
        <v>139</v>
      </c>
      <c r="F80" s="6">
        <f>F81</f>
        <v>34</v>
      </c>
      <c r="G80" s="6">
        <f>G81</f>
        <v>34</v>
      </c>
    </row>
    <row r="81" spans="1:7" ht="47.25" x14ac:dyDescent="0.25">
      <c r="A81" s="29" t="s">
        <v>140</v>
      </c>
      <c r="B81" s="40" t="s">
        <v>125</v>
      </c>
      <c r="C81" s="20" t="s">
        <v>157</v>
      </c>
      <c r="D81" s="40" t="s">
        <v>931</v>
      </c>
      <c r="E81" s="40" t="s">
        <v>141</v>
      </c>
      <c r="F81" s="6">
        <f>'пр.6.1.ведом.22-23'!G88</f>
        <v>34</v>
      </c>
      <c r="G81" s="6">
        <f>'пр.6.1.ведом.22-23'!H88</f>
        <v>34</v>
      </c>
    </row>
    <row r="82" spans="1:7" s="202" customFormat="1" ht="94.5" x14ac:dyDescent="0.25">
      <c r="A82" s="31" t="s">
        <v>1183</v>
      </c>
      <c r="B82" s="20" t="s">
        <v>125</v>
      </c>
      <c r="C82" s="20" t="s">
        <v>157</v>
      </c>
      <c r="D82" s="20" t="s">
        <v>1182</v>
      </c>
      <c r="E82" s="20"/>
      <c r="F82" s="26">
        <f>F83</f>
        <v>22.3</v>
      </c>
      <c r="G82" s="26">
        <f>G83</f>
        <v>22.3</v>
      </c>
    </row>
    <row r="83" spans="1:7" s="202" customFormat="1" ht="94.5" x14ac:dyDescent="0.25">
      <c r="A83" s="25" t="s">
        <v>134</v>
      </c>
      <c r="B83" s="20" t="s">
        <v>125</v>
      </c>
      <c r="C83" s="20" t="s">
        <v>157</v>
      </c>
      <c r="D83" s="20" t="s">
        <v>1182</v>
      </c>
      <c r="E83" s="20" t="s">
        <v>135</v>
      </c>
      <c r="F83" s="26">
        <f>F84</f>
        <v>22.3</v>
      </c>
      <c r="G83" s="26">
        <f>G84</f>
        <v>22.3</v>
      </c>
    </row>
    <row r="84" spans="1:7" s="202" customFormat="1" ht="38.25" customHeight="1" x14ac:dyDescent="0.25">
      <c r="A84" s="25" t="s">
        <v>136</v>
      </c>
      <c r="B84" s="20" t="s">
        <v>125</v>
      </c>
      <c r="C84" s="20" t="s">
        <v>157</v>
      </c>
      <c r="D84" s="20" t="s">
        <v>1182</v>
      </c>
      <c r="E84" s="20" t="s">
        <v>137</v>
      </c>
      <c r="F84" s="26">
        <f>'пр.6.1.ведом.22-23'!G506</f>
        <v>22.3</v>
      </c>
      <c r="G84" s="6">
        <f>'пр.6.1.ведом.22-23'!H506</f>
        <v>22.3</v>
      </c>
    </row>
    <row r="85" spans="1:7" ht="47.25" x14ac:dyDescent="0.25">
      <c r="A85" s="23" t="s">
        <v>1381</v>
      </c>
      <c r="B85" s="24" t="s">
        <v>125</v>
      </c>
      <c r="C85" s="24" t="s">
        <v>157</v>
      </c>
      <c r="D85" s="24" t="s">
        <v>169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290" t="s">
        <v>1356</v>
      </c>
      <c r="B86" s="24" t="s">
        <v>125</v>
      </c>
      <c r="C86" s="24" t="s">
        <v>157</v>
      </c>
      <c r="D86" s="7" t="s">
        <v>859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1323</v>
      </c>
      <c r="B87" s="20" t="s">
        <v>125</v>
      </c>
      <c r="C87" s="20" t="s">
        <v>157</v>
      </c>
      <c r="D87" s="40" t="s">
        <v>851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138</v>
      </c>
      <c r="B88" s="20" t="s">
        <v>125</v>
      </c>
      <c r="C88" s="20" t="s">
        <v>157</v>
      </c>
      <c r="D88" s="40" t="s">
        <v>851</v>
      </c>
      <c r="E88" s="20" t="s">
        <v>139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140</v>
      </c>
      <c r="B89" s="20" t="s">
        <v>125</v>
      </c>
      <c r="C89" s="20" t="s">
        <v>157</v>
      </c>
      <c r="D89" s="40" t="s">
        <v>851</v>
      </c>
      <c r="E89" s="20" t="s">
        <v>141</v>
      </c>
      <c r="F89" s="6">
        <f>'пр.6.1.ведом.22-23'!G93</f>
        <v>606</v>
      </c>
      <c r="G89" s="6">
        <f>'пр.6.1.ведом.22-23'!H93</f>
        <v>606</v>
      </c>
    </row>
    <row r="90" spans="1:7" ht="78.75" x14ac:dyDescent="0.25">
      <c r="A90" s="215" t="s">
        <v>853</v>
      </c>
      <c r="B90" s="24" t="s">
        <v>125</v>
      </c>
      <c r="C90" s="24" t="s">
        <v>157</v>
      </c>
      <c r="D90" s="7" t="s">
        <v>860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6" t="s">
        <v>172</v>
      </c>
      <c r="B91" s="20" t="s">
        <v>125</v>
      </c>
      <c r="C91" s="20" t="s">
        <v>157</v>
      </c>
      <c r="D91" s="40" t="s">
        <v>852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134</v>
      </c>
      <c r="B92" s="20" t="s">
        <v>125</v>
      </c>
      <c r="C92" s="20" t="s">
        <v>157</v>
      </c>
      <c r="D92" s="40" t="s">
        <v>852</v>
      </c>
      <c r="E92" s="20" t="s">
        <v>135</v>
      </c>
      <c r="F92" s="6">
        <f>F93</f>
        <v>37</v>
      </c>
      <c r="G92" s="6">
        <f>G93</f>
        <v>37</v>
      </c>
    </row>
    <row r="93" spans="1:7" ht="31.5" x14ac:dyDescent="0.25">
      <c r="A93" s="25" t="s">
        <v>136</v>
      </c>
      <c r="B93" s="20" t="s">
        <v>125</v>
      </c>
      <c r="C93" s="20" t="s">
        <v>157</v>
      </c>
      <c r="D93" s="40" t="s">
        <v>852</v>
      </c>
      <c r="E93" s="20" t="s">
        <v>137</v>
      </c>
      <c r="F93" s="6">
        <f>'пр.6.1.ведом.22-23'!G97</f>
        <v>37</v>
      </c>
      <c r="G93" s="6">
        <f>'пр.6.1.ведом.22-23'!H97</f>
        <v>37</v>
      </c>
    </row>
    <row r="94" spans="1:7" ht="31.5" x14ac:dyDescent="0.25">
      <c r="A94" s="25" t="s">
        <v>138</v>
      </c>
      <c r="B94" s="20" t="s">
        <v>125</v>
      </c>
      <c r="C94" s="20" t="s">
        <v>157</v>
      </c>
      <c r="D94" s="40" t="s">
        <v>852</v>
      </c>
      <c r="E94" s="20" t="s">
        <v>139</v>
      </c>
      <c r="F94" s="6">
        <f>F95</f>
        <v>40</v>
      </c>
      <c r="G94" s="6">
        <f>G95</f>
        <v>40</v>
      </c>
    </row>
    <row r="95" spans="1:7" ht="47.25" x14ac:dyDescent="0.25">
      <c r="A95" s="25" t="s">
        <v>140</v>
      </c>
      <c r="B95" s="20" t="s">
        <v>125</v>
      </c>
      <c r="C95" s="20" t="s">
        <v>157</v>
      </c>
      <c r="D95" s="40" t="s">
        <v>852</v>
      </c>
      <c r="E95" s="20" t="s">
        <v>141</v>
      </c>
      <c r="F95" s="6">
        <f>'пр.6.1.ведом.22-23'!G99</f>
        <v>40</v>
      </c>
      <c r="G95" s="6">
        <f>'пр.6.1.ведом.22-23'!H99</f>
        <v>40</v>
      </c>
    </row>
    <row r="96" spans="1:7" s="202" customFormat="1" ht="47.25" hidden="1" x14ac:dyDescent="0.25">
      <c r="A96" s="31" t="s">
        <v>1105</v>
      </c>
      <c r="B96" s="20" t="s">
        <v>125</v>
      </c>
      <c r="C96" s="20" t="s">
        <v>157</v>
      </c>
      <c r="D96" s="40" t="s">
        <v>1003</v>
      </c>
      <c r="E96" s="20"/>
      <c r="F96" s="26">
        <f>F97</f>
        <v>0</v>
      </c>
      <c r="G96" s="26">
        <f>G97</f>
        <v>0</v>
      </c>
    </row>
    <row r="97" spans="1:8" s="202" customFormat="1" ht="31.5" hidden="1" x14ac:dyDescent="0.25">
      <c r="A97" s="25" t="s">
        <v>138</v>
      </c>
      <c r="B97" s="20" t="s">
        <v>125</v>
      </c>
      <c r="C97" s="20" t="s">
        <v>157</v>
      </c>
      <c r="D97" s="40" t="s">
        <v>1003</v>
      </c>
      <c r="E97" s="20" t="s">
        <v>139</v>
      </c>
      <c r="F97" s="26">
        <f>F98</f>
        <v>0</v>
      </c>
      <c r="G97" s="26">
        <f>G98</f>
        <v>0</v>
      </c>
    </row>
    <row r="98" spans="1:8" s="202" customFormat="1" ht="47.25" hidden="1" x14ac:dyDescent="0.25">
      <c r="A98" s="25" t="s">
        <v>140</v>
      </c>
      <c r="B98" s="20" t="s">
        <v>125</v>
      </c>
      <c r="C98" s="20" t="s">
        <v>157</v>
      </c>
      <c r="D98" s="40" t="s">
        <v>704</v>
      </c>
      <c r="E98" s="20" t="s">
        <v>141</v>
      </c>
      <c r="F98" s="26">
        <f>'пр.6.1.ведом.22-23'!G102</f>
        <v>0</v>
      </c>
      <c r="G98" s="26">
        <f>'пр.6.1.ведом.22-23'!H102</f>
        <v>0</v>
      </c>
    </row>
    <row r="99" spans="1:8" s="202" customFormat="1" ht="63" hidden="1" x14ac:dyDescent="0.25">
      <c r="A99" s="31" t="s">
        <v>703</v>
      </c>
      <c r="B99" s="20" t="s">
        <v>125</v>
      </c>
      <c r="C99" s="20" t="s">
        <v>157</v>
      </c>
      <c r="D99" s="20" t="s">
        <v>1002</v>
      </c>
      <c r="E99" s="20"/>
      <c r="F99" s="26">
        <f>F100</f>
        <v>0</v>
      </c>
      <c r="G99" s="26">
        <f>G100</f>
        <v>0</v>
      </c>
    </row>
    <row r="100" spans="1:8" s="202" customFormat="1" ht="31.5" hidden="1" x14ac:dyDescent="0.25">
      <c r="A100" s="25" t="s">
        <v>138</v>
      </c>
      <c r="B100" s="20" t="s">
        <v>125</v>
      </c>
      <c r="C100" s="20" t="s">
        <v>157</v>
      </c>
      <c r="D100" s="20" t="s">
        <v>1002</v>
      </c>
      <c r="E100" s="20" t="s">
        <v>139</v>
      </c>
      <c r="F100" s="26">
        <f>F101</f>
        <v>0</v>
      </c>
      <c r="G100" s="26">
        <f>G101</f>
        <v>0</v>
      </c>
    </row>
    <row r="101" spans="1:8" s="202" customFormat="1" ht="47.25" hidden="1" x14ac:dyDescent="0.25">
      <c r="A101" s="25" t="s">
        <v>140</v>
      </c>
      <c r="B101" s="20" t="s">
        <v>125</v>
      </c>
      <c r="C101" s="20" t="s">
        <v>157</v>
      </c>
      <c r="D101" s="20" t="s">
        <v>1002</v>
      </c>
      <c r="E101" s="20" t="s">
        <v>141</v>
      </c>
      <c r="F101" s="26">
        <f>'пр.6.1.ведом.22-23'!G105</f>
        <v>0</v>
      </c>
      <c r="G101" s="26">
        <f>'пр.6.1.ведом.22-23'!H105</f>
        <v>0</v>
      </c>
    </row>
    <row r="102" spans="1:8" ht="62.45" customHeight="1" x14ac:dyDescent="0.25">
      <c r="A102" s="216" t="s">
        <v>1013</v>
      </c>
      <c r="B102" s="24" t="s">
        <v>125</v>
      </c>
      <c r="C102" s="24" t="s">
        <v>157</v>
      </c>
      <c r="D102" s="7" t="s">
        <v>861</v>
      </c>
      <c r="E102" s="24"/>
      <c r="F102" s="4">
        <f t="shared" ref="F102:G104" si="4">F103</f>
        <v>0.5</v>
      </c>
      <c r="G102" s="4">
        <f t="shared" si="4"/>
        <v>0.5</v>
      </c>
    </row>
    <row r="103" spans="1:8" ht="47.25" x14ac:dyDescent="0.25">
      <c r="A103" s="33" t="s">
        <v>198</v>
      </c>
      <c r="B103" s="20" t="s">
        <v>125</v>
      </c>
      <c r="C103" s="20" t="s">
        <v>157</v>
      </c>
      <c r="D103" s="40" t="s">
        <v>854</v>
      </c>
      <c r="E103" s="20"/>
      <c r="F103" s="6">
        <f t="shared" si="4"/>
        <v>0.5</v>
      </c>
      <c r="G103" s="6">
        <f t="shared" si="4"/>
        <v>0.5</v>
      </c>
    </row>
    <row r="104" spans="1:8" ht="31.5" x14ac:dyDescent="0.25">
      <c r="A104" s="25" t="s">
        <v>138</v>
      </c>
      <c r="B104" s="20" t="s">
        <v>125</v>
      </c>
      <c r="C104" s="20" t="s">
        <v>157</v>
      </c>
      <c r="D104" s="40" t="s">
        <v>854</v>
      </c>
      <c r="E104" s="20" t="s">
        <v>139</v>
      </c>
      <c r="F104" s="6">
        <f t="shared" si="4"/>
        <v>0.5</v>
      </c>
      <c r="G104" s="6">
        <f t="shared" si="4"/>
        <v>0.5</v>
      </c>
    </row>
    <row r="105" spans="1:8" ht="47.25" x14ac:dyDescent="0.25">
      <c r="A105" s="25" t="s">
        <v>140</v>
      </c>
      <c r="B105" s="20" t="s">
        <v>125</v>
      </c>
      <c r="C105" s="20" t="s">
        <v>157</v>
      </c>
      <c r="D105" s="40" t="s">
        <v>854</v>
      </c>
      <c r="E105" s="20" t="s">
        <v>141</v>
      </c>
      <c r="F105" s="6">
        <f>'пр.6.1.ведом.22-23'!G109</f>
        <v>0.5</v>
      </c>
      <c r="G105" s="6">
        <f>'пр.6.1.ведом.22-23'!H109</f>
        <v>0.5</v>
      </c>
    </row>
    <row r="106" spans="1:8" ht="63" x14ac:dyDescent="0.25">
      <c r="A106" s="41" t="s">
        <v>126</v>
      </c>
      <c r="B106" s="7" t="s">
        <v>125</v>
      </c>
      <c r="C106" s="7" t="s">
        <v>127</v>
      </c>
      <c r="D106" s="7"/>
      <c r="E106" s="7"/>
      <c r="F106" s="4">
        <f t="shared" ref="F106:G106" si="5">F107</f>
        <v>16636.7</v>
      </c>
      <c r="G106" s="4">
        <f t="shared" si="5"/>
        <v>16636.7</v>
      </c>
      <c r="H106" s="227">
        <f>'пр.6.1.ведом.22-23'!H113+'пр.6.1.ведом.22-23'!H12+'пр.6.1.ведом.22-23'!H1083</f>
        <v>16636.7</v>
      </c>
    </row>
    <row r="107" spans="1:8" ht="31.5" x14ac:dyDescent="0.25">
      <c r="A107" s="23" t="s">
        <v>927</v>
      </c>
      <c r="B107" s="7" t="s">
        <v>125</v>
      </c>
      <c r="C107" s="7" t="s">
        <v>127</v>
      </c>
      <c r="D107" s="7" t="s">
        <v>868</v>
      </c>
      <c r="E107" s="7"/>
      <c r="F107" s="4">
        <f>F117+F108</f>
        <v>16636.7</v>
      </c>
      <c r="G107" s="4">
        <f>G117+G108</f>
        <v>16636.7</v>
      </c>
    </row>
    <row r="108" spans="1:8" ht="31.5" x14ac:dyDescent="0.25">
      <c r="A108" s="23" t="s">
        <v>996</v>
      </c>
      <c r="B108" s="7" t="s">
        <v>125</v>
      </c>
      <c r="C108" s="7" t="s">
        <v>127</v>
      </c>
      <c r="D108" s="7" t="s">
        <v>997</v>
      </c>
      <c r="E108" s="7"/>
      <c r="F108" s="4">
        <f>F109+F114</f>
        <v>1798.5</v>
      </c>
      <c r="G108" s="4">
        <f>G109+G114</f>
        <v>1798.5</v>
      </c>
    </row>
    <row r="109" spans="1:8" ht="31.5" x14ac:dyDescent="0.25">
      <c r="A109" s="25" t="s">
        <v>907</v>
      </c>
      <c r="B109" s="20" t="s">
        <v>125</v>
      </c>
      <c r="C109" s="20" t="s">
        <v>127</v>
      </c>
      <c r="D109" s="20" t="s">
        <v>1001</v>
      </c>
      <c r="E109" s="20"/>
      <c r="F109" s="6">
        <f>F110+F112</f>
        <v>1752.5</v>
      </c>
      <c r="G109" s="6">
        <f>G110+G112</f>
        <v>1752.5</v>
      </c>
    </row>
    <row r="110" spans="1:8" ht="94.5" x14ac:dyDescent="0.25">
      <c r="A110" s="25" t="s">
        <v>134</v>
      </c>
      <c r="B110" s="20" t="s">
        <v>125</v>
      </c>
      <c r="C110" s="20" t="s">
        <v>127</v>
      </c>
      <c r="D110" s="20" t="s">
        <v>1001</v>
      </c>
      <c r="E110" s="20" t="s">
        <v>135</v>
      </c>
      <c r="F110" s="6">
        <f>F111</f>
        <v>1734.5</v>
      </c>
      <c r="G110" s="6">
        <f>G111</f>
        <v>1734.5</v>
      </c>
    </row>
    <row r="111" spans="1:8" ht="31.5" x14ac:dyDescent="0.25">
      <c r="A111" s="25" t="s">
        <v>136</v>
      </c>
      <c r="B111" s="20" t="s">
        <v>125</v>
      </c>
      <c r="C111" s="20" t="s">
        <v>127</v>
      </c>
      <c r="D111" s="20" t="s">
        <v>1001</v>
      </c>
      <c r="E111" s="20" t="s">
        <v>137</v>
      </c>
      <c r="F111" s="6">
        <f>'пр.6.1.ведом.22-23'!G1088</f>
        <v>1734.5</v>
      </c>
      <c r="G111" s="6">
        <f>'пр.6.1.ведом.22-23'!H1088</f>
        <v>1734.5</v>
      </c>
    </row>
    <row r="112" spans="1:8" ht="47.25" x14ac:dyDescent="0.25">
      <c r="A112" s="25" t="s">
        <v>205</v>
      </c>
      <c r="B112" s="20" t="s">
        <v>125</v>
      </c>
      <c r="C112" s="20" t="s">
        <v>127</v>
      </c>
      <c r="D112" s="20" t="s">
        <v>1001</v>
      </c>
      <c r="E112" s="20" t="s">
        <v>139</v>
      </c>
      <c r="F112" s="6">
        <f>F113</f>
        <v>18</v>
      </c>
      <c r="G112" s="6">
        <f>G113</f>
        <v>18</v>
      </c>
    </row>
    <row r="113" spans="1:7" ht="47.25" x14ac:dyDescent="0.25">
      <c r="A113" s="25" t="s">
        <v>140</v>
      </c>
      <c r="B113" s="20" t="s">
        <v>125</v>
      </c>
      <c r="C113" s="20" t="s">
        <v>127</v>
      </c>
      <c r="D113" s="20" t="s">
        <v>1001</v>
      </c>
      <c r="E113" s="20" t="s">
        <v>141</v>
      </c>
      <c r="F113" s="6">
        <f>'пр.6.1.ведом.22-23'!G1090</f>
        <v>18</v>
      </c>
      <c r="G113" s="6">
        <f>'пр.6.1.ведом.22-23'!H1090</f>
        <v>18</v>
      </c>
    </row>
    <row r="114" spans="1:7" ht="47.25" x14ac:dyDescent="0.25">
      <c r="A114" s="25" t="s">
        <v>849</v>
      </c>
      <c r="B114" s="20" t="s">
        <v>125</v>
      </c>
      <c r="C114" s="20" t="s">
        <v>127</v>
      </c>
      <c r="D114" s="20" t="s">
        <v>999</v>
      </c>
      <c r="E114" s="20"/>
      <c r="F114" s="6">
        <f>F115</f>
        <v>46</v>
      </c>
      <c r="G114" s="6">
        <f>G115</f>
        <v>46</v>
      </c>
    </row>
    <row r="115" spans="1:7" ht="94.5" x14ac:dyDescent="0.25">
      <c r="A115" s="25" t="s">
        <v>134</v>
      </c>
      <c r="B115" s="20" t="s">
        <v>125</v>
      </c>
      <c r="C115" s="20" t="s">
        <v>127</v>
      </c>
      <c r="D115" s="20" t="s">
        <v>999</v>
      </c>
      <c r="E115" s="20" t="s">
        <v>135</v>
      </c>
      <c r="F115" s="6">
        <f>F116</f>
        <v>46</v>
      </c>
      <c r="G115" s="6">
        <f>G116</f>
        <v>46</v>
      </c>
    </row>
    <row r="116" spans="1:7" ht="31.5" x14ac:dyDescent="0.25">
      <c r="A116" s="25" t="s">
        <v>136</v>
      </c>
      <c r="B116" s="20" t="s">
        <v>125</v>
      </c>
      <c r="C116" s="20" t="s">
        <v>127</v>
      </c>
      <c r="D116" s="20" t="s">
        <v>999</v>
      </c>
      <c r="E116" s="20" t="s">
        <v>137</v>
      </c>
      <c r="F116" s="6">
        <f>'пр.6.1.ведом.22-23'!G1093</f>
        <v>46</v>
      </c>
      <c r="G116" s="6">
        <f>'пр.6.1.ведом.22-23'!H1093</f>
        <v>46</v>
      </c>
    </row>
    <row r="117" spans="1:7" ht="15.75" x14ac:dyDescent="0.25">
      <c r="A117" s="23" t="s">
        <v>928</v>
      </c>
      <c r="B117" s="7" t="s">
        <v>125</v>
      </c>
      <c r="C117" s="7" t="s">
        <v>127</v>
      </c>
      <c r="D117" s="7" t="s">
        <v>869</v>
      </c>
      <c r="E117" s="7"/>
      <c r="F117" s="4">
        <f>F118+F125</f>
        <v>14838.2</v>
      </c>
      <c r="G117" s="4">
        <f>G118+G125</f>
        <v>14838.2</v>
      </c>
    </row>
    <row r="118" spans="1:7" ht="31.5" x14ac:dyDescent="0.25">
      <c r="A118" s="29" t="s">
        <v>907</v>
      </c>
      <c r="B118" s="40" t="s">
        <v>125</v>
      </c>
      <c r="C118" s="40" t="s">
        <v>127</v>
      </c>
      <c r="D118" s="40" t="s">
        <v>870</v>
      </c>
      <c r="E118" s="40"/>
      <c r="F118" s="6">
        <f>F119+F121+F123</f>
        <v>14372.2</v>
      </c>
      <c r="G118" s="6">
        <f>G119+G121+G123</f>
        <v>14372.2</v>
      </c>
    </row>
    <row r="119" spans="1:7" ht="94.5" x14ac:dyDescent="0.25">
      <c r="A119" s="29" t="s">
        <v>134</v>
      </c>
      <c r="B119" s="40" t="s">
        <v>125</v>
      </c>
      <c r="C119" s="40" t="s">
        <v>127</v>
      </c>
      <c r="D119" s="40" t="s">
        <v>870</v>
      </c>
      <c r="E119" s="40" t="s">
        <v>135</v>
      </c>
      <c r="F119" s="6">
        <f>F120</f>
        <v>13367.2</v>
      </c>
      <c r="G119" s="6">
        <f>G120</f>
        <v>13367.2</v>
      </c>
    </row>
    <row r="120" spans="1:7" ht="31.5" x14ac:dyDescent="0.25">
      <c r="A120" s="29" t="s">
        <v>136</v>
      </c>
      <c r="B120" s="40" t="s">
        <v>125</v>
      </c>
      <c r="C120" s="40" t="s">
        <v>127</v>
      </c>
      <c r="D120" s="40" t="s">
        <v>870</v>
      </c>
      <c r="E120" s="40" t="s">
        <v>137</v>
      </c>
      <c r="F120" s="6">
        <f>'пр.6.1.ведом.22-23'!G118+'пр.6.1.ведом.22-23'!G17</f>
        <v>13367.2</v>
      </c>
      <c r="G120" s="6">
        <f>'пр.6.1.ведом.22-23'!H118+'пр.6.1.ведом.22-23'!H17</f>
        <v>13367.2</v>
      </c>
    </row>
    <row r="121" spans="1:7" ht="31.5" x14ac:dyDescent="0.25">
      <c r="A121" s="29" t="s">
        <v>138</v>
      </c>
      <c r="B121" s="40" t="s">
        <v>125</v>
      </c>
      <c r="C121" s="40" t="s">
        <v>127</v>
      </c>
      <c r="D121" s="40" t="s">
        <v>870</v>
      </c>
      <c r="E121" s="40" t="s">
        <v>139</v>
      </c>
      <c r="F121" s="6">
        <f>F122</f>
        <v>977</v>
      </c>
      <c r="G121" s="6">
        <f>G122</f>
        <v>977</v>
      </c>
    </row>
    <row r="122" spans="1:7" ht="47.25" x14ac:dyDescent="0.25">
      <c r="A122" s="29" t="s">
        <v>140</v>
      </c>
      <c r="B122" s="40" t="s">
        <v>125</v>
      </c>
      <c r="C122" s="40" t="s">
        <v>127</v>
      </c>
      <c r="D122" s="40" t="s">
        <v>870</v>
      </c>
      <c r="E122" s="40" t="s">
        <v>141</v>
      </c>
      <c r="F122" s="6">
        <f>'пр.6.1.ведом.22-23'!G19</f>
        <v>977</v>
      </c>
      <c r="G122" s="6">
        <f>'пр.6.1.ведом.22-23'!H19</f>
        <v>977</v>
      </c>
    </row>
    <row r="123" spans="1:7" ht="15.75" x14ac:dyDescent="0.25">
      <c r="A123" s="29" t="s">
        <v>142</v>
      </c>
      <c r="B123" s="40" t="s">
        <v>125</v>
      </c>
      <c r="C123" s="40" t="s">
        <v>127</v>
      </c>
      <c r="D123" s="40" t="s">
        <v>870</v>
      </c>
      <c r="E123" s="40" t="s">
        <v>152</v>
      </c>
      <c r="F123" s="6">
        <f>F124</f>
        <v>28</v>
      </c>
      <c r="G123" s="6">
        <f>G124</f>
        <v>28</v>
      </c>
    </row>
    <row r="124" spans="1:7" ht="15.75" x14ac:dyDescent="0.25">
      <c r="A124" s="29" t="s">
        <v>575</v>
      </c>
      <c r="B124" s="40" t="s">
        <v>125</v>
      </c>
      <c r="C124" s="40" t="s">
        <v>127</v>
      </c>
      <c r="D124" s="40" t="s">
        <v>870</v>
      </c>
      <c r="E124" s="40" t="s">
        <v>145</v>
      </c>
      <c r="F124" s="6">
        <f>'пр.6.1.ведом.22-23'!G21</f>
        <v>28</v>
      </c>
      <c r="G124" s="6">
        <f>'пр.6.1.ведом.22-23'!H21</f>
        <v>28</v>
      </c>
    </row>
    <row r="125" spans="1:7" ht="47.25" x14ac:dyDescent="0.25">
      <c r="A125" s="25" t="s">
        <v>849</v>
      </c>
      <c r="B125" s="20" t="s">
        <v>125</v>
      </c>
      <c r="C125" s="20" t="s">
        <v>127</v>
      </c>
      <c r="D125" s="20" t="s">
        <v>872</v>
      </c>
      <c r="E125" s="20"/>
      <c r="F125" s="6">
        <f>F126</f>
        <v>466</v>
      </c>
      <c r="G125" s="6">
        <f>G126</f>
        <v>466</v>
      </c>
    </row>
    <row r="126" spans="1:7" ht="94.5" x14ac:dyDescent="0.25">
      <c r="A126" s="25" t="s">
        <v>134</v>
      </c>
      <c r="B126" s="20" t="s">
        <v>125</v>
      </c>
      <c r="C126" s="20" t="s">
        <v>127</v>
      </c>
      <c r="D126" s="20" t="s">
        <v>872</v>
      </c>
      <c r="E126" s="20" t="s">
        <v>135</v>
      </c>
      <c r="F126" s="6">
        <f>F127</f>
        <v>466</v>
      </c>
      <c r="G126" s="6">
        <f>G127</f>
        <v>466</v>
      </c>
    </row>
    <row r="127" spans="1:7" ht="31.5" x14ac:dyDescent="0.25">
      <c r="A127" s="25" t="s">
        <v>136</v>
      </c>
      <c r="B127" s="20" t="s">
        <v>125</v>
      </c>
      <c r="C127" s="20" t="s">
        <v>127</v>
      </c>
      <c r="D127" s="20" t="s">
        <v>872</v>
      </c>
      <c r="E127" s="20" t="s">
        <v>137</v>
      </c>
      <c r="F127" s="6">
        <f>'пр.6.1.ведом.22-23'!G24+'пр.6.1.ведом.22-23'!G121</f>
        <v>466</v>
      </c>
      <c r="G127" s="6">
        <f>'пр.6.1.ведом.22-23'!H24+'пр.6.1.ведом.22-23'!H121</f>
        <v>466</v>
      </c>
    </row>
    <row r="128" spans="1:7" s="202" customFormat="1" ht="15.75" hidden="1" customHeight="1" x14ac:dyDescent="0.25">
      <c r="A128" s="23" t="s">
        <v>1161</v>
      </c>
      <c r="B128" s="24" t="s">
        <v>125</v>
      </c>
      <c r="C128" s="24" t="s">
        <v>271</v>
      </c>
      <c r="D128" s="24"/>
      <c r="E128" s="20"/>
      <c r="F128" s="21">
        <f t="shared" ref="F128:G130" si="6">F129</f>
        <v>0</v>
      </c>
      <c r="G128" s="21">
        <f t="shared" si="6"/>
        <v>0</v>
      </c>
    </row>
    <row r="129" spans="1:8" s="202" customFormat="1" ht="15.75" hidden="1" customHeight="1" x14ac:dyDescent="0.25">
      <c r="A129" s="23" t="s">
        <v>148</v>
      </c>
      <c r="B129" s="24" t="s">
        <v>125</v>
      </c>
      <c r="C129" s="24" t="s">
        <v>271</v>
      </c>
      <c r="D129" s="24" t="s">
        <v>876</v>
      </c>
      <c r="E129" s="20"/>
      <c r="F129" s="21">
        <f t="shared" si="6"/>
        <v>0</v>
      </c>
      <c r="G129" s="21">
        <f t="shared" si="6"/>
        <v>0</v>
      </c>
    </row>
    <row r="130" spans="1:8" s="202" customFormat="1" ht="31.7" hidden="1" customHeight="1" x14ac:dyDescent="0.25">
      <c r="A130" s="23" t="s">
        <v>880</v>
      </c>
      <c r="B130" s="24" t="s">
        <v>125</v>
      </c>
      <c r="C130" s="24" t="s">
        <v>271</v>
      </c>
      <c r="D130" s="24" t="s">
        <v>875</v>
      </c>
      <c r="E130" s="20"/>
      <c r="F130" s="21">
        <f t="shared" si="6"/>
        <v>0</v>
      </c>
      <c r="G130" s="21">
        <f t="shared" si="6"/>
        <v>0</v>
      </c>
    </row>
    <row r="131" spans="1:8" s="202" customFormat="1" ht="31.7" hidden="1" customHeight="1" x14ac:dyDescent="0.25">
      <c r="A131" s="45" t="s">
        <v>206</v>
      </c>
      <c r="B131" s="20" t="s">
        <v>125</v>
      </c>
      <c r="C131" s="20" t="s">
        <v>271</v>
      </c>
      <c r="D131" s="20" t="s">
        <v>1160</v>
      </c>
      <c r="E131" s="20"/>
      <c r="F131" s="26">
        <f>F132+F134</f>
        <v>0</v>
      </c>
      <c r="G131" s="26">
        <f>G132+G134</f>
        <v>0</v>
      </c>
    </row>
    <row r="132" spans="1:8" s="202" customFormat="1" ht="94.7" hidden="1" customHeight="1" x14ac:dyDescent="0.25">
      <c r="A132" s="25" t="s">
        <v>134</v>
      </c>
      <c r="B132" s="20" t="s">
        <v>125</v>
      </c>
      <c r="C132" s="20" t="s">
        <v>271</v>
      </c>
      <c r="D132" s="20" t="s">
        <v>1160</v>
      </c>
      <c r="E132" s="20" t="s">
        <v>135</v>
      </c>
      <c r="F132" s="26">
        <f>F133</f>
        <v>0</v>
      </c>
      <c r="G132" s="26">
        <f>G133</f>
        <v>0</v>
      </c>
    </row>
    <row r="133" spans="1:8" s="202" customFormat="1" ht="47.25" hidden="1" customHeight="1" x14ac:dyDescent="0.25">
      <c r="A133" s="25" t="s">
        <v>136</v>
      </c>
      <c r="B133" s="20" t="s">
        <v>125</v>
      </c>
      <c r="C133" s="20" t="s">
        <v>271</v>
      </c>
      <c r="D133" s="20" t="s">
        <v>1160</v>
      </c>
      <c r="E133" s="20" t="s">
        <v>137</v>
      </c>
      <c r="F133" s="26">
        <f>'пр.6.1.ведом.22-23'!G127</f>
        <v>0</v>
      </c>
      <c r="G133" s="26">
        <f>'пр.6.1.ведом.22-23'!H127</f>
        <v>0</v>
      </c>
    </row>
    <row r="134" spans="1:8" s="202" customFormat="1" ht="47.25" hidden="1" customHeight="1" x14ac:dyDescent="0.25">
      <c r="A134" s="25" t="s">
        <v>205</v>
      </c>
      <c r="B134" s="20" t="s">
        <v>125</v>
      </c>
      <c r="C134" s="20" t="s">
        <v>271</v>
      </c>
      <c r="D134" s="20" t="s">
        <v>1160</v>
      </c>
      <c r="E134" s="20" t="s">
        <v>139</v>
      </c>
      <c r="F134" s="26">
        <f>F135</f>
        <v>0</v>
      </c>
      <c r="G134" s="26">
        <f>G135</f>
        <v>0</v>
      </c>
    </row>
    <row r="135" spans="1:8" s="202" customFormat="1" ht="47.25" hidden="1" customHeight="1" x14ac:dyDescent="0.25">
      <c r="A135" s="25" t="s">
        <v>140</v>
      </c>
      <c r="B135" s="20" t="s">
        <v>125</v>
      </c>
      <c r="C135" s="20" t="s">
        <v>271</v>
      </c>
      <c r="D135" s="20" t="s">
        <v>1160</v>
      </c>
      <c r="E135" s="20" t="s">
        <v>141</v>
      </c>
      <c r="F135" s="26">
        <f>'пр.6.1.ведом.22-23'!G129</f>
        <v>0</v>
      </c>
      <c r="G135" s="26">
        <f>'пр.6.1.ведом.22-23'!H129</f>
        <v>0</v>
      </c>
    </row>
    <row r="136" spans="1:8" ht="15.75" x14ac:dyDescent="0.25">
      <c r="A136" s="41" t="s">
        <v>146</v>
      </c>
      <c r="B136" s="7" t="s">
        <v>125</v>
      </c>
      <c r="C136" s="7" t="s">
        <v>147</v>
      </c>
      <c r="D136" s="7"/>
      <c r="E136" s="7"/>
      <c r="F136" s="4">
        <f>F137+F168+F182+F199+F208+F213+F218+F177</f>
        <v>52818.200000000004</v>
      </c>
      <c r="G136" s="4">
        <f>G137+G168+G182+G199+G208+G213+G218+G177</f>
        <v>53161.200000000004</v>
      </c>
    </row>
    <row r="137" spans="1:8" ht="15.75" x14ac:dyDescent="0.25">
      <c r="A137" s="23" t="s">
        <v>148</v>
      </c>
      <c r="B137" s="24" t="s">
        <v>125</v>
      </c>
      <c r="C137" s="24" t="s">
        <v>147</v>
      </c>
      <c r="D137" s="24" t="s">
        <v>876</v>
      </c>
      <c r="E137" s="24"/>
      <c r="F137" s="4">
        <f>F138+F149+F159</f>
        <v>52313.200000000004</v>
      </c>
      <c r="G137" s="4">
        <f>G138+G149+G159</f>
        <v>52313.200000000004</v>
      </c>
    </row>
    <row r="138" spans="1:8" ht="15.75" x14ac:dyDescent="0.25">
      <c r="A138" s="23" t="s">
        <v>964</v>
      </c>
      <c r="B138" s="24" t="s">
        <v>125</v>
      </c>
      <c r="C138" s="24" t="s">
        <v>147</v>
      </c>
      <c r="D138" s="24" t="s">
        <v>963</v>
      </c>
      <c r="E138" s="24"/>
      <c r="F138" s="368">
        <f>F142+F139</f>
        <v>41282.100000000006</v>
      </c>
      <c r="G138" s="368">
        <f>G142+G139</f>
        <v>41282.100000000006</v>
      </c>
    </row>
    <row r="139" spans="1:8" ht="47.25" x14ac:dyDescent="0.25">
      <c r="A139" s="25" t="s">
        <v>849</v>
      </c>
      <c r="B139" s="20" t="s">
        <v>125</v>
      </c>
      <c r="C139" s="20" t="s">
        <v>147</v>
      </c>
      <c r="D139" s="20" t="s">
        <v>966</v>
      </c>
      <c r="E139" s="20"/>
      <c r="F139" s="6">
        <f>F140</f>
        <v>1072</v>
      </c>
      <c r="G139" s="6">
        <f>G140</f>
        <v>1072</v>
      </c>
      <c r="H139" s="227">
        <f>F139+F142</f>
        <v>41282.100000000006</v>
      </c>
    </row>
    <row r="140" spans="1:8" ht="94.5" x14ac:dyDescent="0.25">
      <c r="A140" s="25" t="s">
        <v>134</v>
      </c>
      <c r="B140" s="20" t="s">
        <v>125</v>
      </c>
      <c r="C140" s="20" t="s">
        <v>147</v>
      </c>
      <c r="D140" s="20" t="s">
        <v>966</v>
      </c>
      <c r="E140" s="20" t="s">
        <v>135</v>
      </c>
      <c r="F140" s="6">
        <f>F141</f>
        <v>1072</v>
      </c>
      <c r="G140" s="6">
        <f>G141</f>
        <v>1072</v>
      </c>
    </row>
    <row r="141" spans="1:8" ht="31.5" x14ac:dyDescent="0.25">
      <c r="A141" s="25" t="s">
        <v>136</v>
      </c>
      <c r="B141" s="20" t="s">
        <v>125</v>
      </c>
      <c r="C141" s="20" t="s">
        <v>147</v>
      </c>
      <c r="D141" s="20" t="s">
        <v>966</v>
      </c>
      <c r="E141" s="20" t="s">
        <v>216</v>
      </c>
      <c r="F141" s="6">
        <f>'пр.6.1.ведом.22-23'!G838</f>
        <v>1072</v>
      </c>
      <c r="G141" s="6">
        <f>'пр.6.1.ведом.22-23'!H838</f>
        <v>1072</v>
      </c>
    </row>
    <row r="142" spans="1:8" ht="31.5" x14ac:dyDescent="0.25">
      <c r="A142" s="25" t="s">
        <v>811</v>
      </c>
      <c r="B142" s="20" t="s">
        <v>125</v>
      </c>
      <c r="C142" s="20" t="s">
        <v>147</v>
      </c>
      <c r="D142" s="20" t="s">
        <v>965</v>
      </c>
      <c r="E142" s="20"/>
      <c r="F142" s="6">
        <f>F143+F145+F147</f>
        <v>40210.100000000006</v>
      </c>
      <c r="G142" s="6">
        <f>G143+G145+G147</f>
        <v>40210.100000000006</v>
      </c>
    </row>
    <row r="143" spans="1:8" ht="94.5" x14ac:dyDescent="0.25">
      <c r="A143" s="25" t="s">
        <v>134</v>
      </c>
      <c r="B143" s="20" t="s">
        <v>125</v>
      </c>
      <c r="C143" s="20" t="s">
        <v>147</v>
      </c>
      <c r="D143" s="20" t="s">
        <v>965</v>
      </c>
      <c r="E143" s="20" t="s">
        <v>135</v>
      </c>
      <c r="F143" s="6">
        <f>F144</f>
        <v>32825.800000000003</v>
      </c>
      <c r="G143" s="6">
        <f>G144</f>
        <v>32825.800000000003</v>
      </c>
    </row>
    <row r="144" spans="1:8" ht="31.5" x14ac:dyDescent="0.25">
      <c r="A144" s="46" t="s">
        <v>349</v>
      </c>
      <c r="B144" s="20" t="s">
        <v>125</v>
      </c>
      <c r="C144" s="20" t="s">
        <v>147</v>
      </c>
      <c r="D144" s="20" t="s">
        <v>965</v>
      </c>
      <c r="E144" s="20" t="s">
        <v>216</v>
      </c>
      <c r="F144" s="6">
        <f>'пр.6.1.ведом.22-23'!G841</f>
        <v>32825.800000000003</v>
      </c>
      <c r="G144" s="6">
        <f>'пр.6.1.ведом.22-23'!H841</f>
        <v>32825.800000000003</v>
      </c>
    </row>
    <row r="145" spans="1:8" ht="31.5" x14ac:dyDescent="0.25">
      <c r="A145" s="25" t="s">
        <v>138</v>
      </c>
      <c r="B145" s="20" t="s">
        <v>125</v>
      </c>
      <c r="C145" s="20" t="s">
        <v>147</v>
      </c>
      <c r="D145" s="20" t="s">
        <v>965</v>
      </c>
      <c r="E145" s="20" t="s">
        <v>139</v>
      </c>
      <c r="F145" s="6">
        <f>F146</f>
        <v>6963.3</v>
      </c>
      <c r="G145" s="6">
        <f>G146</f>
        <v>6963.3</v>
      </c>
    </row>
    <row r="146" spans="1:8" ht="47.25" x14ac:dyDescent="0.25">
      <c r="A146" s="25" t="s">
        <v>140</v>
      </c>
      <c r="B146" s="20" t="s">
        <v>125</v>
      </c>
      <c r="C146" s="20" t="s">
        <v>147</v>
      </c>
      <c r="D146" s="20" t="s">
        <v>965</v>
      </c>
      <c r="E146" s="20" t="s">
        <v>141</v>
      </c>
      <c r="F146" s="6">
        <f>'пр.6.1.ведом.22-23'!G843</f>
        <v>6963.3</v>
      </c>
      <c r="G146" s="6">
        <f>'пр.6.1.ведом.22-23'!H843</f>
        <v>6963.3</v>
      </c>
    </row>
    <row r="147" spans="1:8" ht="15.75" x14ac:dyDescent="0.25">
      <c r="A147" s="25" t="s">
        <v>142</v>
      </c>
      <c r="B147" s="20" t="s">
        <v>125</v>
      </c>
      <c r="C147" s="20" t="s">
        <v>147</v>
      </c>
      <c r="D147" s="20" t="s">
        <v>965</v>
      </c>
      <c r="E147" s="20" t="s">
        <v>152</v>
      </c>
      <c r="F147" s="6">
        <f>F148</f>
        <v>421</v>
      </c>
      <c r="G147" s="6">
        <f>G148</f>
        <v>421</v>
      </c>
    </row>
    <row r="148" spans="1:8" ht="15.75" x14ac:dyDescent="0.25">
      <c r="A148" s="25" t="s">
        <v>714</v>
      </c>
      <c r="B148" s="20" t="s">
        <v>125</v>
      </c>
      <c r="C148" s="20" t="s">
        <v>147</v>
      </c>
      <c r="D148" s="20" t="s">
        <v>965</v>
      </c>
      <c r="E148" s="20" t="s">
        <v>145</v>
      </c>
      <c r="F148" s="6">
        <f>'пр.6.1.ведом.22-23'!G845</f>
        <v>421</v>
      </c>
      <c r="G148" s="6">
        <f>'пр.6.1.ведом.22-23'!H845</f>
        <v>421</v>
      </c>
    </row>
    <row r="149" spans="1:8" ht="31.5" x14ac:dyDescent="0.25">
      <c r="A149" s="23" t="s">
        <v>880</v>
      </c>
      <c r="B149" s="24" t="s">
        <v>125</v>
      </c>
      <c r="C149" s="24" t="s">
        <v>147</v>
      </c>
      <c r="D149" s="24" t="s">
        <v>875</v>
      </c>
      <c r="E149" s="24"/>
      <c r="F149" s="4">
        <f>F150+F156</f>
        <v>5202.1000000000004</v>
      </c>
      <c r="G149" s="4">
        <f>G150+G156</f>
        <v>5202.1000000000004</v>
      </c>
    </row>
    <row r="150" spans="1:8" ht="47.25" x14ac:dyDescent="0.25">
      <c r="A150" s="25" t="s">
        <v>395</v>
      </c>
      <c r="B150" s="20" t="s">
        <v>125</v>
      </c>
      <c r="C150" s="20" t="s">
        <v>147</v>
      </c>
      <c r="D150" s="20" t="s">
        <v>1021</v>
      </c>
      <c r="E150" s="20"/>
      <c r="F150" s="6">
        <f>F151</f>
        <v>5202.1000000000004</v>
      </c>
      <c r="G150" s="6">
        <f>G151</f>
        <v>5202.1000000000004</v>
      </c>
    </row>
    <row r="151" spans="1:8" ht="31.5" x14ac:dyDescent="0.25">
      <c r="A151" s="25" t="s">
        <v>138</v>
      </c>
      <c r="B151" s="20" t="s">
        <v>125</v>
      </c>
      <c r="C151" s="20" t="s">
        <v>147</v>
      </c>
      <c r="D151" s="20" t="s">
        <v>1021</v>
      </c>
      <c r="E151" s="20" t="s">
        <v>139</v>
      </c>
      <c r="F151" s="6">
        <f>F152</f>
        <v>5202.1000000000004</v>
      </c>
      <c r="G151" s="6">
        <f>G152</f>
        <v>5202.1000000000004</v>
      </c>
    </row>
    <row r="152" spans="1:8" ht="47.25" x14ac:dyDescent="0.25">
      <c r="A152" s="25" t="s">
        <v>140</v>
      </c>
      <c r="B152" s="20" t="s">
        <v>125</v>
      </c>
      <c r="C152" s="20" t="s">
        <v>147</v>
      </c>
      <c r="D152" s="20" t="s">
        <v>1021</v>
      </c>
      <c r="E152" s="20" t="s">
        <v>141</v>
      </c>
      <c r="F152" s="6">
        <f>'пр.6.1.ведом.22-23'!G512</f>
        <v>5202.1000000000004</v>
      </c>
      <c r="G152" s="6">
        <f>'пр.6.1.ведом.22-23'!H512</f>
        <v>5202.1000000000004</v>
      </c>
    </row>
    <row r="153" spans="1:8" ht="47.25" hidden="1" x14ac:dyDescent="0.25">
      <c r="A153" s="25" t="s">
        <v>941</v>
      </c>
      <c r="B153" s="20" t="s">
        <v>125</v>
      </c>
      <c r="C153" s="20" t="s">
        <v>147</v>
      </c>
      <c r="D153" s="20" t="s">
        <v>1022</v>
      </c>
      <c r="E153" s="20"/>
      <c r="F153" s="6">
        <f>'Пр.3 Рд,пр, ЦС,ВР 21'!F157</f>
        <v>0</v>
      </c>
      <c r="G153" s="6">
        <f t="shared" ref="G153:G154" si="7">F153</f>
        <v>0</v>
      </c>
    </row>
    <row r="154" spans="1:8" ht="31.5" hidden="1" x14ac:dyDescent="0.25">
      <c r="A154" s="25" t="s">
        <v>138</v>
      </c>
      <c r="B154" s="20" t="s">
        <v>125</v>
      </c>
      <c r="C154" s="20" t="s">
        <v>147</v>
      </c>
      <c r="D154" s="20" t="s">
        <v>1022</v>
      </c>
      <c r="E154" s="20" t="s">
        <v>139</v>
      </c>
      <c r="F154" s="6">
        <f>'Пр.3 Рд,пр, ЦС,ВР 21'!F158</f>
        <v>0</v>
      </c>
      <c r="G154" s="6">
        <f t="shared" si="7"/>
        <v>0</v>
      </c>
    </row>
    <row r="155" spans="1:8" ht="47.25" hidden="1" x14ac:dyDescent="0.25">
      <c r="A155" s="25" t="s">
        <v>140</v>
      </c>
      <c r="B155" s="20" t="s">
        <v>125</v>
      </c>
      <c r="C155" s="20" t="s">
        <v>147</v>
      </c>
      <c r="D155" s="20" t="s">
        <v>1022</v>
      </c>
      <c r="E155" s="20" t="s">
        <v>141</v>
      </c>
      <c r="F155" s="6">
        <f>'Пр.3 Рд,пр, ЦС,ВР 21'!F159</f>
        <v>0</v>
      </c>
      <c r="G155" s="6">
        <f t="shared" ref="G155:G202" si="8">F155</f>
        <v>0</v>
      </c>
    </row>
    <row r="156" spans="1:8" s="202" customFormat="1" ht="15.75" hidden="1" x14ac:dyDescent="0.25">
      <c r="A156" s="25" t="s">
        <v>1151</v>
      </c>
      <c r="B156" s="20" t="s">
        <v>125</v>
      </c>
      <c r="C156" s="20" t="s">
        <v>147</v>
      </c>
      <c r="D156" s="20" t="s">
        <v>1152</v>
      </c>
      <c r="E156" s="20"/>
      <c r="F156" s="26">
        <f>F157</f>
        <v>0</v>
      </c>
      <c r="G156" s="26">
        <f>G157</f>
        <v>0</v>
      </c>
    </row>
    <row r="157" spans="1:8" s="202" customFormat="1" ht="15.75" hidden="1" x14ac:dyDescent="0.25">
      <c r="A157" s="25" t="s">
        <v>142</v>
      </c>
      <c r="B157" s="20" t="s">
        <v>125</v>
      </c>
      <c r="C157" s="20" t="s">
        <v>147</v>
      </c>
      <c r="D157" s="20" t="s">
        <v>1152</v>
      </c>
      <c r="E157" s="20" t="s">
        <v>152</v>
      </c>
      <c r="F157" s="26">
        <f>F158</f>
        <v>0</v>
      </c>
      <c r="G157" s="26">
        <f>G158</f>
        <v>0</v>
      </c>
    </row>
    <row r="158" spans="1:8" s="202" customFormat="1" ht="15.75" hidden="1" x14ac:dyDescent="0.25">
      <c r="A158" s="25" t="s">
        <v>1151</v>
      </c>
      <c r="B158" s="20" t="s">
        <v>125</v>
      </c>
      <c r="C158" s="20" t="s">
        <v>147</v>
      </c>
      <c r="D158" s="20" t="s">
        <v>1152</v>
      </c>
      <c r="E158" s="20" t="s">
        <v>1153</v>
      </c>
      <c r="F158" s="26">
        <f>'пр.6.1.ведом.22-23'!G30</f>
        <v>0</v>
      </c>
      <c r="G158" s="26">
        <f>'пр.6.1.ведом.22-23'!H30</f>
        <v>0</v>
      </c>
    </row>
    <row r="159" spans="1:8" ht="31.5" x14ac:dyDescent="0.25">
      <c r="A159" s="23" t="s">
        <v>932</v>
      </c>
      <c r="B159" s="24" t="s">
        <v>125</v>
      </c>
      <c r="C159" s="24" t="s">
        <v>147</v>
      </c>
      <c r="D159" s="24" t="s">
        <v>877</v>
      </c>
      <c r="E159" s="24"/>
      <c r="F159" s="4">
        <f>F160+F165</f>
        <v>5829</v>
      </c>
      <c r="G159" s="4">
        <f>G160+G165</f>
        <v>5829</v>
      </c>
    </row>
    <row r="160" spans="1:8" ht="31.5" x14ac:dyDescent="0.25">
      <c r="A160" s="25" t="s">
        <v>938</v>
      </c>
      <c r="B160" s="20" t="s">
        <v>125</v>
      </c>
      <c r="C160" s="20" t="s">
        <v>147</v>
      </c>
      <c r="D160" s="20" t="s">
        <v>878</v>
      </c>
      <c r="E160" s="20"/>
      <c r="F160" s="6">
        <f>F161+F163</f>
        <v>5701</v>
      </c>
      <c r="G160" s="6">
        <f>G161+G163</f>
        <v>5701</v>
      </c>
      <c r="H160" s="227">
        <f>F160+F165</f>
        <v>5829</v>
      </c>
    </row>
    <row r="161" spans="1:7" ht="94.5" x14ac:dyDescent="0.25">
      <c r="A161" s="25" t="s">
        <v>134</v>
      </c>
      <c r="B161" s="20" t="s">
        <v>125</v>
      </c>
      <c r="C161" s="20" t="s">
        <v>147</v>
      </c>
      <c r="D161" s="20" t="s">
        <v>878</v>
      </c>
      <c r="E161" s="20" t="s">
        <v>135</v>
      </c>
      <c r="F161" s="6">
        <f>F162</f>
        <v>4501</v>
      </c>
      <c r="G161" s="6">
        <f>G162</f>
        <v>4501</v>
      </c>
    </row>
    <row r="162" spans="1:7" ht="31.5" x14ac:dyDescent="0.25">
      <c r="A162" s="25" t="s">
        <v>215</v>
      </c>
      <c r="B162" s="20" t="s">
        <v>125</v>
      </c>
      <c r="C162" s="20" t="s">
        <v>147</v>
      </c>
      <c r="D162" s="20" t="s">
        <v>878</v>
      </c>
      <c r="E162" s="20" t="s">
        <v>216</v>
      </c>
      <c r="F162" s="6">
        <f>'пр.6.1.ведом.22-23'!G135</f>
        <v>4501</v>
      </c>
      <c r="G162" s="6">
        <f>'пр.6.1.ведом.22-23'!H135</f>
        <v>4501</v>
      </c>
    </row>
    <row r="163" spans="1:7" ht="47.25" x14ac:dyDescent="0.25">
      <c r="A163" s="25" t="s">
        <v>205</v>
      </c>
      <c r="B163" s="20" t="s">
        <v>125</v>
      </c>
      <c r="C163" s="20" t="s">
        <v>147</v>
      </c>
      <c r="D163" s="20" t="s">
        <v>878</v>
      </c>
      <c r="E163" s="20" t="s">
        <v>139</v>
      </c>
      <c r="F163" s="6">
        <f>F164</f>
        <v>1200</v>
      </c>
      <c r="G163" s="6">
        <f>G164</f>
        <v>1200</v>
      </c>
    </row>
    <row r="164" spans="1:7" ht="47.25" x14ac:dyDescent="0.25">
      <c r="A164" s="25" t="s">
        <v>140</v>
      </c>
      <c r="B164" s="20" t="s">
        <v>125</v>
      </c>
      <c r="C164" s="20" t="s">
        <v>147</v>
      </c>
      <c r="D164" s="20" t="s">
        <v>878</v>
      </c>
      <c r="E164" s="20" t="s">
        <v>141</v>
      </c>
      <c r="F164" s="6">
        <f>'пр.6.1.ведом.22-23'!G137</f>
        <v>1200</v>
      </c>
      <c r="G164" s="6">
        <f>'пр.6.1.ведом.22-23'!H137</f>
        <v>1200</v>
      </c>
    </row>
    <row r="165" spans="1:7" ht="47.25" x14ac:dyDescent="0.25">
      <c r="A165" s="25" t="s">
        <v>849</v>
      </c>
      <c r="B165" s="20" t="s">
        <v>125</v>
      </c>
      <c r="C165" s="20" t="s">
        <v>147</v>
      </c>
      <c r="D165" s="20" t="s">
        <v>879</v>
      </c>
      <c r="E165" s="20"/>
      <c r="F165" s="6">
        <f>F166</f>
        <v>128</v>
      </c>
      <c r="G165" s="6">
        <f>G166</f>
        <v>128</v>
      </c>
    </row>
    <row r="166" spans="1:7" ht="94.5" x14ac:dyDescent="0.25">
      <c r="A166" s="25" t="s">
        <v>134</v>
      </c>
      <c r="B166" s="20" t="s">
        <v>125</v>
      </c>
      <c r="C166" s="20" t="s">
        <v>147</v>
      </c>
      <c r="D166" s="20" t="s">
        <v>879</v>
      </c>
      <c r="E166" s="20" t="s">
        <v>135</v>
      </c>
      <c r="F166" s="6">
        <f>F167</f>
        <v>128</v>
      </c>
      <c r="G166" s="6">
        <f>G167</f>
        <v>128</v>
      </c>
    </row>
    <row r="167" spans="1:7" ht="31.5" x14ac:dyDescent="0.25">
      <c r="A167" s="25" t="s">
        <v>215</v>
      </c>
      <c r="B167" s="20" t="s">
        <v>125</v>
      </c>
      <c r="C167" s="20" t="s">
        <v>147</v>
      </c>
      <c r="D167" s="20" t="s">
        <v>879</v>
      </c>
      <c r="E167" s="20" t="s">
        <v>216</v>
      </c>
      <c r="F167" s="6">
        <f>'пр.6.1.ведом.22-23'!G140</f>
        <v>128</v>
      </c>
      <c r="G167" s="6">
        <f>'пр.6.1.ведом.22-23'!H140</f>
        <v>128</v>
      </c>
    </row>
    <row r="168" spans="1:7" ht="47.25" x14ac:dyDescent="0.25">
      <c r="A168" s="23" t="s">
        <v>1389</v>
      </c>
      <c r="B168" s="7" t="s">
        <v>125</v>
      </c>
      <c r="C168" s="7" t="s">
        <v>147</v>
      </c>
      <c r="D168" s="7" t="s">
        <v>351</v>
      </c>
      <c r="E168" s="7"/>
      <c r="F168" s="4">
        <f t="shared" ref="F168:G172" si="9">F169</f>
        <v>200</v>
      </c>
      <c r="G168" s="4">
        <f t="shared" si="9"/>
        <v>500</v>
      </c>
    </row>
    <row r="169" spans="1:7" ht="94.5" x14ac:dyDescent="0.25">
      <c r="A169" s="41" t="s">
        <v>1396</v>
      </c>
      <c r="B169" s="7" t="s">
        <v>125</v>
      </c>
      <c r="C169" s="7" t="s">
        <v>147</v>
      </c>
      <c r="D169" s="7" t="s">
        <v>366</v>
      </c>
      <c r="E169" s="7"/>
      <c r="F169" s="4">
        <f t="shared" si="9"/>
        <v>200</v>
      </c>
      <c r="G169" s="4">
        <f t="shared" si="9"/>
        <v>500</v>
      </c>
    </row>
    <row r="170" spans="1:7" ht="63" x14ac:dyDescent="0.25">
      <c r="A170" s="245" t="s">
        <v>1055</v>
      </c>
      <c r="B170" s="7" t="s">
        <v>125</v>
      </c>
      <c r="C170" s="7" t="s">
        <v>147</v>
      </c>
      <c r="D170" s="7" t="s">
        <v>919</v>
      </c>
      <c r="E170" s="7"/>
      <c r="F170" s="4">
        <f t="shared" si="9"/>
        <v>200</v>
      </c>
      <c r="G170" s="4">
        <f t="shared" si="9"/>
        <v>500</v>
      </c>
    </row>
    <row r="171" spans="1:7" ht="31.5" x14ac:dyDescent="0.25">
      <c r="A171" s="98" t="s">
        <v>1106</v>
      </c>
      <c r="B171" s="40" t="s">
        <v>125</v>
      </c>
      <c r="C171" s="40" t="s">
        <v>147</v>
      </c>
      <c r="D171" s="40" t="s">
        <v>1213</v>
      </c>
      <c r="E171" s="40"/>
      <c r="F171" s="6">
        <f t="shared" si="9"/>
        <v>200</v>
      </c>
      <c r="G171" s="6">
        <f t="shared" si="9"/>
        <v>500</v>
      </c>
    </row>
    <row r="172" spans="1:7" ht="31.5" x14ac:dyDescent="0.25">
      <c r="A172" s="29" t="s">
        <v>138</v>
      </c>
      <c r="B172" s="40" t="s">
        <v>125</v>
      </c>
      <c r="C172" s="40" t="s">
        <v>147</v>
      </c>
      <c r="D172" s="40" t="s">
        <v>1213</v>
      </c>
      <c r="E172" s="40" t="s">
        <v>139</v>
      </c>
      <c r="F172" s="6">
        <f t="shared" si="9"/>
        <v>200</v>
      </c>
      <c r="G172" s="6">
        <f t="shared" si="9"/>
        <v>500</v>
      </c>
    </row>
    <row r="173" spans="1:7" ht="47.25" x14ac:dyDescent="0.25">
      <c r="A173" s="29" t="s">
        <v>140</v>
      </c>
      <c r="B173" s="40" t="s">
        <v>125</v>
      </c>
      <c r="C173" s="40" t="s">
        <v>147</v>
      </c>
      <c r="D173" s="40" t="s">
        <v>1213</v>
      </c>
      <c r="E173" s="40" t="s">
        <v>141</v>
      </c>
      <c r="F173" s="6">
        <f>'пр.6.1.ведом.22-23'!G250</f>
        <v>200</v>
      </c>
      <c r="G173" s="6">
        <f>'пр.6.1.ведом.22-23'!H250</f>
        <v>500</v>
      </c>
    </row>
    <row r="174" spans="1:7" ht="47.25" hidden="1" x14ac:dyDescent="0.25">
      <c r="A174" s="35" t="s">
        <v>896</v>
      </c>
      <c r="B174" s="20" t="s">
        <v>125</v>
      </c>
      <c r="C174" s="20" t="s">
        <v>147</v>
      </c>
      <c r="D174" s="20" t="s">
        <v>1312</v>
      </c>
      <c r="E174" s="24"/>
      <c r="F174" s="6" t="e">
        <f>'Пр.3 Рд,пр, ЦС,ВР 21'!#REF!</f>
        <v>#REF!</v>
      </c>
      <c r="G174" s="6" t="e">
        <f t="shared" si="8"/>
        <v>#REF!</v>
      </c>
    </row>
    <row r="175" spans="1:7" ht="31.5" hidden="1" x14ac:dyDescent="0.25">
      <c r="A175" s="25" t="s">
        <v>138</v>
      </c>
      <c r="B175" s="20" t="s">
        <v>125</v>
      </c>
      <c r="C175" s="20" t="s">
        <v>147</v>
      </c>
      <c r="D175" s="20" t="s">
        <v>1312</v>
      </c>
      <c r="E175" s="20" t="s">
        <v>139</v>
      </c>
      <c r="F175" s="6" t="e">
        <f>'Пр.3 Рд,пр, ЦС,ВР 21'!#REF!</f>
        <v>#REF!</v>
      </c>
      <c r="G175" s="6" t="e">
        <f t="shared" si="8"/>
        <v>#REF!</v>
      </c>
    </row>
    <row r="176" spans="1:7" ht="47.25" hidden="1" x14ac:dyDescent="0.25">
      <c r="A176" s="25" t="s">
        <v>140</v>
      </c>
      <c r="B176" s="20" t="s">
        <v>125</v>
      </c>
      <c r="C176" s="20" t="s">
        <v>147</v>
      </c>
      <c r="D176" s="20" t="s">
        <v>1312</v>
      </c>
      <c r="E176" s="20" t="s">
        <v>141</v>
      </c>
      <c r="F176" s="6" t="e">
        <f>'Пр.3 Рд,пр, ЦС,ВР 21'!#REF!</f>
        <v>#REF!</v>
      </c>
      <c r="G176" s="6" t="e">
        <f t="shared" si="8"/>
        <v>#REF!</v>
      </c>
    </row>
    <row r="177" spans="1:7" s="202" customFormat="1" ht="63" x14ac:dyDescent="0.25">
      <c r="A177" s="34" t="s">
        <v>1235</v>
      </c>
      <c r="B177" s="24" t="s">
        <v>125</v>
      </c>
      <c r="C177" s="24" t="s">
        <v>147</v>
      </c>
      <c r="D177" s="24" t="s">
        <v>331</v>
      </c>
      <c r="E177" s="24"/>
      <c r="F177" s="21">
        <f>F179</f>
        <v>12</v>
      </c>
      <c r="G177" s="21">
        <f>G179</f>
        <v>40</v>
      </c>
    </row>
    <row r="178" spans="1:7" s="202" customFormat="1" ht="63" x14ac:dyDescent="0.25">
      <c r="A178" s="34" t="s">
        <v>1035</v>
      </c>
      <c r="B178" s="24" t="s">
        <v>125</v>
      </c>
      <c r="C178" s="24" t="s">
        <v>147</v>
      </c>
      <c r="D178" s="24" t="s">
        <v>944</v>
      </c>
      <c r="E178" s="24"/>
      <c r="F178" s="21">
        <f>F181</f>
        <v>12</v>
      </c>
      <c r="G178" s="21">
        <f>G181</f>
        <v>40</v>
      </c>
    </row>
    <row r="179" spans="1:7" s="202" customFormat="1" ht="47.25" x14ac:dyDescent="0.25">
      <c r="A179" s="31" t="s">
        <v>1091</v>
      </c>
      <c r="B179" s="20" t="s">
        <v>125</v>
      </c>
      <c r="C179" s="20" t="s">
        <v>147</v>
      </c>
      <c r="D179" s="20" t="s">
        <v>1036</v>
      </c>
      <c r="E179" s="20"/>
      <c r="F179" s="26">
        <f>F180</f>
        <v>12</v>
      </c>
      <c r="G179" s="26">
        <f>G180</f>
        <v>40</v>
      </c>
    </row>
    <row r="180" spans="1:7" s="202" customFormat="1" ht="31.5" x14ac:dyDescent="0.25">
      <c r="A180" s="25" t="s">
        <v>138</v>
      </c>
      <c r="B180" s="20" t="s">
        <v>125</v>
      </c>
      <c r="C180" s="20" t="s">
        <v>147</v>
      </c>
      <c r="D180" s="20" t="s">
        <v>1036</v>
      </c>
      <c r="E180" s="20" t="s">
        <v>139</v>
      </c>
      <c r="F180" s="26">
        <f>F181</f>
        <v>12</v>
      </c>
      <c r="G180" s="26">
        <f>G181</f>
        <v>40</v>
      </c>
    </row>
    <row r="181" spans="1:7" s="202" customFormat="1" ht="47.25" x14ac:dyDescent="0.25">
      <c r="A181" s="25" t="s">
        <v>140</v>
      </c>
      <c r="B181" s="20" t="s">
        <v>125</v>
      </c>
      <c r="C181" s="20" t="s">
        <v>147</v>
      </c>
      <c r="D181" s="20" t="s">
        <v>1036</v>
      </c>
      <c r="E181" s="20" t="s">
        <v>141</v>
      </c>
      <c r="F181" s="26">
        <f>'пр.6.1.ведом.22-23'!G145</f>
        <v>12</v>
      </c>
      <c r="G181" s="26">
        <f>'пр.6.1.ведом.22-23'!H145</f>
        <v>40</v>
      </c>
    </row>
    <row r="182" spans="1:7" ht="47.25" x14ac:dyDescent="0.25">
      <c r="A182" s="23" t="s">
        <v>1372</v>
      </c>
      <c r="B182" s="24" t="s">
        <v>125</v>
      </c>
      <c r="C182" s="24" t="s">
        <v>147</v>
      </c>
      <c r="D182" s="24" t="s">
        <v>342</v>
      </c>
      <c r="E182" s="24"/>
      <c r="F182" s="59">
        <f>F183</f>
        <v>120</v>
      </c>
      <c r="G182" s="59">
        <f>G183</f>
        <v>120</v>
      </c>
    </row>
    <row r="183" spans="1:7" ht="45" customHeight="1" x14ac:dyDescent="0.25">
      <c r="A183" s="23" t="s">
        <v>1060</v>
      </c>
      <c r="B183" s="24" t="s">
        <v>125</v>
      </c>
      <c r="C183" s="24" t="s">
        <v>147</v>
      </c>
      <c r="D183" s="24" t="s">
        <v>1061</v>
      </c>
      <c r="E183" s="24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343</v>
      </c>
      <c r="B184" s="20" t="s">
        <v>125</v>
      </c>
      <c r="C184" s="20" t="s">
        <v>147</v>
      </c>
      <c r="D184" s="20" t="s">
        <v>1062</v>
      </c>
      <c r="E184" s="20"/>
      <c r="F184" s="6">
        <f>F185</f>
        <v>100</v>
      </c>
      <c r="G184" s="6">
        <f>G185</f>
        <v>100</v>
      </c>
    </row>
    <row r="185" spans="1:7" ht="31.5" x14ac:dyDescent="0.25">
      <c r="A185" s="25" t="s">
        <v>138</v>
      </c>
      <c r="B185" s="20" t="s">
        <v>125</v>
      </c>
      <c r="C185" s="20" t="s">
        <v>147</v>
      </c>
      <c r="D185" s="20" t="s">
        <v>1062</v>
      </c>
      <c r="E185" s="20" t="s">
        <v>139</v>
      </c>
      <c r="F185" s="6">
        <f>F186</f>
        <v>100</v>
      </c>
      <c r="G185" s="6">
        <f>G186</f>
        <v>100</v>
      </c>
    </row>
    <row r="186" spans="1:7" ht="47.25" x14ac:dyDescent="0.25">
      <c r="A186" s="25" t="s">
        <v>140</v>
      </c>
      <c r="B186" s="20" t="s">
        <v>125</v>
      </c>
      <c r="C186" s="20" t="s">
        <v>147</v>
      </c>
      <c r="D186" s="20" t="s">
        <v>1062</v>
      </c>
      <c r="E186" s="20" t="s">
        <v>141</v>
      </c>
      <c r="F186" s="6">
        <f>'пр.6.1.ведом.22-23'!G763+'пр.6.1.ведом.22-23'!G544+'пр.6.1.ведом.22-23'!G255</f>
        <v>100</v>
      </c>
      <c r="G186" s="6">
        <f>'пр.6.1.ведом.22-23'!H763+'пр.6.1.ведом.22-23'!H544+'пр.6.1.ведом.22-23'!H255</f>
        <v>100</v>
      </c>
    </row>
    <row r="187" spans="1:7" ht="31.5" x14ac:dyDescent="0.25">
      <c r="A187" s="25" t="s">
        <v>345</v>
      </c>
      <c r="B187" s="20" t="s">
        <v>125</v>
      </c>
      <c r="C187" s="20" t="s">
        <v>147</v>
      </c>
      <c r="D187" s="20" t="s">
        <v>1063</v>
      </c>
      <c r="E187" s="20"/>
      <c r="F187" s="6">
        <f>F188</f>
        <v>20</v>
      </c>
      <c r="G187" s="6">
        <f>G188</f>
        <v>20</v>
      </c>
    </row>
    <row r="188" spans="1:7" ht="31.5" x14ac:dyDescent="0.25">
      <c r="A188" s="25" t="s">
        <v>138</v>
      </c>
      <c r="B188" s="20" t="s">
        <v>125</v>
      </c>
      <c r="C188" s="20" t="s">
        <v>147</v>
      </c>
      <c r="D188" s="20" t="s">
        <v>1063</v>
      </c>
      <c r="E188" s="20" t="s">
        <v>139</v>
      </c>
      <c r="F188" s="6">
        <f>F189</f>
        <v>20</v>
      </c>
      <c r="G188" s="6">
        <f>G189</f>
        <v>20</v>
      </c>
    </row>
    <row r="189" spans="1:7" ht="47.25" x14ac:dyDescent="0.25">
      <c r="A189" s="25" t="s">
        <v>140</v>
      </c>
      <c r="B189" s="20" t="s">
        <v>125</v>
      </c>
      <c r="C189" s="20" t="s">
        <v>147</v>
      </c>
      <c r="D189" s="20" t="s">
        <v>1063</v>
      </c>
      <c r="E189" s="20" t="s">
        <v>141</v>
      </c>
      <c r="F189" s="6">
        <f>'пр.6.1.ведом.22-23'!G264</f>
        <v>20</v>
      </c>
      <c r="G189" s="6">
        <f>'пр.6.1.ведом.22-23'!H264</f>
        <v>20</v>
      </c>
    </row>
    <row r="190" spans="1:7" ht="63" hidden="1" x14ac:dyDescent="0.25">
      <c r="A190" s="31" t="s">
        <v>781</v>
      </c>
      <c r="B190" s="20" t="s">
        <v>125</v>
      </c>
      <c r="C190" s="20" t="s">
        <v>147</v>
      </c>
      <c r="D190" s="20" t="s">
        <v>1064</v>
      </c>
      <c r="E190" s="20"/>
      <c r="F190" s="6">
        <f>F191</f>
        <v>0</v>
      </c>
      <c r="G190" s="6">
        <f>G191</f>
        <v>0</v>
      </c>
    </row>
    <row r="191" spans="1:7" ht="31.5" hidden="1" x14ac:dyDescent="0.25">
      <c r="A191" s="25" t="s">
        <v>138</v>
      </c>
      <c r="B191" s="20" t="s">
        <v>125</v>
      </c>
      <c r="C191" s="20" t="s">
        <v>147</v>
      </c>
      <c r="D191" s="20" t="s">
        <v>1064</v>
      </c>
      <c r="E191" s="20" t="s">
        <v>139</v>
      </c>
      <c r="F191" s="6">
        <f>F192</f>
        <v>0</v>
      </c>
      <c r="G191" s="6">
        <f>G192</f>
        <v>0</v>
      </c>
    </row>
    <row r="192" spans="1:7" ht="47.25" hidden="1" x14ac:dyDescent="0.25">
      <c r="A192" s="25" t="s">
        <v>140</v>
      </c>
      <c r="B192" s="20" t="s">
        <v>125</v>
      </c>
      <c r="C192" s="20" t="s">
        <v>147</v>
      </c>
      <c r="D192" s="20" t="s">
        <v>1064</v>
      </c>
      <c r="E192" s="20" t="s">
        <v>141</v>
      </c>
      <c r="F192" s="6">
        <f>'пр.6.1.ведом.22-23'!G258</f>
        <v>0</v>
      </c>
      <c r="G192" s="6">
        <f>'пр.6.1.ведом.22-23'!H258</f>
        <v>0</v>
      </c>
    </row>
    <row r="193" spans="1:7" ht="31.5" hidden="1" x14ac:dyDescent="0.25">
      <c r="A193" s="25" t="s">
        <v>1004</v>
      </c>
      <c r="B193" s="20" t="s">
        <v>125</v>
      </c>
      <c r="C193" s="20" t="s">
        <v>147</v>
      </c>
      <c r="D193" s="20" t="s">
        <v>1065</v>
      </c>
      <c r="E193" s="20"/>
      <c r="F193" s="6">
        <f>F194</f>
        <v>0</v>
      </c>
      <c r="G193" s="6">
        <f>G194</f>
        <v>0</v>
      </c>
    </row>
    <row r="194" spans="1:7" ht="31.5" hidden="1" x14ac:dyDescent="0.25">
      <c r="A194" s="25" t="s">
        <v>138</v>
      </c>
      <c r="B194" s="20" t="s">
        <v>125</v>
      </c>
      <c r="C194" s="20" t="s">
        <v>147</v>
      </c>
      <c r="D194" s="20" t="s">
        <v>1065</v>
      </c>
      <c r="E194" s="20" t="s">
        <v>139</v>
      </c>
      <c r="F194" s="6">
        <f>F195</f>
        <v>0</v>
      </c>
      <c r="G194" s="6">
        <f>G195</f>
        <v>0</v>
      </c>
    </row>
    <row r="195" spans="1:7" ht="47.25" hidden="1" x14ac:dyDescent="0.25">
      <c r="A195" s="25" t="s">
        <v>140</v>
      </c>
      <c r="B195" s="20" t="s">
        <v>125</v>
      </c>
      <c r="C195" s="20" t="s">
        <v>147</v>
      </c>
      <c r="D195" s="20" t="s">
        <v>1065</v>
      </c>
      <c r="E195" s="20" t="s">
        <v>141</v>
      </c>
      <c r="F195" s="6">
        <f>'пр.6.1.ведом.22-23'!G261</f>
        <v>0</v>
      </c>
      <c r="G195" s="6">
        <f>'пр.6.1.ведом.22-23'!H261</f>
        <v>0</v>
      </c>
    </row>
    <row r="196" spans="1:7" ht="31.5" hidden="1" x14ac:dyDescent="0.25">
      <c r="A196" s="31" t="s">
        <v>782</v>
      </c>
      <c r="B196" s="20" t="s">
        <v>125</v>
      </c>
      <c r="C196" s="20" t="s">
        <v>147</v>
      </c>
      <c r="D196" s="20" t="s">
        <v>1066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138</v>
      </c>
      <c r="B197" s="20" t="s">
        <v>125</v>
      </c>
      <c r="C197" s="20" t="s">
        <v>147</v>
      </c>
      <c r="D197" s="20" t="s">
        <v>1066</v>
      </c>
      <c r="E197" s="20" t="s">
        <v>139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140</v>
      </c>
      <c r="B198" s="20" t="s">
        <v>125</v>
      </c>
      <c r="C198" s="20" t="s">
        <v>147</v>
      </c>
      <c r="D198" s="20" t="s">
        <v>1066</v>
      </c>
      <c r="E198" s="20" t="s">
        <v>141</v>
      </c>
      <c r="F198" s="6">
        <f>'пр.6.1.ведом.22-23'!G267</f>
        <v>0</v>
      </c>
      <c r="G198" s="6">
        <f>'пр.6.1.ведом.22-23'!H267</f>
        <v>0</v>
      </c>
    </row>
    <row r="199" spans="1:7" ht="57.2" customHeight="1" x14ac:dyDescent="0.25">
      <c r="A199" s="41" t="s">
        <v>1369</v>
      </c>
      <c r="B199" s="8" t="s">
        <v>125</v>
      </c>
      <c r="C199" s="8" t="s">
        <v>147</v>
      </c>
      <c r="D199" s="24" t="s">
        <v>715</v>
      </c>
      <c r="E199" s="217"/>
      <c r="F199" s="59">
        <f>F200+F204</f>
        <v>48</v>
      </c>
      <c r="G199" s="59">
        <f>G200+G204</f>
        <v>48</v>
      </c>
    </row>
    <row r="200" spans="1:7" ht="47.25" x14ac:dyDescent="0.25">
      <c r="A200" s="206" t="s">
        <v>856</v>
      </c>
      <c r="B200" s="24" t="s">
        <v>125</v>
      </c>
      <c r="C200" s="24" t="s">
        <v>147</v>
      </c>
      <c r="D200" s="24" t="s">
        <v>862</v>
      </c>
      <c r="E200" s="24"/>
      <c r="F200" s="59">
        <f>F201</f>
        <v>33</v>
      </c>
      <c r="G200" s="59">
        <f>G201</f>
        <v>33</v>
      </c>
    </row>
    <row r="201" spans="1:7" ht="47.25" x14ac:dyDescent="0.25">
      <c r="A201" s="98" t="s">
        <v>786</v>
      </c>
      <c r="B201" s="20" t="s">
        <v>125</v>
      </c>
      <c r="C201" s="20" t="s">
        <v>147</v>
      </c>
      <c r="D201" s="20" t="s">
        <v>857</v>
      </c>
      <c r="E201" s="20"/>
      <c r="F201" s="6">
        <f>F202</f>
        <v>33</v>
      </c>
      <c r="G201" s="6">
        <f>G202</f>
        <v>33</v>
      </c>
    </row>
    <row r="202" spans="1:7" ht="36.75" customHeight="1" x14ac:dyDescent="0.25">
      <c r="A202" s="25" t="s">
        <v>138</v>
      </c>
      <c r="B202" s="20" t="s">
        <v>125</v>
      </c>
      <c r="C202" s="20" t="s">
        <v>147</v>
      </c>
      <c r="D202" s="20" t="s">
        <v>857</v>
      </c>
      <c r="E202" s="20" t="s">
        <v>139</v>
      </c>
      <c r="F202" s="6">
        <f>F203</f>
        <v>33</v>
      </c>
      <c r="G202" s="6">
        <f t="shared" si="8"/>
        <v>33</v>
      </c>
    </row>
    <row r="203" spans="1:7" ht="47.25" x14ac:dyDescent="0.25">
      <c r="A203" s="25" t="s">
        <v>140</v>
      </c>
      <c r="B203" s="20" t="s">
        <v>125</v>
      </c>
      <c r="C203" s="20" t="s">
        <v>147</v>
      </c>
      <c r="D203" s="20" t="s">
        <v>857</v>
      </c>
      <c r="E203" s="20" t="s">
        <v>141</v>
      </c>
      <c r="F203" s="6">
        <f>'пр.6.1.ведом.22-23'!G150+'пр.6.1.ведом.22-23'!G272</f>
        <v>33</v>
      </c>
      <c r="G203" s="6">
        <f>'пр.6.1.ведом.22-23'!H150+'пр.6.1.ведом.22-23'!H272</f>
        <v>33</v>
      </c>
    </row>
    <row r="204" spans="1:7" ht="47.25" x14ac:dyDescent="0.25">
      <c r="A204" s="207" t="s">
        <v>1033</v>
      </c>
      <c r="B204" s="24" t="s">
        <v>125</v>
      </c>
      <c r="C204" s="24" t="s">
        <v>147</v>
      </c>
      <c r="D204" s="24" t="s">
        <v>863</v>
      </c>
      <c r="E204" s="217"/>
      <c r="F204" s="59">
        <f t="shared" ref="F204:G206" si="10">F205</f>
        <v>15</v>
      </c>
      <c r="G204" s="59">
        <f t="shared" si="10"/>
        <v>15</v>
      </c>
    </row>
    <row r="205" spans="1:7" ht="31.5" x14ac:dyDescent="0.25">
      <c r="A205" s="98" t="s">
        <v>787</v>
      </c>
      <c r="B205" s="20" t="s">
        <v>125</v>
      </c>
      <c r="C205" s="20" t="s">
        <v>147</v>
      </c>
      <c r="D205" s="20" t="s">
        <v>858</v>
      </c>
      <c r="E205" s="32"/>
      <c r="F205" s="6">
        <f t="shared" si="10"/>
        <v>15</v>
      </c>
      <c r="G205" s="6">
        <f t="shared" si="10"/>
        <v>15</v>
      </c>
    </row>
    <row r="206" spans="1:7" ht="31.5" x14ac:dyDescent="0.25">
      <c r="A206" s="25" t="s">
        <v>138</v>
      </c>
      <c r="B206" s="20" t="s">
        <v>125</v>
      </c>
      <c r="C206" s="20" t="s">
        <v>147</v>
      </c>
      <c r="D206" s="20" t="s">
        <v>858</v>
      </c>
      <c r="E206" s="32" t="s">
        <v>139</v>
      </c>
      <c r="F206" s="6">
        <f t="shared" si="10"/>
        <v>15</v>
      </c>
      <c r="G206" s="6">
        <f t="shared" si="10"/>
        <v>15</v>
      </c>
    </row>
    <row r="207" spans="1:7" ht="47.25" x14ac:dyDescent="0.25">
      <c r="A207" s="25" t="s">
        <v>140</v>
      </c>
      <c r="B207" s="20" t="s">
        <v>125</v>
      </c>
      <c r="C207" s="20" t="s">
        <v>147</v>
      </c>
      <c r="D207" s="20" t="s">
        <v>858</v>
      </c>
      <c r="E207" s="32" t="s">
        <v>141</v>
      </c>
      <c r="F207" s="6">
        <f>'пр.6.1.ведом.22-23'!G154</f>
        <v>15</v>
      </c>
      <c r="G207" s="6">
        <f>'пр.6.1.ведом.22-23'!H154</f>
        <v>15</v>
      </c>
    </row>
    <row r="208" spans="1:7" ht="63" hidden="1" x14ac:dyDescent="0.25">
      <c r="A208" s="212" t="s">
        <v>1397</v>
      </c>
      <c r="B208" s="24" t="s">
        <v>125</v>
      </c>
      <c r="C208" s="24" t="s">
        <v>147</v>
      </c>
      <c r="D208" s="24" t="s">
        <v>792</v>
      </c>
      <c r="E208" s="217"/>
      <c r="F208" s="59">
        <f>F210</f>
        <v>0</v>
      </c>
      <c r="G208" s="59">
        <f>G210</f>
        <v>0</v>
      </c>
    </row>
    <row r="209" spans="1:7" ht="31.5" hidden="1" x14ac:dyDescent="0.25">
      <c r="A209" s="23" t="s">
        <v>940</v>
      </c>
      <c r="B209" s="24" t="s">
        <v>125</v>
      </c>
      <c r="C209" s="24" t="s">
        <v>147</v>
      </c>
      <c r="D209" s="24" t="s">
        <v>1030</v>
      </c>
      <c r="E209" s="217"/>
      <c r="F209" s="59">
        <f t="shared" ref="F209:G211" si="11">F210</f>
        <v>0</v>
      </c>
      <c r="G209" s="59">
        <f t="shared" si="11"/>
        <v>0</v>
      </c>
    </row>
    <row r="210" spans="1:7" ht="31.5" hidden="1" x14ac:dyDescent="0.25">
      <c r="A210" s="184" t="s">
        <v>800</v>
      </c>
      <c r="B210" s="20" t="s">
        <v>125</v>
      </c>
      <c r="C210" s="20" t="s">
        <v>147</v>
      </c>
      <c r="D210" s="20" t="s">
        <v>1031</v>
      </c>
      <c r="E210" s="32"/>
      <c r="F210" s="6">
        <f t="shared" si="11"/>
        <v>0</v>
      </c>
      <c r="G210" s="6">
        <f t="shared" si="11"/>
        <v>0</v>
      </c>
    </row>
    <row r="211" spans="1:7" ht="31.5" hidden="1" x14ac:dyDescent="0.25">
      <c r="A211" s="184" t="s">
        <v>138</v>
      </c>
      <c r="B211" s="20" t="s">
        <v>125</v>
      </c>
      <c r="C211" s="20" t="s">
        <v>147</v>
      </c>
      <c r="D211" s="20" t="s">
        <v>1031</v>
      </c>
      <c r="E211" s="32" t="s">
        <v>139</v>
      </c>
      <c r="F211" s="6">
        <f t="shared" si="11"/>
        <v>0</v>
      </c>
      <c r="G211" s="6">
        <f t="shared" si="11"/>
        <v>0</v>
      </c>
    </row>
    <row r="212" spans="1:7" ht="47.25" hidden="1" x14ac:dyDescent="0.25">
      <c r="A212" s="184" t="s">
        <v>140</v>
      </c>
      <c r="B212" s="20" t="s">
        <v>125</v>
      </c>
      <c r="C212" s="20" t="s">
        <v>147</v>
      </c>
      <c r="D212" s="20" t="s">
        <v>1031</v>
      </c>
      <c r="E212" s="32" t="s">
        <v>141</v>
      </c>
      <c r="F212" s="6">
        <f>'пр.6.1.ведом.22-23'!G520</f>
        <v>0</v>
      </c>
      <c r="G212" s="6">
        <f>'пр.6.1.ведом.22-23'!H520</f>
        <v>0</v>
      </c>
    </row>
    <row r="213" spans="1:7" ht="78.75" x14ac:dyDescent="0.25">
      <c r="A213" s="41" t="s">
        <v>1359</v>
      </c>
      <c r="B213" s="8" t="s">
        <v>125</v>
      </c>
      <c r="C213" s="8" t="s">
        <v>147</v>
      </c>
      <c r="D213" s="342" t="s">
        <v>827</v>
      </c>
      <c r="E213" s="8"/>
      <c r="F213" s="59">
        <f t="shared" ref="F213:F216" si="12">F214</f>
        <v>45</v>
      </c>
      <c r="G213" s="59">
        <f>G214</f>
        <v>50</v>
      </c>
    </row>
    <row r="214" spans="1:7" ht="47.25" x14ac:dyDescent="0.25">
      <c r="A214" s="208" t="s">
        <v>864</v>
      </c>
      <c r="B214" s="8" t="s">
        <v>125</v>
      </c>
      <c r="C214" s="8" t="s">
        <v>147</v>
      </c>
      <c r="D214" s="196" t="s">
        <v>1086</v>
      </c>
      <c r="E214" s="8"/>
      <c r="F214" s="59">
        <f t="shared" si="12"/>
        <v>45</v>
      </c>
      <c r="G214" s="59">
        <f>G215</f>
        <v>50</v>
      </c>
    </row>
    <row r="215" spans="1:7" ht="31.5" x14ac:dyDescent="0.25">
      <c r="A215" s="97" t="s">
        <v>178</v>
      </c>
      <c r="B215" s="9" t="s">
        <v>125</v>
      </c>
      <c r="C215" s="9" t="s">
        <v>147</v>
      </c>
      <c r="D215" s="5" t="s">
        <v>865</v>
      </c>
      <c r="E215" s="9"/>
      <c r="F215" s="6">
        <f t="shared" si="12"/>
        <v>45</v>
      </c>
      <c r="G215" s="6">
        <f>G216</f>
        <v>50</v>
      </c>
    </row>
    <row r="216" spans="1:7" ht="31.5" x14ac:dyDescent="0.25">
      <c r="A216" s="25" t="s">
        <v>138</v>
      </c>
      <c r="B216" s="9" t="s">
        <v>125</v>
      </c>
      <c r="C216" s="9" t="s">
        <v>147</v>
      </c>
      <c r="D216" s="5" t="s">
        <v>865</v>
      </c>
      <c r="E216" s="9" t="s">
        <v>139</v>
      </c>
      <c r="F216" s="6">
        <f t="shared" si="12"/>
        <v>45</v>
      </c>
      <c r="G216" s="6">
        <f>G217</f>
        <v>50</v>
      </c>
    </row>
    <row r="217" spans="1:7" ht="47.25" x14ac:dyDescent="0.25">
      <c r="A217" s="25" t="s">
        <v>140</v>
      </c>
      <c r="B217" s="9" t="s">
        <v>125</v>
      </c>
      <c r="C217" s="9" t="s">
        <v>147</v>
      </c>
      <c r="D217" s="5" t="s">
        <v>865</v>
      </c>
      <c r="E217" s="9" t="s">
        <v>141</v>
      </c>
      <c r="F217" s="6">
        <f>'пр.6.1.ведом.22-23'!G159</f>
        <v>45</v>
      </c>
      <c r="G217" s="6">
        <f>'пр.6.1.ведом.22-23'!H159</f>
        <v>50</v>
      </c>
    </row>
    <row r="218" spans="1:7" ht="62.45" customHeight="1" x14ac:dyDescent="0.25">
      <c r="A218" s="41" t="s">
        <v>1360</v>
      </c>
      <c r="B218" s="8" t="s">
        <v>125</v>
      </c>
      <c r="C218" s="8" t="s">
        <v>147</v>
      </c>
      <c r="D218" s="196" t="s">
        <v>828</v>
      </c>
      <c r="E218" s="8"/>
      <c r="F218" s="4">
        <f>F219</f>
        <v>80</v>
      </c>
      <c r="G218" s="4">
        <f>G219</f>
        <v>90</v>
      </c>
    </row>
    <row r="219" spans="1:7" ht="31.5" x14ac:dyDescent="0.25">
      <c r="A219" s="58" t="s">
        <v>866</v>
      </c>
      <c r="B219" s="8" t="s">
        <v>125</v>
      </c>
      <c r="C219" s="8" t="s">
        <v>147</v>
      </c>
      <c r="D219" s="196" t="s">
        <v>874</v>
      </c>
      <c r="E219" s="8"/>
      <c r="F219" s="4">
        <f t="shared" ref="F219:G219" si="13">F220</f>
        <v>80</v>
      </c>
      <c r="G219" s="4">
        <f t="shared" si="13"/>
        <v>90</v>
      </c>
    </row>
    <row r="220" spans="1:7" ht="31.5" x14ac:dyDescent="0.25">
      <c r="A220" s="45" t="s">
        <v>832</v>
      </c>
      <c r="B220" s="9" t="s">
        <v>125</v>
      </c>
      <c r="C220" s="9" t="s">
        <v>147</v>
      </c>
      <c r="D220" s="5" t="s">
        <v>867</v>
      </c>
      <c r="E220" s="9"/>
      <c r="F220" s="6">
        <f>F221</f>
        <v>80</v>
      </c>
      <c r="G220" s="6">
        <f>G221</f>
        <v>90</v>
      </c>
    </row>
    <row r="221" spans="1:7" ht="31.5" x14ac:dyDescent="0.25">
      <c r="A221" s="25" t="s">
        <v>138</v>
      </c>
      <c r="B221" s="9" t="s">
        <v>125</v>
      </c>
      <c r="C221" s="9" t="s">
        <v>147</v>
      </c>
      <c r="D221" s="5" t="s">
        <v>867</v>
      </c>
      <c r="E221" s="9" t="s">
        <v>139</v>
      </c>
      <c r="F221" s="6">
        <f>F222</f>
        <v>80</v>
      </c>
      <c r="G221" s="6">
        <f>G222</f>
        <v>90</v>
      </c>
    </row>
    <row r="222" spans="1:7" ht="47.25" x14ac:dyDescent="0.25">
      <c r="A222" s="25" t="s">
        <v>140</v>
      </c>
      <c r="B222" s="9" t="s">
        <v>125</v>
      </c>
      <c r="C222" s="9" t="s">
        <v>147</v>
      </c>
      <c r="D222" s="5" t="s">
        <v>867</v>
      </c>
      <c r="E222" s="9" t="s">
        <v>141</v>
      </c>
      <c r="F222" s="6">
        <f>'пр.6.1.ведом.22-23'!G164</f>
        <v>80</v>
      </c>
      <c r="G222" s="6">
        <f>'пр.6.1.ведом.22-23'!H164</f>
        <v>90</v>
      </c>
    </row>
    <row r="223" spans="1:7" ht="15.75" hidden="1" x14ac:dyDescent="0.25">
      <c r="A223" s="23" t="s">
        <v>219</v>
      </c>
      <c r="B223" s="24" t="s">
        <v>220</v>
      </c>
      <c r="C223" s="24"/>
      <c r="D223" s="24"/>
      <c r="E223" s="24"/>
      <c r="F223" s="4">
        <f t="shared" ref="F223:G226" si="14">F224</f>
        <v>0</v>
      </c>
      <c r="G223" s="4">
        <f t="shared" si="14"/>
        <v>0</v>
      </c>
    </row>
    <row r="224" spans="1:7" ht="31.5" hidden="1" x14ac:dyDescent="0.25">
      <c r="A224" s="23" t="s">
        <v>225</v>
      </c>
      <c r="B224" s="24" t="s">
        <v>220</v>
      </c>
      <c r="C224" s="24" t="s">
        <v>226</v>
      </c>
      <c r="D224" s="24"/>
      <c r="E224" s="24"/>
      <c r="F224" s="4">
        <f t="shared" si="14"/>
        <v>0</v>
      </c>
      <c r="G224" s="4">
        <f t="shared" si="14"/>
        <v>0</v>
      </c>
    </row>
    <row r="225" spans="1:7" ht="15.75" hidden="1" x14ac:dyDescent="0.25">
      <c r="A225" s="23" t="s">
        <v>148</v>
      </c>
      <c r="B225" s="24" t="s">
        <v>220</v>
      </c>
      <c r="C225" s="24" t="s">
        <v>226</v>
      </c>
      <c r="D225" s="24" t="s">
        <v>876</v>
      </c>
      <c r="E225" s="24"/>
      <c r="F225" s="4">
        <f t="shared" si="14"/>
        <v>0</v>
      </c>
      <c r="G225" s="4">
        <f t="shared" si="14"/>
        <v>0</v>
      </c>
    </row>
    <row r="226" spans="1:7" ht="31.5" hidden="1" x14ac:dyDescent="0.25">
      <c r="A226" s="23" t="s">
        <v>880</v>
      </c>
      <c r="B226" s="24" t="s">
        <v>220</v>
      </c>
      <c r="C226" s="24" t="s">
        <v>226</v>
      </c>
      <c r="D226" s="24" t="s">
        <v>875</v>
      </c>
      <c r="E226" s="24"/>
      <c r="F226" s="4">
        <f t="shared" si="14"/>
        <v>0</v>
      </c>
      <c r="G226" s="4">
        <f t="shared" si="14"/>
        <v>0</v>
      </c>
    </row>
    <row r="227" spans="1:7" ht="16.350000000000001" hidden="1" customHeight="1" x14ac:dyDescent="0.25">
      <c r="A227" s="25" t="s">
        <v>227</v>
      </c>
      <c r="B227" s="20" t="s">
        <v>220</v>
      </c>
      <c r="C227" s="20" t="s">
        <v>226</v>
      </c>
      <c r="D227" s="20" t="s">
        <v>881</v>
      </c>
      <c r="E227" s="20"/>
      <c r="F227" s="6">
        <f>'Пр.3 Рд,пр, ЦС,ВР 21'!F220</f>
        <v>0</v>
      </c>
      <c r="G227" s="6">
        <f t="shared" ref="G227:G282" si="15">F227</f>
        <v>0</v>
      </c>
    </row>
    <row r="228" spans="1:7" ht="47.25" hidden="1" x14ac:dyDescent="0.25">
      <c r="A228" s="25" t="s">
        <v>205</v>
      </c>
      <c r="B228" s="20" t="s">
        <v>220</v>
      </c>
      <c r="C228" s="20" t="s">
        <v>226</v>
      </c>
      <c r="D228" s="20" t="s">
        <v>881</v>
      </c>
      <c r="E228" s="20" t="s">
        <v>139</v>
      </c>
      <c r="F228" s="6">
        <f>'Пр.3 Рд,пр, ЦС,ВР 21'!F221</f>
        <v>0</v>
      </c>
      <c r="G228" s="6">
        <f t="shared" si="15"/>
        <v>0</v>
      </c>
    </row>
    <row r="229" spans="1:7" ht="47.25" hidden="1" x14ac:dyDescent="0.25">
      <c r="A229" s="25" t="s">
        <v>140</v>
      </c>
      <c r="B229" s="20" t="s">
        <v>220</v>
      </c>
      <c r="C229" s="20" t="s">
        <v>226</v>
      </c>
      <c r="D229" s="20" t="s">
        <v>881</v>
      </c>
      <c r="E229" s="20" t="s">
        <v>141</v>
      </c>
      <c r="F229" s="6">
        <f>'Пр.3 Рд,пр, ЦС,ВР 21'!F222</f>
        <v>0</v>
      </c>
      <c r="G229" s="6">
        <f t="shared" si="15"/>
        <v>0</v>
      </c>
    </row>
    <row r="230" spans="1:7" ht="31.5" x14ac:dyDescent="0.25">
      <c r="A230" s="23" t="s">
        <v>229</v>
      </c>
      <c r="B230" s="24" t="s">
        <v>222</v>
      </c>
      <c r="C230" s="24"/>
      <c r="D230" s="24"/>
      <c r="E230" s="24"/>
      <c r="F230" s="4">
        <f t="shared" ref="F230:G231" si="16">F231</f>
        <v>8197.1</v>
      </c>
      <c r="G230" s="4">
        <f t="shared" si="16"/>
        <v>8197.1</v>
      </c>
    </row>
    <row r="231" spans="1:7" ht="63" x14ac:dyDescent="0.25">
      <c r="A231" s="23" t="s">
        <v>1362</v>
      </c>
      <c r="B231" s="24" t="s">
        <v>222</v>
      </c>
      <c r="C231" s="24" t="s">
        <v>251</v>
      </c>
      <c r="D231" s="20"/>
      <c r="E231" s="20"/>
      <c r="F231" s="4">
        <f t="shared" si="16"/>
        <v>8197.1</v>
      </c>
      <c r="G231" s="4">
        <f t="shared" si="16"/>
        <v>8197.1</v>
      </c>
    </row>
    <row r="232" spans="1:7" ht="15.75" x14ac:dyDescent="0.25">
      <c r="A232" s="23" t="s">
        <v>148</v>
      </c>
      <c r="B232" s="24" t="s">
        <v>222</v>
      </c>
      <c r="C232" s="24" t="s">
        <v>251</v>
      </c>
      <c r="D232" s="24" t="s">
        <v>876</v>
      </c>
      <c r="E232" s="24"/>
      <c r="F232" s="4">
        <f>F233+F240</f>
        <v>8197.1</v>
      </c>
      <c r="G232" s="4">
        <f>G233+G240</f>
        <v>8197.1</v>
      </c>
    </row>
    <row r="233" spans="1:7" ht="31.5" x14ac:dyDescent="0.25">
      <c r="A233" s="23" t="s">
        <v>880</v>
      </c>
      <c r="B233" s="24" t="s">
        <v>222</v>
      </c>
      <c r="C233" s="24" t="s">
        <v>251</v>
      </c>
      <c r="D233" s="24" t="s">
        <v>875</v>
      </c>
      <c r="E233" s="24"/>
      <c r="F233" s="4">
        <f>F234+F237</f>
        <v>2089</v>
      </c>
      <c r="G233" s="4">
        <f>G234+G237</f>
        <v>2089</v>
      </c>
    </row>
    <row r="234" spans="1:7" ht="47.25" x14ac:dyDescent="0.25">
      <c r="A234" s="25" t="s">
        <v>231</v>
      </c>
      <c r="B234" s="20" t="s">
        <v>222</v>
      </c>
      <c r="C234" s="20" t="s">
        <v>251</v>
      </c>
      <c r="D234" s="20" t="s">
        <v>885</v>
      </c>
      <c r="E234" s="20"/>
      <c r="F234" s="6">
        <f>F235</f>
        <v>1785</v>
      </c>
      <c r="G234" s="6">
        <f>G235</f>
        <v>1785</v>
      </c>
    </row>
    <row r="235" spans="1:7" ht="35.450000000000003" customHeight="1" x14ac:dyDescent="0.25">
      <c r="A235" s="25" t="s">
        <v>205</v>
      </c>
      <c r="B235" s="20" t="s">
        <v>222</v>
      </c>
      <c r="C235" s="20" t="s">
        <v>251</v>
      </c>
      <c r="D235" s="20" t="s">
        <v>885</v>
      </c>
      <c r="E235" s="20" t="s">
        <v>139</v>
      </c>
      <c r="F235" s="6">
        <f>F236</f>
        <v>1785</v>
      </c>
      <c r="G235" s="6">
        <f>G236</f>
        <v>1785</v>
      </c>
    </row>
    <row r="236" spans="1:7" ht="47.25" x14ac:dyDescent="0.25">
      <c r="A236" s="25" t="s">
        <v>140</v>
      </c>
      <c r="B236" s="20" t="s">
        <v>222</v>
      </c>
      <c r="C236" s="20" t="s">
        <v>251</v>
      </c>
      <c r="D236" s="20" t="s">
        <v>885</v>
      </c>
      <c r="E236" s="20" t="s">
        <v>141</v>
      </c>
      <c r="F236" s="6">
        <f>'пр.6.1.ведом.22-23'!G178</f>
        <v>1785</v>
      </c>
      <c r="G236" s="6">
        <f>'пр.6.1.ведом.22-23'!H178</f>
        <v>1785</v>
      </c>
    </row>
    <row r="237" spans="1:7" ht="15.75" x14ac:dyDescent="0.25">
      <c r="A237" s="25" t="s">
        <v>237</v>
      </c>
      <c r="B237" s="20" t="s">
        <v>222</v>
      </c>
      <c r="C237" s="20" t="s">
        <v>251</v>
      </c>
      <c r="D237" s="20" t="s">
        <v>886</v>
      </c>
      <c r="E237" s="20"/>
      <c r="F237" s="6">
        <f>F238</f>
        <v>304</v>
      </c>
      <c r="G237" s="6">
        <f>G238</f>
        <v>304</v>
      </c>
    </row>
    <row r="238" spans="1:7" ht="47.25" x14ac:dyDescent="0.25">
      <c r="A238" s="25" t="s">
        <v>205</v>
      </c>
      <c r="B238" s="20" t="s">
        <v>222</v>
      </c>
      <c r="C238" s="20" t="s">
        <v>251</v>
      </c>
      <c r="D238" s="20" t="s">
        <v>886</v>
      </c>
      <c r="E238" s="20" t="s">
        <v>139</v>
      </c>
      <c r="F238" s="6">
        <f>F239</f>
        <v>304</v>
      </c>
      <c r="G238" s="6">
        <f>G239</f>
        <v>304</v>
      </c>
    </row>
    <row r="239" spans="1:7" ht="47.25" x14ac:dyDescent="0.25">
      <c r="A239" s="25" t="s">
        <v>140</v>
      </c>
      <c r="B239" s="20" t="s">
        <v>222</v>
      </c>
      <c r="C239" s="20" t="s">
        <v>251</v>
      </c>
      <c r="D239" s="20" t="s">
        <v>886</v>
      </c>
      <c r="E239" s="20" t="s">
        <v>141</v>
      </c>
      <c r="F239" s="6">
        <f>'пр.6.1.ведом.22-23'!G181+'пр.6.1.ведом.22-23'!G852</f>
        <v>304</v>
      </c>
      <c r="G239" s="6">
        <f>'пр.6.1.ведом.22-23'!H181+'пр.6.1.ведом.22-23'!H852</f>
        <v>304</v>
      </c>
    </row>
    <row r="240" spans="1:7" ht="47.25" x14ac:dyDescent="0.25">
      <c r="A240" s="23" t="s">
        <v>933</v>
      </c>
      <c r="B240" s="24" t="s">
        <v>222</v>
      </c>
      <c r="C240" s="24" t="s">
        <v>251</v>
      </c>
      <c r="D240" s="24" t="s">
        <v>882</v>
      </c>
      <c r="E240" s="24"/>
      <c r="F240" s="4">
        <f>F241+F246</f>
        <v>6108.1</v>
      </c>
      <c r="G240" s="4">
        <f>G241+G246</f>
        <v>6108.1</v>
      </c>
    </row>
    <row r="241" spans="1:9" ht="31.5" x14ac:dyDescent="0.25">
      <c r="A241" s="25" t="s">
        <v>937</v>
      </c>
      <c r="B241" s="20" t="s">
        <v>222</v>
      </c>
      <c r="C241" s="20" t="s">
        <v>251</v>
      </c>
      <c r="D241" s="20" t="s">
        <v>883</v>
      </c>
      <c r="E241" s="20"/>
      <c r="F241" s="6">
        <f>F242+F244</f>
        <v>5856.1</v>
      </c>
      <c r="G241" s="6">
        <f>G242+G244</f>
        <v>5856.1</v>
      </c>
    </row>
    <row r="242" spans="1:9" ht="94.5" x14ac:dyDescent="0.25">
      <c r="A242" s="25" t="s">
        <v>134</v>
      </c>
      <c r="B242" s="20" t="s">
        <v>222</v>
      </c>
      <c r="C242" s="20" t="s">
        <v>251</v>
      </c>
      <c r="D242" s="20" t="s">
        <v>883</v>
      </c>
      <c r="E242" s="20" t="s">
        <v>135</v>
      </c>
      <c r="F242" s="6">
        <f>F243</f>
        <v>5693.1</v>
      </c>
      <c r="G242" s="6">
        <f>G243</f>
        <v>5693.1</v>
      </c>
    </row>
    <row r="243" spans="1:9" ht="31.5" x14ac:dyDescent="0.25">
      <c r="A243" s="25" t="s">
        <v>215</v>
      </c>
      <c r="B243" s="20" t="s">
        <v>222</v>
      </c>
      <c r="C243" s="20" t="s">
        <v>251</v>
      </c>
      <c r="D243" s="20" t="s">
        <v>883</v>
      </c>
      <c r="E243" s="20" t="s">
        <v>216</v>
      </c>
      <c r="F243" s="6">
        <f>'пр.6.1.ведом.22-23'!G185</f>
        <v>5693.1</v>
      </c>
      <c r="G243" s="6">
        <f>'пр.6.1.ведом.22-23'!H185</f>
        <v>5693.1</v>
      </c>
    </row>
    <row r="244" spans="1:9" ht="47.25" x14ac:dyDescent="0.25">
      <c r="A244" s="25" t="s">
        <v>205</v>
      </c>
      <c r="B244" s="20" t="s">
        <v>222</v>
      </c>
      <c r="C244" s="20" t="s">
        <v>251</v>
      </c>
      <c r="D244" s="20" t="s">
        <v>883</v>
      </c>
      <c r="E244" s="20" t="s">
        <v>139</v>
      </c>
      <c r="F244" s="6">
        <f>F245</f>
        <v>163</v>
      </c>
      <c r="G244" s="6">
        <f>G245</f>
        <v>163</v>
      </c>
    </row>
    <row r="245" spans="1:9" ht="47.25" x14ac:dyDescent="0.25">
      <c r="A245" s="25" t="s">
        <v>140</v>
      </c>
      <c r="B245" s="20" t="s">
        <v>222</v>
      </c>
      <c r="C245" s="20" t="s">
        <v>251</v>
      </c>
      <c r="D245" s="20" t="s">
        <v>883</v>
      </c>
      <c r="E245" s="20" t="s">
        <v>141</v>
      </c>
      <c r="F245" s="6">
        <f>'пр.6.1.ведом.22-23'!G187</f>
        <v>163</v>
      </c>
      <c r="G245" s="6">
        <f>'пр.6.1.ведом.22-23'!H187</f>
        <v>163</v>
      </c>
    </row>
    <row r="246" spans="1:9" ht="47.25" x14ac:dyDescent="0.25">
      <c r="A246" s="25" t="s">
        <v>849</v>
      </c>
      <c r="B246" s="20" t="s">
        <v>222</v>
      </c>
      <c r="C246" s="20" t="s">
        <v>251</v>
      </c>
      <c r="D246" s="20" t="s">
        <v>884</v>
      </c>
      <c r="E246" s="20"/>
      <c r="F246" s="6">
        <f>F247</f>
        <v>252</v>
      </c>
      <c r="G246" s="6">
        <f>G247</f>
        <v>252</v>
      </c>
    </row>
    <row r="247" spans="1:9" ht="94.5" x14ac:dyDescent="0.25">
      <c r="A247" s="25" t="s">
        <v>134</v>
      </c>
      <c r="B247" s="20" t="s">
        <v>222</v>
      </c>
      <c r="C247" s="20" t="s">
        <v>251</v>
      </c>
      <c r="D247" s="20" t="s">
        <v>884</v>
      </c>
      <c r="E247" s="20" t="s">
        <v>135</v>
      </c>
      <c r="F247" s="6">
        <f>F248</f>
        <v>252</v>
      </c>
      <c r="G247" s="6">
        <f>G248</f>
        <v>252</v>
      </c>
    </row>
    <row r="248" spans="1:9" ht="31.7" customHeight="1" x14ac:dyDescent="0.25">
      <c r="A248" s="25" t="s">
        <v>136</v>
      </c>
      <c r="B248" s="20" t="s">
        <v>222</v>
      </c>
      <c r="C248" s="20" t="s">
        <v>251</v>
      </c>
      <c r="D248" s="20" t="s">
        <v>884</v>
      </c>
      <c r="E248" s="20" t="s">
        <v>137</v>
      </c>
      <c r="F248" s="6">
        <f>'пр.6.1.ведом.22-23'!G190</f>
        <v>252</v>
      </c>
      <c r="G248" s="6">
        <f>'пр.6.1.ведом.22-23'!H190</f>
        <v>252</v>
      </c>
    </row>
    <row r="249" spans="1:9" ht="15.75" x14ac:dyDescent="0.25">
      <c r="A249" s="23" t="s">
        <v>239</v>
      </c>
      <c r="B249" s="24" t="s">
        <v>157</v>
      </c>
      <c r="C249" s="24"/>
      <c r="D249" s="24"/>
      <c r="E249" s="20"/>
      <c r="F249" s="4">
        <f t="shared" ref="F249" si="17">F263+F269+F283+F250</f>
        <v>6525.2</v>
      </c>
      <c r="G249" s="4">
        <f>G263+G269+G283+G250</f>
        <v>6535.8</v>
      </c>
    </row>
    <row r="250" spans="1:9" ht="15.75" x14ac:dyDescent="0.25">
      <c r="A250" s="23" t="s">
        <v>240</v>
      </c>
      <c r="B250" s="24" t="s">
        <v>157</v>
      </c>
      <c r="C250" s="24" t="s">
        <v>241</v>
      </c>
      <c r="D250" s="24"/>
      <c r="E250" s="20"/>
      <c r="F250" s="4">
        <f>F251</f>
        <v>274</v>
      </c>
      <c r="G250" s="4">
        <f>G251</f>
        <v>274</v>
      </c>
      <c r="H250" s="22"/>
      <c r="I250" s="22"/>
    </row>
    <row r="251" spans="1:9" ht="47.25" x14ac:dyDescent="0.25">
      <c r="A251" s="34" t="s">
        <v>1398</v>
      </c>
      <c r="B251" s="24" t="s">
        <v>157</v>
      </c>
      <c r="C251" s="24" t="s">
        <v>241</v>
      </c>
      <c r="D251" s="196" t="s">
        <v>189</v>
      </c>
      <c r="E251" s="217"/>
      <c r="F251" s="4">
        <f>F252+F259</f>
        <v>274</v>
      </c>
      <c r="G251" s="4">
        <f>G252+G259</f>
        <v>274</v>
      </c>
    </row>
    <row r="252" spans="1:9" ht="47.25" x14ac:dyDescent="0.25">
      <c r="A252" s="34" t="s">
        <v>1016</v>
      </c>
      <c r="B252" s="24" t="s">
        <v>157</v>
      </c>
      <c r="C252" s="24" t="s">
        <v>241</v>
      </c>
      <c r="D252" s="246" t="s">
        <v>887</v>
      </c>
      <c r="E252" s="217"/>
      <c r="F252" s="4">
        <f>F253+F256</f>
        <v>274</v>
      </c>
      <c r="G252" s="4">
        <f>G253+G256</f>
        <v>274</v>
      </c>
    </row>
    <row r="253" spans="1:9" ht="31.5" x14ac:dyDescent="0.25">
      <c r="A253" s="25" t="s">
        <v>242</v>
      </c>
      <c r="B253" s="20" t="s">
        <v>157</v>
      </c>
      <c r="C253" s="20" t="s">
        <v>241</v>
      </c>
      <c r="D253" s="20" t="s">
        <v>908</v>
      </c>
      <c r="E253" s="32"/>
      <c r="F253" s="6">
        <f>F254</f>
        <v>274</v>
      </c>
      <c r="G253" s="6">
        <f>G254</f>
        <v>274</v>
      </c>
    </row>
    <row r="254" spans="1:9" ht="15.75" x14ac:dyDescent="0.25">
      <c r="A254" s="29" t="s">
        <v>142</v>
      </c>
      <c r="B254" s="20" t="s">
        <v>157</v>
      </c>
      <c r="C254" s="20" t="s">
        <v>241</v>
      </c>
      <c r="D254" s="20" t="s">
        <v>908</v>
      </c>
      <c r="E254" s="32" t="s">
        <v>152</v>
      </c>
      <c r="F254" s="6">
        <f>F255</f>
        <v>274</v>
      </c>
      <c r="G254" s="6">
        <f>G255</f>
        <v>274</v>
      </c>
    </row>
    <row r="255" spans="1:9" ht="63" x14ac:dyDescent="0.25">
      <c r="A255" s="29" t="s">
        <v>191</v>
      </c>
      <c r="B255" s="20" t="s">
        <v>157</v>
      </c>
      <c r="C255" s="20" t="s">
        <v>241</v>
      </c>
      <c r="D255" s="20" t="s">
        <v>908</v>
      </c>
      <c r="E255" s="32" t="s">
        <v>167</v>
      </c>
      <c r="F255" s="6">
        <f>'пр.6.1.ведом.22-23'!G197</f>
        <v>274</v>
      </c>
      <c r="G255" s="6">
        <f>'пр.6.1.ведом.22-23'!H197</f>
        <v>274</v>
      </c>
    </row>
    <row r="256" spans="1:9" ht="31.5" hidden="1" x14ac:dyDescent="0.25">
      <c r="A256" s="25" t="s">
        <v>242</v>
      </c>
      <c r="B256" s="20" t="s">
        <v>157</v>
      </c>
      <c r="C256" s="20" t="s">
        <v>241</v>
      </c>
      <c r="D256" s="20" t="s">
        <v>890</v>
      </c>
      <c r="E256" s="20"/>
      <c r="F256" s="6">
        <f>F257</f>
        <v>0</v>
      </c>
      <c r="G256" s="6">
        <f>G257</f>
        <v>0</v>
      </c>
    </row>
    <row r="257" spans="1:7" ht="15.75" hidden="1" x14ac:dyDescent="0.25">
      <c r="A257" s="25" t="s">
        <v>142</v>
      </c>
      <c r="B257" s="20" t="s">
        <v>157</v>
      </c>
      <c r="C257" s="20" t="s">
        <v>241</v>
      </c>
      <c r="D257" s="20" t="s">
        <v>890</v>
      </c>
      <c r="E257" s="20" t="s">
        <v>152</v>
      </c>
      <c r="F257" s="6">
        <f>F258</f>
        <v>0</v>
      </c>
      <c r="G257" s="6">
        <f>G258</f>
        <v>0</v>
      </c>
    </row>
    <row r="258" spans="1:7" ht="63" hidden="1" x14ac:dyDescent="0.25">
      <c r="A258" s="25" t="s">
        <v>191</v>
      </c>
      <c r="B258" s="20" t="s">
        <v>157</v>
      </c>
      <c r="C258" s="20" t="s">
        <v>241</v>
      </c>
      <c r="D258" s="20" t="s">
        <v>890</v>
      </c>
      <c r="E258" s="20" t="s">
        <v>167</v>
      </c>
      <c r="F258" s="6">
        <f>'пр.6.1.ведом.22-23'!G200</f>
        <v>0</v>
      </c>
      <c r="G258" s="6">
        <f>'пр.6.1.ведом.22-23'!H200</f>
        <v>0</v>
      </c>
    </row>
    <row r="259" spans="1:7" ht="47.25" hidden="1" x14ac:dyDescent="0.25">
      <c r="A259" s="209" t="s">
        <v>1017</v>
      </c>
      <c r="B259" s="24" t="s">
        <v>157</v>
      </c>
      <c r="C259" s="24" t="s">
        <v>241</v>
      </c>
      <c r="D259" s="196" t="s">
        <v>889</v>
      </c>
      <c r="E259" s="217"/>
      <c r="F259" s="4">
        <f t="shared" ref="F259:G261" si="18">F260</f>
        <v>0</v>
      </c>
      <c r="G259" s="4">
        <f t="shared" si="18"/>
        <v>0</v>
      </c>
    </row>
    <row r="260" spans="1:7" ht="15.75" hidden="1" x14ac:dyDescent="0.25">
      <c r="A260" s="25" t="s">
        <v>888</v>
      </c>
      <c r="B260" s="20" t="s">
        <v>157</v>
      </c>
      <c r="C260" s="20" t="s">
        <v>241</v>
      </c>
      <c r="D260" s="5" t="s">
        <v>909</v>
      </c>
      <c r="E260" s="32"/>
      <c r="F260" s="6">
        <f t="shared" si="18"/>
        <v>0</v>
      </c>
      <c r="G260" s="6">
        <f t="shared" si="18"/>
        <v>0</v>
      </c>
    </row>
    <row r="261" spans="1:7" ht="15.75" hidden="1" x14ac:dyDescent="0.25">
      <c r="A261" s="29" t="s">
        <v>142</v>
      </c>
      <c r="B261" s="20" t="s">
        <v>157</v>
      </c>
      <c r="C261" s="20" t="s">
        <v>241</v>
      </c>
      <c r="D261" s="5" t="s">
        <v>909</v>
      </c>
      <c r="E261" s="32" t="s">
        <v>152</v>
      </c>
      <c r="F261" s="6">
        <f t="shared" si="18"/>
        <v>0</v>
      </c>
      <c r="G261" s="6">
        <f t="shared" si="18"/>
        <v>0</v>
      </c>
    </row>
    <row r="262" spans="1:7" ht="63" hidden="1" x14ac:dyDescent="0.25">
      <c r="A262" s="29" t="s">
        <v>191</v>
      </c>
      <c r="B262" s="20" t="s">
        <v>157</v>
      </c>
      <c r="C262" s="20" t="s">
        <v>241</v>
      </c>
      <c r="D262" s="5" t="s">
        <v>909</v>
      </c>
      <c r="E262" s="32" t="s">
        <v>167</v>
      </c>
      <c r="F262" s="6">
        <f>'пр.6.1.ведом.22-23'!G204</f>
        <v>0</v>
      </c>
      <c r="G262" s="6">
        <f>'пр.6.1.ведом.22-23'!H204</f>
        <v>0</v>
      </c>
    </row>
    <row r="263" spans="1:7" ht="15.75" x14ac:dyDescent="0.25">
      <c r="A263" s="23" t="s">
        <v>512</v>
      </c>
      <c r="B263" s="24" t="s">
        <v>157</v>
      </c>
      <c r="C263" s="24" t="s">
        <v>306</v>
      </c>
      <c r="D263" s="24"/>
      <c r="E263" s="24"/>
      <c r="F263" s="4">
        <f t="shared" ref="F263:G265" si="19">F264</f>
        <v>3258</v>
      </c>
      <c r="G263" s="4">
        <f t="shared" si="19"/>
        <v>3258</v>
      </c>
    </row>
    <row r="264" spans="1:7" ht="15.75" x14ac:dyDescent="0.25">
      <c r="A264" s="23" t="s">
        <v>148</v>
      </c>
      <c r="B264" s="24" t="s">
        <v>157</v>
      </c>
      <c r="C264" s="24" t="s">
        <v>306</v>
      </c>
      <c r="D264" s="24" t="s">
        <v>876</v>
      </c>
      <c r="E264" s="24"/>
      <c r="F264" s="4">
        <f t="shared" si="19"/>
        <v>3258</v>
      </c>
      <c r="G264" s="4">
        <f t="shared" si="19"/>
        <v>3258</v>
      </c>
    </row>
    <row r="265" spans="1:7" ht="31.5" x14ac:dyDescent="0.25">
      <c r="A265" s="23" t="s">
        <v>880</v>
      </c>
      <c r="B265" s="24" t="s">
        <v>157</v>
      </c>
      <c r="C265" s="24" t="s">
        <v>306</v>
      </c>
      <c r="D265" s="24" t="s">
        <v>875</v>
      </c>
      <c r="E265" s="24"/>
      <c r="F265" s="4">
        <f t="shared" si="19"/>
        <v>3258</v>
      </c>
      <c r="G265" s="4">
        <f t="shared" si="19"/>
        <v>3258</v>
      </c>
    </row>
    <row r="266" spans="1:7" ht="31.5" x14ac:dyDescent="0.25">
      <c r="A266" s="25" t="s">
        <v>513</v>
      </c>
      <c r="B266" s="20" t="s">
        <v>157</v>
      </c>
      <c r="C266" s="20" t="s">
        <v>306</v>
      </c>
      <c r="D266" s="20" t="s">
        <v>967</v>
      </c>
      <c r="E266" s="20"/>
      <c r="F266" s="6">
        <f>F267</f>
        <v>3258</v>
      </c>
      <c r="G266" s="6">
        <f>G267</f>
        <v>3258</v>
      </c>
    </row>
    <row r="267" spans="1:7" ht="31.5" x14ac:dyDescent="0.25">
      <c r="A267" s="25" t="s">
        <v>138</v>
      </c>
      <c r="B267" s="20" t="s">
        <v>157</v>
      </c>
      <c r="C267" s="20" t="s">
        <v>306</v>
      </c>
      <c r="D267" s="20" t="s">
        <v>967</v>
      </c>
      <c r="E267" s="20" t="s">
        <v>139</v>
      </c>
      <c r="F267" s="6">
        <f>F268</f>
        <v>3258</v>
      </c>
      <c r="G267" s="6">
        <f>G268</f>
        <v>3258</v>
      </c>
    </row>
    <row r="268" spans="1:7" ht="47.25" x14ac:dyDescent="0.25">
      <c r="A268" s="25" t="s">
        <v>140</v>
      </c>
      <c r="B268" s="20" t="s">
        <v>157</v>
      </c>
      <c r="C268" s="20" t="s">
        <v>306</v>
      </c>
      <c r="D268" s="20" t="s">
        <v>967</v>
      </c>
      <c r="E268" s="20" t="s">
        <v>141</v>
      </c>
      <c r="F268" s="6">
        <f>'пр.6.1.ведом.22-23'!G859</f>
        <v>3258</v>
      </c>
      <c r="G268" s="6">
        <f>'пр.6.1.ведом.22-23'!H859</f>
        <v>3258</v>
      </c>
    </row>
    <row r="269" spans="1:7" ht="15.75" x14ac:dyDescent="0.25">
      <c r="A269" s="23" t="s">
        <v>515</v>
      </c>
      <c r="B269" s="24" t="s">
        <v>157</v>
      </c>
      <c r="C269" s="24" t="s">
        <v>226</v>
      </c>
      <c r="D269" s="20"/>
      <c r="E269" s="24"/>
      <c r="F269" s="4">
        <f t="shared" ref="F269:G269" si="20">F270</f>
        <v>2319</v>
      </c>
      <c r="G269" s="4">
        <f t="shared" si="20"/>
        <v>2319</v>
      </c>
    </row>
    <row r="270" spans="1:7" ht="47.25" x14ac:dyDescent="0.25">
      <c r="A270" s="34" t="s">
        <v>1387</v>
      </c>
      <c r="B270" s="24" t="s">
        <v>157</v>
      </c>
      <c r="C270" s="24" t="s">
        <v>226</v>
      </c>
      <c r="D270" s="24" t="s">
        <v>517</v>
      </c>
      <c r="E270" s="24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1009</v>
      </c>
      <c r="B271" s="24" t="s">
        <v>157</v>
      </c>
      <c r="C271" s="24" t="s">
        <v>226</v>
      </c>
      <c r="D271" s="7" t="s">
        <v>968</v>
      </c>
      <c r="E271" s="24"/>
      <c r="F271" s="59">
        <f t="shared" ref="F271:G273" si="21">F272</f>
        <v>0</v>
      </c>
      <c r="G271" s="59">
        <f t="shared" si="21"/>
        <v>0</v>
      </c>
    </row>
    <row r="272" spans="1:7" ht="15.75" hidden="1" x14ac:dyDescent="0.25">
      <c r="A272" s="29" t="s">
        <v>1011</v>
      </c>
      <c r="B272" s="20" t="s">
        <v>157</v>
      </c>
      <c r="C272" s="20" t="s">
        <v>226</v>
      </c>
      <c r="D272" s="40" t="s">
        <v>1010</v>
      </c>
      <c r="E272" s="20"/>
      <c r="F272" s="6">
        <f t="shared" si="21"/>
        <v>0</v>
      </c>
      <c r="G272" s="6">
        <f t="shared" si="21"/>
        <v>0</v>
      </c>
    </row>
    <row r="273" spans="1:7" ht="31.5" hidden="1" x14ac:dyDescent="0.25">
      <c r="A273" s="25" t="s">
        <v>138</v>
      </c>
      <c r="B273" s="20" t="s">
        <v>157</v>
      </c>
      <c r="C273" s="20" t="s">
        <v>226</v>
      </c>
      <c r="D273" s="40" t="s">
        <v>1010</v>
      </c>
      <c r="E273" s="20" t="s">
        <v>139</v>
      </c>
      <c r="F273" s="6">
        <f t="shared" si="21"/>
        <v>0</v>
      </c>
      <c r="G273" s="6">
        <f t="shared" si="21"/>
        <v>0</v>
      </c>
    </row>
    <row r="274" spans="1:7" ht="47.25" hidden="1" x14ac:dyDescent="0.25">
      <c r="A274" s="25" t="s">
        <v>140</v>
      </c>
      <c r="B274" s="20" t="s">
        <v>157</v>
      </c>
      <c r="C274" s="20" t="s">
        <v>226</v>
      </c>
      <c r="D274" s="40" t="s">
        <v>1010</v>
      </c>
      <c r="E274" s="20" t="s">
        <v>141</v>
      </c>
      <c r="F274" s="6">
        <f>'пр.6.1.ведом.22-23'!G865</f>
        <v>0</v>
      </c>
      <c r="G274" s="6">
        <f>'пр.6.1.ведом.22-23'!H865</f>
        <v>0</v>
      </c>
    </row>
    <row r="275" spans="1:7" ht="47.25" x14ac:dyDescent="0.25">
      <c r="A275" s="34" t="s">
        <v>1071</v>
      </c>
      <c r="B275" s="24" t="s">
        <v>157</v>
      </c>
      <c r="C275" s="24" t="s">
        <v>226</v>
      </c>
      <c r="D275" s="24" t="s">
        <v>969</v>
      </c>
      <c r="E275" s="24"/>
      <c r="F275" s="368">
        <f t="shared" ref="F275:G279" si="22">F276</f>
        <v>2319</v>
      </c>
      <c r="G275" s="368">
        <f t="shared" si="22"/>
        <v>2319</v>
      </c>
    </row>
    <row r="276" spans="1:7" ht="15.75" x14ac:dyDescent="0.25">
      <c r="A276" s="29" t="s">
        <v>518</v>
      </c>
      <c r="B276" s="20" t="s">
        <v>157</v>
      </c>
      <c r="C276" s="20" t="s">
        <v>226</v>
      </c>
      <c r="D276" s="40" t="s">
        <v>1012</v>
      </c>
      <c r="E276" s="20"/>
      <c r="F276" s="6">
        <f>F279+F277</f>
        <v>2319</v>
      </c>
      <c r="G276" s="6">
        <f>G279+G277</f>
        <v>2319</v>
      </c>
    </row>
    <row r="277" spans="1:7" s="202" customFormat="1" ht="94.5" x14ac:dyDescent="0.25">
      <c r="A277" s="25" t="s">
        <v>134</v>
      </c>
      <c r="B277" s="20" t="s">
        <v>157</v>
      </c>
      <c r="C277" s="20" t="s">
        <v>226</v>
      </c>
      <c r="D277" s="40" t="s">
        <v>1012</v>
      </c>
      <c r="E277" s="20" t="s">
        <v>135</v>
      </c>
      <c r="F277" s="26">
        <f>F278</f>
        <v>1807</v>
      </c>
      <c r="G277" s="26">
        <f>G278</f>
        <v>1807</v>
      </c>
    </row>
    <row r="278" spans="1:7" s="202" customFormat="1" ht="31.5" x14ac:dyDescent="0.25">
      <c r="A278" s="25" t="s">
        <v>349</v>
      </c>
      <c r="B278" s="20" t="s">
        <v>157</v>
      </c>
      <c r="C278" s="20" t="s">
        <v>226</v>
      </c>
      <c r="D278" s="40" t="s">
        <v>1012</v>
      </c>
      <c r="E278" s="20" t="s">
        <v>216</v>
      </c>
      <c r="F278" s="26">
        <f>'пр.6.1.ведом.22-23'!G869</f>
        <v>1807</v>
      </c>
      <c r="G278" s="26">
        <f>'пр.6.1.ведом.22-23'!H869</f>
        <v>1807</v>
      </c>
    </row>
    <row r="279" spans="1:7" ht="31.5" x14ac:dyDescent="0.25">
      <c r="A279" s="25" t="s">
        <v>138</v>
      </c>
      <c r="B279" s="20" t="s">
        <v>157</v>
      </c>
      <c r="C279" s="20" t="s">
        <v>226</v>
      </c>
      <c r="D279" s="40" t="s">
        <v>1012</v>
      </c>
      <c r="E279" s="20" t="s">
        <v>139</v>
      </c>
      <c r="F279" s="6">
        <f t="shared" si="22"/>
        <v>512</v>
      </c>
      <c r="G279" s="6">
        <f t="shared" si="22"/>
        <v>512</v>
      </c>
    </row>
    <row r="280" spans="1:7" ht="47.25" x14ac:dyDescent="0.25">
      <c r="A280" s="25" t="s">
        <v>140</v>
      </c>
      <c r="B280" s="20" t="s">
        <v>157</v>
      </c>
      <c r="C280" s="20" t="s">
        <v>226</v>
      </c>
      <c r="D280" s="40" t="s">
        <v>1012</v>
      </c>
      <c r="E280" s="20" t="s">
        <v>141</v>
      </c>
      <c r="F280" s="6">
        <f>'пр.6.1.ведом.22-23'!G871</f>
        <v>512</v>
      </c>
      <c r="G280" s="6">
        <f>'пр.6.1.ведом.22-23'!H871</f>
        <v>512</v>
      </c>
    </row>
    <row r="281" spans="1:7" ht="15.75" x14ac:dyDescent="0.25">
      <c r="A281" s="25" t="s">
        <v>142</v>
      </c>
      <c r="B281" s="20" t="s">
        <v>157</v>
      </c>
      <c r="C281" s="20" t="s">
        <v>226</v>
      </c>
      <c r="D281" s="40" t="s">
        <v>1012</v>
      </c>
      <c r="E281" s="20" t="s">
        <v>152</v>
      </c>
      <c r="F281" s="6">
        <f>'Пр.3 Рд,пр, ЦС,ВР 21'!F271</f>
        <v>0</v>
      </c>
      <c r="G281" s="6">
        <f t="shared" si="15"/>
        <v>0</v>
      </c>
    </row>
    <row r="282" spans="1:7" ht="15.75" x14ac:dyDescent="0.25">
      <c r="A282" s="25" t="s">
        <v>575</v>
      </c>
      <c r="B282" s="20" t="s">
        <v>157</v>
      </c>
      <c r="C282" s="20" t="s">
        <v>226</v>
      </c>
      <c r="D282" s="40" t="s">
        <v>1012</v>
      </c>
      <c r="E282" s="20" t="s">
        <v>145</v>
      </c>
      <c r="F282" s="6">
        <f>'Пр.3 Рд,пр, ЦС,ВР 21'!F272</f>
        <v>0</v>
      </c>
      <c r="G282" s="6">
        <f t="shared" si="15"/>
        <v>0</v>
      </c>
    </row>
    <row r="283" spans="1:7" ht="31.5" x14ac:dyDescent="0.25">
      <c r="A283" s="23" t="s">
        <v>244</v>
      </c>
      <c r="B283" s="24" t="s">
        <v>157</v>
      </c>
      <c r="C283" s="24" t="s">
        <v>245</v>
      </c>
      <c r="D283" s="24"/>
      <c r="E283" s="24"/>
      <c r="F283" s="59">
        <f>F284+F291+F309</f>
        <v>674.2</v>
      </c>
      <c r="G283" s="59">
        <f>G284+G291+G309</f>
        <v>684.8</v>
      </c>
    </row>
    <row r="284" spans="1:7" ht="31.5" x14ac:dyDescent="0.25">
      <c r="A284" s="23" t="s">
        <v>927</v>
      </c>
      <c r="B284" s="24" t="s">
        <v>157</v>
      </c>
      <c r="C284" s="24" t="s">
        <v>245</v>
      </c>
      <c r="D284" s="24" t="s">
        <v>868</v>
      </c>
      <c r="E284" s="24"/>
      <c r="F284" s="59">
        <f>F285</f>
        <v>264.2</v>
      </c>
      <c r="G284" s="59">
        <f>G285</f>
        <v>274.8</v>
      </c>
    </row>
    <row r="285" spans="1:7" ht="47.25" x14ac:dyDescent="0.25">
      <c r="A285" s="23" t="s">
        <v>895</v>
      </c>
      <c r="B285" s="24" t="s">
        <v>157</v>
      </c>
      <c r="C285" s="24" t="s">
        <v>245</v>
      </c>
      <c r="D285" s="24" t="s">
        <v>873</v>
      </c>
      <c r="E285" s="24"/>
      <c r="F285" s="59">
        <f>F286</f>
        <v>264.2</v>
      </c>
      <c r="G285" s="59">
        <f>G286</f>
        <v>274.8</v>
      </c>
    </row>
    <row r="286" spans="1:7" ht="63" x14ac:dyDescent="0.25">
      <c r="A286" s="31" t="s">
        <v>248</v>
      </c>
      <c r="B286" s="20" t="s">
        <v>157</v>
      </c>
      <c r="C286" s="20" t="s">
        <v>245</v>
      </c>
      <c r="D286" s="20" t="s">
        <v>934</v>
      </c>
      <c r="E286" s="20"/>
      <c r="F286" s="6">
        <f>F287+F289</f>
        <v>264.2</v>
      </c>
      <c r="G286" s="6">
        <f>G287+G289</f>
        <v>274.8</v>
      </c>
    </row>
    <row r="287" spans="1:7" ht="94.5" x14ac:dyDescent="0.25">
      <c r="A287" s="25" t="s">
        <v>134</v>
      </c>
      <c r="B287" s="20" t="s">
        <v>157</v>
      </c>
      <c r="C287" s="20" t="s">
        <v>245</v>
      </c>
      <c r="D287" s="20" t="s">
        <v>934</v>
      </c>
      <c r="E287" s="20" t="s">
        <v>135</v>
      </c>
      <c r="F287" s="6">
        <f>F288</f>
        <v>205.8</v>
      </c>
      <c r="G287" s="6">
        <f>G288</f>
        <v>205.8</v>
      </c>
    </row>
    <row r="288" spans="1:7" ht="31.5" x14ac:dyDescent="0.25">
      <c r="A288" s="25" t="s">
        <v>136</v>
      </c>
      <c r="B288" s="20" t="s">
        <v>157</v>
      </c>
      <c r="C288" s="20" t="s">
        <v>245</v>
      </c>
      <c r="D288" s="20" t="s">
        <v>934</v>
      </c>
      <c r="E288" s="20" t="s">
        <v>137</v>
      </c>
      <c r="F288" s="6">
        <f>'пр.6.1.ведом.22-23'!G210</f>
        <v>205.8</v>
      </c>
      <c r="G288" s="6">
        <f>'пр.6.1.ведом.22-23'!H210</f>
        <v>205.8</v>
      </c>
    </row>
    <row r="289" spans="1:7" ht="31.5" x14ac:dyDescent="0.25">
      <c r="A289" s="25" t="s">
        <v>138</v>
      </c>
      <c r="B289" s="20" t="s">
        <v>157</v>
      </c>
      <c r="C289" s="20" t="s">
        <v>245</v>
      </c>
      <c r="D289" s="20" t="s">
        <v>934</v>
      </c>
      <c r="E289" s="20" t="s">
        <v>139</v>
      </c>
      <c r="F289" s="6">
        <f>F290</f>
        <v>58.4</v>
      </c>
      <c r="G289" s="6">
        <f>G290</f>
        <v>69</v>
      </c>
    </row>
    <row r="290" spans="1:7" ht="47.25" x14ac:dyDescent="0.25">
      <c r="A290" s="25" t="s">
        <v>140</v>
      </c>
      <c r="B290" s="20" t="s">
        <v>157</v>
      </c>
      <c r="C290" s="20" t="s">
        <v>245</v>
      </c>
      <c r="D290" s="20" t="s">
        <v>934</v>
      </c>
      <c r="E290" s="20" t="s">
        <v>141</v>
      </c>
      <c r="F290" s="6">
        <f>'пр.6.1.ведом.22-23'!G212</f>
        <v>58.4</v>
      </c>
      <c r="G290" s="6">
        <f>'пр.6.1.ведом.22-23'!H212</f>
        <v>69</v>
      </c>
    </row>
    <row r="291" spans="1:7" ht="47.25" x14ac:dyDescent="0.25">
      <c r="A291" s="23" t="s">
        <v>1389</v>
      </c>
      <c r="B291" s="24" t="s">
        <v>157</v>
      </c>
      <c r="C291" s="24" t="s">
        <v>245</v>
      </c>
      <c r="D291" s="24" t="s">
        <v>351</v>
      </c>
      <c r="E291" s="217"/>
      <c r="F291" s="59">
        <f>F292</f>
        <v>260</v>
      </c>
      <c r="G291" s="59">
        <f>G292</f>
        <v>260</v>
      </c>
    </row>
    <row r="292" spans="1:7" ht="63" x14ac:dyDescent="0.25">
      <c r="A292" s="23" t="s">
        <v>374</v>
      </c>
      <c r="B292" s="24" t="s">
        <v>157</v>
      </c>
      <c r="C292" s="24" t="s">
        <v>245</v>
      </c>
      <c r="D292" s="24" t="s">
        <v>363</v>
      </c>
      <c r="E292" s="24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10" t="s">
        <v>1053</v>
      </c>
      <c r="B293" s="24" t="s">
        <v>157</v>
      </c>
      <c r="C293" s="24" t="s">
        <v>245</v>
      </c>
      <c r="D293" s="24" t="s">
        <v>917</v>
      </c>
      <c r="E293" s="24"/>
      <c r="F293" s="59">
        <f>F294</f>
        <v>0</v>
      </c>
      <c r="G293" s="59">
        <f>G294</f>
        <v>0</v>
      </c>
    </row>
    <row r="294" spans="1:7" ht="63" hidden="1" x14ac:dyDescent="0.25">
      <c r="A294" s="25" t="s">
        <v>382</v>
      </c>
      <c r="B294" s="20" t="s">
        <v>157</v>
      </c>
      <c r="C294" s="20" t="s">
        <v>245</v>
      </c>
      <c r="D294" s="20" t="s">
        <v>1331</v>
      </c>
      <c r="E294" s="20"/>
      <c r="F294" s="6">
        <f>'Пр.3 Рд,пр, ЦС,ВР 21'!F284</f>
        <v>0</v>
      </c>
      <c r="G294" s="6">
        <f t="shared" ref="G294:G341" si="23">F294</f>
        <v>0</v>
      </c>
    </row>
    <row r="295" spans="1:7" ht="31.5" hidden="1" x14ac:dyDescent="0.25">
      <c r="A295" s="25" t="s">
        <v>255</v>
      </c>
      <c r="B295" s="20" t="s">
        <v>157</v>
      </c>
      <c r="C295" s="20" t="s">
        <v>245</v>
      </c>
      <c r="D295" s="20" t="s">
        <v>1331</v>
      </c>
      <c r="E295" s="20" t="s">
        <v>256</v>
      </c>
      <c r="F295" s="6">
        <f>'Пр.3 Рд,пр, ЦС,ВР 21'!F285</f>
        <v>0</v>
      </c>
      <c r="G295" s="6">
        <f t="shared" si="23"/>
        <v>0</v>
      </c>
    </row>
    <row r="296" spans="1:7" ht="31.5" hidden="1" x14ac:dyDescent="0.25">
      <c r="A296" s="25" t="s">
        <v>257</v>
      </c>
      <c r="B296" s="20" t="s">
        <v>157</v>
      </c>
      <c r="C296" s="20" t="s">
        <v>245</v>
      </c>
      <c r="D296" s="20" t="s">
        <v>1331</v>
      </c>
      <c r="E296" s="20" t="s">
        <v>258</v>
      </c>
      <c r="F296" s="6">
        <f>'Пр.3 Рд,пр, ЦС,ВР 21'!F286</f>
        <v>0</v>
      </c>
      <c r="G296" s="6">
        <f t="shared" si="23"/>
        <v>0</v>
      </c>
    </row>
    <row r="297" spans="1:7" ht="47.25" x14ac:dyDescent="0.25">
      <c r="A297" s="23" t="s">
        <v>1051</v>
      </c>
      <c r="B297" s="24" t="s">
        <v>157</v>
      </c>
      <c r="C297" s="24" t="s">
        <v>245</v>
      </c>
      <c r="D297" s="24" t="s">
        <v>1214</v>
      </c>
      <c r="E297" s="24"/>
      <c r="F297" s="59">
        <f t="shared" ref="F297:G299" si="24">F298</f>
        <v>260</v>
      </c>
      <c r="G297" s="59">
        <f t="shared" si="24"/>
        <v>260</v>
      </c>
    </row>
    <row r="298" spans="1:7" ht="126" x14ac:dyDescent="0.25">
      <c r="A298" s="25" t="s">
        <v>1549</v>
      </c>
      <c r="B298" s="20" t="s">
        <v>157</v>
      </c>
      <c r="C298" s="20" t="s">
        <v>245</v>
      </c>
      <c r="D298" s="20" t="s">
        <v>1215</v>
      </c>
      <c r="E298" s="20"/>
      <c r="F298" s="6">
        <f t="shared" si="24"/>
        <v>260</v>
      </c>
      <c r="G298" s="6">
        <f t="shared" si="24"/>
        <v>260</v>
      </c>
    </row>
    <row r="299" spans="1:7" ht="15.75" x14ac:dyDescent="0.25">
      <c r="A299" s="25" t="s">
        <v>142</v>
      </c>
      <c r="B299" s="20" t="s">
        <v>157</v>
      </c>
      <c r="C299" s="20" t="s">
        <v>245</v>
      </c>
      <c r="D299" s="20" t="s">
        <v>1215</v>
      </c>
      <c r="E299" s="20" t="s">
        <v>152</v>
      </c>
      <c r="F299" s="6">
        <f t="shared" si="24"/>
        <v>260</v>
      </c>
      <c r="G299" s="6">
        <f t="shared" si="24"/>
        <v>260</v>
      </c>
    </row>
    <row r="300" spans="1:7" ht="63" x14ac:dyDescent="0.25">
      <c r="A300" s="25" t="s">
        <v>191</v>
      </c>
      <c r="B300" s="20" t="s">
        <v>157</v>
      </c>
      <c r="C300" s="20" t="s">
        <v>245</v>
      </c>
      <c r="D300" s="20" t="s">
        <v>1215</v>
      </c>
      <c r="E300" s="20" t="s">
        <v>167</v>
      </c>
      <c r="F300" s="6">
        <f>'пр.6.1.ведом.22-23'!G284</f>
        <v>260</v>
      </c>
      <c r="G300" s="6">
        <f>'пр.6.1.ведом.22-23'!H284</f>
        <v>260</v>
      </c>
    </row>
    <row r="301" spans="1:7" ht="31.5" hidden="1" x14ac:dyDescent="0.25">
      <c r="A301" s="23" t="s">
        <v>1005</v>
      </c>
      <c r="B301" s="24" t="s">
        <v>157</v>
      </c>
      <c r="C301" s="24" t="s">
        <v>245</v>
      </c>
      <c r="D301" s="24" t="s">
        <v>1324</v>
      </c>
      <c r="E301" s="24"/>
      <c r="F301" s="59">
        <f>F302</f>
        <v>0</v>
      </c>
      <c r="G301" s="59">
        <f>G302</f>
        <v>0</v>
      </c>
    </row>
    <row r="302" spans="1:7" ht="47.25" hidden="1" x14ac:dyDescent="0.25">
      <c r="A302" s="247" t="s">
        <v>1054</v>
      </c>
      <c r="B302" s="20" t="s">
        <v>157</v>
      </c>
      <c r="C302" s="20" t="s">
        <v>245</v>
      </c>
      <c r="D302" s="20" t="s">
        <v>1325</v>
      </c>
      <c r="E302" s="20"/>
      <c r="F302" s="6">
        <f>'Пр.3 Рд,пр, ЦС,ВР 21'!F292</f>
        <v>0</v>
      </c>
      <c r="G302" s="6">
        <f t="shared" si="23"/>
        <v>0</v>
      </c>
    </row>
    <row r="303" spans="1:7" ht="31.5" hidden="1" x14ac:dyDescent="0.25">
      <c r="A303" s="25" t="s">
        <v>138</v>
      </c>
      <c r="B303" s="20" t="s">
        <v>157</v>
      </c>
      <c r="C303" s="20" t="s">
        <v>245</v>
      </c>
      <c r="D303" s="20" t="s">
        <v>1325</v>
      </c>
      <c r="E303" s="20" t="s">
        <v>139</v>
      </c>
      <c r="F303" s="6">
        <f>'Пр.3 Рд,пр, ЦС,ВР 21'!F293</f>
        <v>0</v>
      </c>
      <c r="G303" s="6">
        <f t="shared" si="23"/>
        <v>0</v>
      </c>
    </row>
    <row r="304" spans="1:7" ht="47.25" hidden="1" x14ac:dyDescent="0.25">
      <c r="A304" s="25" t="s">
        <v>140</v>
      </c>
      <c r="B304" s="20" t="s">
        <v>157</v>
      </c>
      <c r="C304" s="20" t="s">
        <v>245</v>
      </c>
      <c r="D304" s="20" t="s">
        <v>1325</v>
      </c>
      <c r="E304" s="20" t="s">
        <v>141</v>
      </c>
      <c r="F304" s="6">
        <f>'Пр.3 Рд,пр, ЦС,ВР 21'!F294</f>
        <v>0</v>
      </c>
      <c r="G304" s="6">
        <f t="shared" si="23"/>
        <v>0</v>
      </c>
    </row>
    <row r="305" spans="1:9" s="202" customFormat="1" ht="47.25" hidden="1" x14ac:dyDescent="0.25">
      <c r="A305" s="207" t="s">
        <v>1113</v>
      </c>
      <c r="B305" s="24" t="s">
        <v>157</v>
      </c>
      <c r="C305" s="24" t="s">
        <v>245</v>
      </c>
      <c r="D305" s="24" t="s">
        <v>1216</v>
      </c>
      <c r="E305" s="24"/>
      <c r="F305" s="21">
        <f t="shared" ref="F305:G307" si="25">F306</f>
        <v>0</v>
      </c>
      <c r="G305" s="21">
        <f t="shared" si="25"/>
        <v>0</v>
      </c>
    </row>
    <row r="306" spans="1:9" s="202" customFormat="1" ht="31.5" hidden="1" x14ac:dyDescent="0.25">
      <c r="A306" s="226" t="s">
        <v>1114</v>
      </c>
      <c r="B306" s="20" t="s">
        <v>157</v>
      </c>
      <c r="C306" s="20" t="s">
        <v>245</v>
      </c>
      <c r="D306" s="20" t="s">
        <v>1217</v>
      </c>
      <c r="E306" s="20"/>
      <c r="F306" s="26">
        <f t="shared" si="25"/>
        <v>0</v>
      </c>
      <c r="G306" s="6">
        <f t="shared" si="25"/>
        <v>0</v>
      </c>
    </row>
    <row r="307" spans="1:9" s="202" customFormat="1" ht="31.5" hidden="1" x14ac:dyDescent="0.25">
      <c r="A307" s="25" t="s">
        <v>138</v>
      </c>
      <c r="B307" s="20" t="s">
        <v>157</v>
      </c>
      <c r="C307" s="20" t="s">
        <v>245</v>
      </c>
      <c r="D307" s="20" t="s">
        <v>1217</v>
      </c>
      <c r="E307" s="20" t="s">
        <v>139</v>
      </c>
      <c r="F307" s="26">
        <f t="shared" si="25"/>
        <v>0</v>
      </c>
      <c r="G307" s="6">
        <f t="shared" si="25"/>
        <v>0</v>
      </c>
    </row>
    <row r="308" spans="1:9" s="202" customFormat="1" ht="47.25" hidden="1" x14ac:dyDescent="0.25">
      <c r="A308" s="25" t="s">
        <v>140</v>
      </c>
      <c r="B308" s="20" t="s">
        <v>157</v>
      </c>
      <c r="C308" s="20" t="s">
        <v>245</v>
      </c>
      <c r="D308" s="20" t="s">
        <v>1217</v>
      </c>
      <c r="E308" s="20" t="s">
        <v>141</v>
      </c>
      <c r="F308" s="26">
        <f>'пр.6.1.ведом.22-23'!G292</f>
        <v>0</v>
      </c>
      <c r="G308" s="6">
        <f>'пр.6.1.ведом.22-23'!H292</f>
        <v>0</v>
      </c>
    </row>
    <row r="309" spans="1:9" ht="47.25" x14ac:dyDescent="0.25">
      <c r="A309" s="23" t="s">
        <v>1353</v>
      </c>
      <c r="B309" s="24" t="s">
        <v>157</v>
      </c>
      <c r="C309" s="24" t="s">
        <v>245</v>
      </c>
      <c r="D309" s="24" t="s">
        <v>163</v>
      </c>
      <c r="E309" s="24"/>
      <c r="F309" s="59">
        <f t="shared" ref="F309:G312" si="26">F310</f>
        <v>150</v>
      </c>
      <c r="G309" s="59">
        <f t="shared" si="26"/>
        <v>150</v>
      </c>
    </row>
    <row r="310" spans="1:9" ht="47.25" x14ac:dyDescent="0.25">
      <c r="A310" s="23" t="s">
        <v>1075</v>
      </c>
      <c r="B310" s="24" t="s">
        <v>157</v>
      </c>
      <c r="C310" s="24" t="s">
        <v>245</v>
      </c>
      <c r="D310" s="24" t="s">
        <v>1072</v>
      </c>
      <c r="E310" s="24"/>
      <c r="F310" s="59">
        <f t="shared" si="26"/>
        <v>150</v>
      </c>
      <c r="G310" s="59">
        <f t="shared" si="26"/>
        <v>150</v>
      </c>
    </row>
    <row r="311" spans="1:9" ht="31.5" x14ac:dyDescent="0.25">
      <c r="A311" s="25" t="s">
        <v>1076</v>
      </c>
      <c r="B311" s="20" t="s">
        <v>157</v>
      </c>
      <c r="C311" s="20" t="s">
        <v>245</v>
      </c>
      <c r="D311" s="20" t="s">
        <v>1073</v>
      </c>
      <c r="E311" s="20"/>
      <c r="F311" s="6">
        <f t="shared" si="26"/>
        <v>150</v>
      </c>
      <c r="G311" s="6">
        <f t="shared" si="26"/>
        <v>150</v>
      </c>
    </row>
    <row r="312" spans="1:9" ht="15.75" x14ac:dyDescent="0.25">
      <c r="A312" s="25" t="s">
        <v>142</v>
      </c>
      <c r="B312" s="20" t="s">
        <v>157</v>
      </c>
      <c r="C312" s="20" t="s">
        <v>245</v>
      </c>
      <c r="D312" s="20" t="s">
        <v>1073</v>
      </c>
      <c r="E312" s="20" t="s">
        <v>152</v>
      </c>
      <c r="F312" s="6">
        <f t="shared" si="26"/>
        <v>150</v>
      </c>
      <c r="G312" s="6">
        <f t="shared" si="26"/>
        <v>150</v>
      </c>
    </row>
    <row r="313" spans="1:9" ht="63" x14ac:dyDescent="0.25">
      <c r="A313" s="25" t="s">
        <v>191</v>
      </c>
      <c r="B313" s="20" t="s">
        <v>157</v>
      </c>
      <c r="C313" s="20" t="s">
        <v>245</v>
      </c>
      <c r="D313" s="20" t="s">
        <v>1073</v>
      </c>
      <c r="E313" s="20" t="s">
        <v>167</v>
      </c>
      <c r="F313" s="6">
        <f>'пр.6.1.ведом.22-23'!G217</f>
        <v>150</v>
      </c>
      <c r="G313" s="6">
        <f>'пр.6.1.ведом.22-23'!H217</f>
        <v>150</v>
      </c>
    </row>
    <row r="314" spans="1:9" ht="15.75" x14ac:dyDescent="0.25">
      <c r="A314" s="23" t="s">
        <v>397</v>
      </c>
      <c r="B314" s="24" t="s">
        <v>241</v>
      </c>
      <c r="C314" s="24"/>
      <c r="D314" s="24"/>
      <c r="E314" s="24"/>
      <c r="F314" s="4">
        <f>F315++F329+F393+F443</f>
        <v>42176.1</v>
      </c>
      <c r="G314" s="4">
        <f>G315++G329+G393+G443</f>
        <v>50288.45</v>
      </c>
    </row>
    <row r="315" spans="1:9" ht="15.75" x14ac:dyDescent="0.25">
      <c r="A315" s="23" t="s">
        <v>398</v>
      </c>
      <c r="B315" s="24" t="s">
        <v>241</v>
      </c>
      <c r="C315" s="24" t="s">
        <v>125</v>
      </c>
      <c r="D315" s="24"/>
      <c r="E315" s="24"/>
      <c r="F315" s="4">
        <f t="shared" ref="F315:G316" si="27">F316</f>
        <v>6060.4</v>
      </c>
      <c r="G315" s="4">
        <f t="shared" si="27"/>
        <v>6060.4</v>
      </c>
      <c r="I315" s="22"/>
    </row>
    <row r="316" spans="1:9" ht="15.75" x14ac:dyDescent="0.25">
      <c r="A316" s="23" t="s">
        <v>148</v>
      </c>
      <c r="B316" s="24" t="s">
        <v>241</v>
      </c>
      <c r="C316" s="24" t="s">
        <v>125</v>
      </c>
      <c r="D316" s="24" t="s">
        <v>876</v>
      </c>
      <c r="E316" s="24"/>
      <c r="F316" s="4">
        <f t="shared" si="27"/>
        <v>6060.4</v>
      </c>
      <c r="G316" s="4">
        <f t="shared" si="27"/>
        <v>6060.4</v>
      </c>
    </row>
    <row r="317" spans="1:9" ht="31.5" x14ac:dyDescent="0.25">
      <c r="A317" s="23" t="s">
        <v>880</v>
      </c>
      <c r="B317" s="24" t="s">
        <v>241</v>
      </c>
      <c r="C317" s="24" t="s">
        <v>125</v>
      </c>
      <c r="D317" s="24" t="s">
        <v>875</v>
      </c>
      <c r="E317" s="24"/>
      <c r="F317" s="4">
        <f>F318+F323+F326</f>
        <v>6060.4</v>
      </c>
      <c r="G317" s="4">
        <f>G318+G323+G326</f>
        <v>6060.4</v>
      </c>
    </row>
    <row r="318" spans="1:9" ht="15.75" hidden="1" x14ac:dyDescent="0.25">
      <c r="A318" s="25" t="s">
        <v>522</v>
      </c>
      <c r="B318" s="20" t="s">
        <v>784</v>
      </c>
      <c r="C318" s="20" t="s">
        <v>125</v>
      </c>
      <c r="D318" s="20" t="s">
        <v>970</v>
      </c>
      <c r="E318" s="24"/>
      <c r="F318" s="6">
        <f>'Пр.3 Рд,пр, ЦС,ВР 21'!F308</f>
        <v>0</v>
      </c>
      <c r="G318" s="6">
        <f t="shared" si="23"/>
        <v>0</v>
      </c>
    </row>
    <row r="319" spans="1:9" ht="31.5" hidden="1" x14ac:dyDescent="0.25">
      <c r="A319" s="25" t="s">
        <v>138</v>
      </c>
      <c r="B319" s="20" t="s">
        <v>241</v>
      </c>
      <c r="C319" s="20" t="s">
        <v>125</v>
      </c>
      <c r="D319" s="20" t="s">
        <v>970</v>
      </c>
      <c r="E319" s="20" t="s">
        <v>139</v>
      </c>
      <c r="F319" s="6">
        <f>'Пр.3 Рд,пр, ЦС,ВР 21'!F309</f>
        <v>0</v>
      </c>
      <c r="G319" s="6">
        <f t="shared" si="23"/>
        <v>0</v>
      </c>
    </row>
    <row r="320" spans="1:9" ht="47.25" hidden="1" x14ac:dyDescent="0.25">
      <c r="A320" s="25" t="s">
        <v>140</v>
      </c>
      <c r="B320" s="20" t="s">
        <v>241</v>
      </c>
      <c r="C320" s="20" t="s">
        <v>125</v>
      </c>
      <c r="D320" s="20" t="s">
        <v>970</v>
      </c>
      <c r="E320" s="20" t="s">
        <v>141</v>
      </c>
      <c r="F320" s="6">
        <f>'Пр.3 Рд,пр, ЦС,ВР 21'!F310</f>
        <v>0</v>
      </c>
      <c r="G320" s="6">
        <f t="shared" si="23"/>
        <v>0</v>
      </c>
    </row>
    <row r="321" spans="1:7" ht="15.75" hidden="1" x14ac:dyDescent="0.25">
      <c r="A321" s="25" t="s">
        <v>142</v>
      </c>
      <c r="B321" s="20" t="s">
        <v>241</v>
      </c>
      <c r="C321" s="20" t="s">
        <v>125</v>
      </c>
      <c r="D321" s="20" t="s">
        <v>970</v>
      </c>
      <c r="E321" s="20" t="s">
        <v>152</v>
      </c>
      <c r="F321" s="6">
        <f>'Пр.3 Рд,пр, ЦС,ВР 21'!F311</f>
        <v>0</v>
      </c>
      <c r="G321" s="6">
        <f t="shared" si="23"/>
        <v>0</v>
      </c>
    </row>
    <row r="322" spans="1:7" ht="63" hidden="1" x14ac:dyDescent="0.25">
      <c r="A322" s="25" t="s">
        <v>191</v>
      </c>
      <c r="B322" s="20" t="s">
        <v>241</v>
      </c>
      <c r="C322" s="20" t="s">
        <v>125</v>
      </c>
      <c r="D322" s="20" t="s">
        <v>970</v>
      </c>
      <c r="E322" s="20" t="s">
        <v>167</v>
      </c>
      <c r="F322" s="6">
        <f>'Пр.3 Рд,пр, ЦС,ВР 21'!F312</f>
        <v>0</v>
      </c>
      <c r="G322" s="6">
        <f t="shared" si="23"/>
        <v>0</v>
      </c>
    </row>
    <row r="323" spans="1:7" ht="31.5" x14ac:dyDescent="0.25">
      <c r="A323" s="29" t="s">
        <v>405</v>
      </c>
      <c r="B323" s="20" t="s">
        <v>241</v>
      </c>
      <c r="C323" s="20" t="s">
        <v>125</v>
      </c>
      <c r="D323" s="20" t="s">
        <v>971</v>
      </c>
      <c r="E323" s="24"/>
      <c r="F323" s="6">
        <f>F324</f>
        <v>4920.3999999999996</v>
      </c>
      <c r="G323" s="6">
        <f>G324</f>
        <v>4920.3999999999996</v>
      </c>
    </row>
    <row r="324" spans="1:7" ht="31.5" x14ac:dyDescent="0.25">
      <c r="A324" s="25" t="s">
        <v>138</v>
      </c>
      <c r="B324" s="20" t="s">
        <v>241</v>
      </c>
      <c r="C324" s="20" t="s">
        <v>125</v>
      </c>
      <c r="D324" s="20" t="s">
        <v>971</v>
      </c>
      <c r="E324" s="20" t="s">
        <v>139</v>
      </c>
      <c r="F324" s="6">
        <f>F325</f>
        <v>4920.3999999999996</v>
      </c>
      <c r="G324" s="6">
        <f>G325</f>
        <v>4920.3999999999996</v>
      </c>
    </row>
    <row r="325" spans="1:7" ht="47.25" x14ac:dyDescent="0.25">
      <c r="A325" s="25" t="s">
        <v>140</v>
      </c>
      <c r="B325" s="20" t="s">
        <v>241</v>
      </c>
      <c r="C325" s="20" t="s">
        <v>125</v>
      </c>
      <c r="D325" s="20" t="s">
        <v>971</v>
      </c>
      <c r="E325" s="20" t="s">
        <v>141</v>
      </c>
      <c r="F325" s="6">
        <f>'пр.6.1.ведом.22-23'!G885+'пр.6.1.ведом.22-23'!G527</f>
        <v>4920.3999999999996</v>
      </c>
      <c r="G325" s="6">
        <f>'пр.6.1.ведом.22-23'!H885+'пр.6.1.ведом.22-23'!H527</f>
        <v>4920.3999999999996</v>
      </c>
    </row>
    <row r="326" spans="1:7" ht="47.25" x14ac:dyDescent="0.25">
      <c r="A326" s="29" t="s">
        <v>942</v>
      </c>
      <c r="B326" s="20" t="s">
        <v>241</v>
      </c>
      <c r="C326" s="20" t="s">
        <v>125</v>
      </c>
      <c r="D326" s="20" t="s">
        <v>972</v>
      </c>
      <c r="E326" s="24"/>
      <c r="F326" s="6">
        <f>F327</f>
        <v>1140</v>
      </c>
      <c r="G326" s="6">
        <f>G327</f>
        <v>1140</v>
      </c>
    </row>
    <row r="327" spans="1:7" ht="31.5" x14ac:dyDescent="0.25">
      <c r="A327" s="25" t="s">
        <v>138</v>
      </c>
      <c r="B327" s="20" t="s">
        <v>241</v>
      </c>
      <c r="C327" s="20" t="s">
        <v>125</v>
      </c>
      <c r="D327" s="20" t="s">
        <v>972</v>
      </c>
      <c r="E327" s="20" t="s">
        <v>139</v>
      </c>
      <c r="F327" s="6">
        <f>F328</f>
        <v>1140</v>
      </c>
      <c r="G327" s="6">
        <f>G328</f>
        <v>1140</v>
      </c>
    </row>
    <row r="328" spans="1:7" ht="47.25" x14ac:dyDescent="0.25">
      <c r="A328" s="25" t="s">
        <v>140</v>
      </c>
      <c r="B328" s="20" t="s">
        <v>241</v>
      </c>
      <c r="C328" s="20" t="s">
        <v>125</v>
      </c>
      <c r="D328" s="20" t="s">
        <v>972</v>
      </c>
      <c r="E328" s="20" t="s">
        <v>141</v>
      </c>
      <c r="F328" s="6">
        <f>'пр.6.1.ведом.22-23'!G530+'пр.6.1.ведом.22-23'!G888</f>
        <v>1140</v>
      </c>
      <c r="G328" s="6">
        <f>'пр.6.1.ведом.22-23'!H530+'пр.6.1.ведом.22-23'!H888</f>
        <v>1140</v>
      </c>
    </row>
    <row r="329" spans="1:7" ht="15.75" x14ac:dyDescent="0.25">
      <c r="A329" s="23" t="s">
        <v>524</v>
      </c>
      <c r="B329" s="24" t="s">
        <v>241</v>
      </c>
      <c r="C329" s="24" t="s">
        <v>220</v>
      </c>
      <c r="D329" s="24"/>
      <c r="E329" s="24"/>
      <c r="F329" s="4">
        <f>F359+F330+F388</f>
        <v>7001.199999999998</v>
      </c>
      <c r="G329" s="4">
        <f>G359+G330+G388</f>
        <v>14860.550000000001</v>
      </c>
    </row>
    <row r="330" spans="1:7" ht="15.75" x14ac:dyDescent="0.25">
      <c r="A330" s="23" t="s">
        <v>148</v>
      </c>
      <c r="B330" s="24" t="s">
        <v>241</v>
      </c>
      <c r="C330" s="24" t="s">
        <v>220</v>
      </c>
      <c r="D330" s="24" t="s">
        <v>876</v>
      </c>
      <c r="E330" s="24"/>
      <c r="F330" s="4">
        <f>F331+F342</f>
        <v>5707.199999999998</v>
      </c>
      <c r="G330" s="4">
        <f>G331+G342</f>
        <v>13555.550000000001</v>
      </c>
    </row>
    <row r="331" spans="1:7" ht="31.5" x14ac:dyDescent="0.25">
      <c r="A331" s="23" t="s">
        <v>880</v>
      </c>
      <c r="B331" s="24" t="s">
        <v>241</v>
      </c>
      <c r="C331" s="24" t="s">
        <v>220</v>
      </c>
      <c r="D331" s="24" t="s">
        <v>875</v>
      </c>
      <c r="E331" s="24"/>
      <c r="F331" s="4">
        <f>F332+F337</f>
        <v>5707.199999999998</v>
      </c>
      <c r="G331" s="4">
        <f>G332+G337</f>
        <v>13555.550000000001</v>
      </c>
    </row>
    <row r="332" spans="1:7" ht="31.5" hidden="1" x14ac:dyDescent="0.25">
      <c r="A332" s="35" t="s">
        <v>544</v>
      </c>
      <c r="B332" s="20" t="s">
        <v>241</v>
      </c>
      <c r="C332" s="20" t="s">
        <v>220</v>
      </c>
      <c r="D332" s="20" t="s">
        <v>989</v>
      </c>
      <c r="E332" s="20"/>
      <c r="F332" s="6">
        <f>F333+F335</f>
        <v>0</v>
      </c>
      <c r="G332" s="6">
        <f t="shared" si="23"/>
        <v>0</v>
      </c>
    </row>
    <row r="333" spans="1:7" ht="31.5" hidden="1" x14ac:dyDescent="0.25">
      <c r="A333" s="25" t="s">
        <v>138</v>
      </c>
      <c r="B333" s="20" t="s">
        <v>241</v>
      </c>
      <c r="C333" s="20" t="s">
        <v>220</v>
      </c>
      <c r="D333" s="20" t="s">
        <v>989</v>
      </c>
      <c r="E333" s="20" t="s">
        <v>139</v>
      </c>
      <c r="F333" s="6">
        <f>F334</f>
        <v>0</v>
      </c>
      <c r="G333" s="6">
        <f t="shared" si="23"/>
        <v>0</v>
      </c>
    </row>
    <row r="334" spans="1:7" ht="47.25" hidden="1" x14ac:dyDescent="0.25">
      <c r="A334" s="25" t="s">
        <v>140</v>
      </c>
      <c r="B334" s="20" t="s">
        <v>241</v>
      </c>
      <c r="C334" s="20" t="s">
        <v>220</v>
      </c>
      <c r="D334" s="20" t="s">
        <v>989</v>
      </c>
      <c r="E334" s="20" t="s">
        <v>141</v>
      </c>
      <c r="F334" s="6">
        <f>'пр.6.1.ведом.22-23'!G894</f>
        <v>0</v>
      </c>
      <c r="G334" s="6">
        <f t="shared" si="23"/>
        <v>0</v>
      </c>
    </row>
    <row r="335" spans="1:7" ht="15.75" hidden="1" x14ac:dyDescent="0.25">
      <c r="A335" s="25" t="s">
        <v>142</v>
      </c>
      <c r="B335" s="20" t="s">
        <v>241</v>
      </c>
      <c r="C335" s="20" t="s">
        <v>220</v>
      </c>
      <c r="D335" s="20" t="s">
        <v>989</v>
      </c>
      <c r="E335" s="20" t="s">
        <v>152</v>
      </c>
      <c r="F335" s="6">
        <f>F336</f>
        <v>0</v>
      </c>
      <c r="G335" s="6">
        <f t="shared" si="23"/>
        <v>0</v>
      </c>
    </row>
    <row r="336" spans="1:7" ht="63" hidden="1" x14ac:dyDescent="0.25">
      <c r="A336" s="25" t="s">
        <v>191</v>
      </c>
      <c r="B336" s="20" t="s">
        <v>241</v>
      </c>
      <c r="C336" s="20" t="s">
        <v>220</v>
      </c>
      <c r="D336" s="20" t="s">
        <v>989</v>
      </c>
      <c r="E336" s="20" t="s">
        <v>167</v>
      </c>
      <c r="F336" s="6">
        <f>'пр.6.1.ведом.22-23'!G896</f>
        <v>0</v>
      </c>
      <c r="G336" s="6">
        <f t="shared" si="23"/>
        <v>0</v>
      </c>
    </row>
    <row r="337" spans="1:7" ht="47.25" x14ac:dyDescent="0.25">
      <c r="A337" s="29" t="s">
        <v>942</v>
      </c>
      <c r="B337" s="20" t="s">
        <v>241</v>
      </c>
      <c r="C337" s="20" t="s">
        <v>220</v>
      </c>
      <c r="D337" s="20" t="s">
        <v>972</v>
      </c>
      <c r="E337" s="20"/>
      <c r="F337" s="6">
        <f>F338</f>
        <v>5707.199999999998</v>
      </c>
      <c r="G337" s="6">
        <f>G338</f>
        <v>13555.550000000001</v>
      </c>
    </row>
    <row r="338" spans="1:7" ht="31.5" x14ac:dyDescent="0.25">
      <c r="A338" s="25" t="s">
        <v>138</v>
      </c>
      <c r="B338" s="20" t="s">
        <v>241</v>
      </c>
      <c r="C338" s="20" t="s">
        <v>220</v>
      </c>
      <c r="D338" s="20" t="s">
        <v>972</v>
      </c>
      <c r="E338" s="20" t="s">
        <v>139</v>
      </c>
      <c r="F338" s="6">
        <f>F339</f>
        <v>5707.199999999998</v>
      </c>
      <c r="G338" s="6">
        <f>G339</f>
        <v>13555.550000000001</v>
      </c>
    </row>
    <row r="339" spans="1:7" ht="47.25" x14ac:dyDescent="0.25">
      <c r="A339" s="25" t="s">
        <v>140</v>
      </c>
      <c r="B339" s="20" t="s">
        <v>241</v>
      </c>
      <c r="C339" s="20" t="s">
        <v>220</v>
      </c>
      <c r="D339" s="20" t="s">
        <v>972</v>
      </c>
      <c r="E339" s="20" t="s">
        <v>141</v>
      </c>
      <c r="F339" s="6">
        <f>'пр.6.1.ведом.22-23'!G899</f>
        <v>5707.199999999998</v>
      </c>
      <c r="G339" s="6">
        <f>'пр.6.1.ведом.22-23'!H899</f>
        <v>13555.550000000001</v>
      </c>
    </row>
    <row r="340" spans="1:7" ht="15.75" hidden="1" x14ac:dyDescent="0.25">
      <c r="A340" s="25" t="s">
        <v>142</v>
      </c>
      <c r="B340" s="20" t="s">
        <v>241</v>
      </c>
      <c r="C340" s="20" t="s">
        <v>220</v>
      </c>
      <c r="D340" s="20" t="s">
        <v>972</v>
      </c>
      <c r="E340" s="20" t="s">
        <v>152</v>
      </c>
      <c r="F340" s="6">
        <f>'Пр.3 Рд,пр, ЦС,ВР 21'!F331</f>
        <v>0</v>
      </c>
      <c r="G340" s="6">
        <f t="shared" si="23"/>
        <v>0</v>
      </c>
    </row>
    <row r="341" spans="1:7" ht="15.75" hidden="1" x14ac:dyDescent="0.25">
      <c r="A341" s="25" t="s">
        <v>153</v>
      </c>
      <c r="B341" s="20" t="s">
        <v>241</v>
      </c>
      <c r="C341" s="20" t="s">
        <v>220</v>
      </c>
      <c r="D341" s="20" t="s">
        <v>972</v>
      </c>
      <c r="E341" s="20" t="s">
        <v>154</v>
      </c>
      <c r="F341" s="6">
        <f>'Пр.3 Рд,пр, ЦС,ВР 21'!F332</f>
        <v>0</v>
      </c>
      <c r="G341" s="6">
        <f t="shared" si="23"/>
        <v>0</v>
      </c>
    </row>
    <row r="342" spans="1:7" ht="63" hidden="1" x14ac:dyDescent="0.25">
      <c r="A342" s="23" t="s">
        <v>1023</v>
      </c>
      <c r="B342" s="24" t="s">
        <v>241</v>
      </c>
      <c r="C342" s="24" t="s">
        <v>220</v>
      </c>
      <c r="D342" s="24" t="s">
        <v>990</v>
      </c>
      <c r="E342" s="24"/>
      <c r="F342" s="4">
        <f>F343+F348+F351+F356</f>
        <v>0</v>
      </c>
      <c r="G342" s="4">
        <f>G343+G348+G351+G356</f>
        <v>0</v>
      </c>
    </row>
    <row r="343" spans="1:7" ht="47.25" hidden="1" x14ac:dyDescent="0.25">
      <c r="A343" s="25" t="s">
        <v>837</v>
      </c>
      <c r="B343" s="20" t="s">
        <v>241</v>
      </c>
      <c r="C343" s="20" t="s">
        <v>220</v>
      </c>
      <c r="D343" s="20" t="s">
        <v>991</v>
      </c>
      <c r="E343" s="20"/>
      <c r="F343" s="6">
        <f>'Пр.3 Рд,пр, ЦС,ВР 21'!F334</f>
        <v>0</v>
      </c>
      <c r="G343" s="6">
        <f t="shared" ref="G343:G387" si="28">F343</f>
        <v>0</v>
      </c>
    </row>
    <row r="344" spans="1:7" ht="31.5" hidden="1" x14ac:dyDescent="0.25">
      <c r="A344" s="25" t="s">
        <v>138</v>
      </c>
      <c r="B344" s="20" t="s">
        <v>241</v>
      </c>
      <c r="C344" s="20" t="s">
        <v>220</v>
      </c>
      <c r="D344" s="20" t="s">
        <v>991</v>
      </c>
      <c r="E344" s="20" t="s">
        <v>139</v>
      </c>
      <c r="F344" s="6">
        <f>'Пр.3 Рд,пр, ЦС,ВР 21'!F335</f>
        <v>0</v>
      </c>
      <c r="G344" s="6">
        <f t="shared" si="28"/>
        <v>0</v>
      </c>
    </row>
    <row r="345" spans="1:7" ht="47.25" hidden="1" x14ac:dyDescent="0.25">
      <c r="A345" s="25" t="s">
        <v>140</v>
      </c>
      <c r="B345" s="20" t="s">
        <v>241</v>
      </c>
      <c r="C345" s="20" t="s">
        <v>220</v>
      </c>
      <c r="D345" s="20" t="s">
        <v>991</v>
      </c>
      <c r="E345" s="20" t="s">
        <v>141</v>
      </c>
      <c r="F345" s="6">
        <f>'Пр.3 Рд,пр, ЦС,ВР 21'!F336</f>
        <v>0</v>
      </c>
      <c r="G345" s="6">
        <f t="shared" si="28"/>
        <v>0</v>
      </c>
    </row>
    <row r="346" spans="1:7" ht="15.75" hidden="1" x14ac:dyDescent="0.25">
      <c r="A346" s="25" t="s">
        <v>142</v>
      </c>
      <c r="B346" s="20" t="s">
        <v>241</v>
      </c>
      <c r="C346" s="20" t="s">
        <v>220</v>
      </c>
      <c r="D346" s="20" t="s">
        <v>991</v>
      </c>
      <c r="E346" s="20" t="s">
        <v>847</v>
      </c>
      <c r="F346" s="6">
        <f>'Пр.3 Рд,пр, ЦС,ВР 21'!F337</f>
        <v>0</v>
      </c>
      <c r="G346" s="6">
        <f t="shared" si="28"/>
        <v>0</v>
      </c>
    </row>
    <row r="347" spans="1:7" ht="15.75" hidden="1" x14ac:dyDescent="0.25">
      <c r="A347" s="25" t="s">
        <v>575</v>
      </c>
      <c r="B347" s="20" t="s">
        <v>241</v>
      </c>
      <c r="C347" s="20" t="s">
        <v>220</v>
      </c>
      <c r="D347" s="20" t="s">
        <v>991</v>
      </c>
      <c r="E347" s="20" t="s">
        <v>1078</v>
      </c>
      <c r="F347" s="6">
        <f>'Пр.3 Рд,пр, ЦС,ВР 21'!F338</f>
        <v>0</v>
      </c>
      <c r="G347" s="6">
        <f t="shared" si="28"/>
        <v>0</v>
      </c>
    </row>
    <row r="348" spans="1:7" ht="63" hidden="1" x14ac:dyDescent="0.25">
      <c r="A348" s="25" t="s">
        <v>803</v>
      </c>
      <c r="B348" s="20" t="s">
        <v>241</v>
      </c>
      <c r="C348" s="20" t="s">
        <v>220</v>
      </c>
      <c r="D348" s="20" t="s">
        <v>992</v>
      </c>
      <c r="E348" s="20"/>
      <c r="F348" s="6">
        <f>'Пр.3 Рд,пр, ЦС,ВР 21'!F339</f>
        <v>0</v>
      </c>
      <c r="G348" s="6">
        <f t="shared" si="28"/>
        <v>0</v>
      </c>
    </row>
    <row r="349" spans="1:7" ht="31.5" hidden="1" x14ac:dyDescent="0.25">
      <c r="A349" s="25" t="s">
        <v>138</v>
      </c>
      <c r="B349" s="20" t="s">
        <v>241</v>
      </c>
      <c r="C349" s="20" t="s">
        <v>220</v>
      </c>
      <c r="D349" s="20" t="s">
        <v>992</v>
      </c>
      <c r="E349" s="20" t="s">
        <v>139</v>
      </c>
      <c r="F349" s="6">
        <f>'Пр.3 Рд,пр, ЦС,ВР 21'!F340</f>
        <v>0</v>
      </c>
      <c r="G349" s="6">
        <f t="shared" si="28"/>
        <v>0</v>
      </c>
    </row>
    <row r="350" spans="1:7" ht="47.25" hidden="1" x14ac:dyDescent="0.25">
      <c r="A350" s="25" t="s">
        <v>140</v>
      </c>
      <c r="B350" s="20" t="s">
        <v>241</v>
      </c>
      <c r="C350" s="20" t="s">
        <v>220</v>
      </c>
      <c r="D350" s="20" t="s">
        <v>992</v>
      </c>
      <c r="E350" s="20" t="s">
        <v>141</v>
      </c>
      <c r="F350" s="6">
        <f>'Пр.3 Рд,пр, ЦС,ВР 21'!F341</f>
        <v>0</v>
      </c>
      <c r="G350" s="6">
        <f t="shared" si="28"/>
        <v>0</v>
      </c>
    </row>
    <row r="351" spans="1:7" ht="47.25" hidden="1" x14ac:dyDescent="0.25">
      <c r="A351" s="97" t="s">
        <v>843</v>
      </c>
      <c r="B351" s="20" t="s">
        <v>241</v>
      </c>
      <c r="C351" s="20" t="s">
        <v>220</v>
      </c>
      <c r="D351" s="20" t="s">
        <v>993</v>
      </c>
      <c r="E351" s="20"/>
      <c r="F351" s="6">
        <f>'Пр.3 Рд,пр, ЦС,ВР 21'!F342</f>
        <v>0</v>
      </c>
      <c r="G351" s="6">
        <f t="shared" si="28"/>
        <v>0</v>
      </c>
    </row>
    <row r="352" spans="1:7" ht="47.25" hidden="1" x14ac:dyDescent="0.25">
      <c r="A352" s="25" t="s">
        <v>848</v>
      </c>
      <c r="B352" s="20" t="s">
        <v>241</v>
      </c>
      <c r="C352" s="20" t="s">
        <v>220</v>
      </c>
      <c r="D352" s="20" t="s">
        <v>993</v>
      </c>
      <c r="E352" s="20" t="s">
        <v>847</v>
      </c>
      <c r="F352" s="6">
        <f>'Пр.3 Рд,пр, ЦС,ВР 21'!F343</f>
        <v>0</v>
      </c>
      <c r="G352" s="6">
        <f t="shared" si="28"/>
        <v>0</v>
      </c>
    </row>
    <row r="353" spans="1:7" ht="63" hidden="1" x14ac:dyDescent="0.25">
      <c r="A353" s="25" t="s">
        <v>1059</v>
      </c>
      <c r="B353" s="20" t="s">
        <v>241</v>
      </c>
      <c r="C353" s="20" t="s">
        <v>220</v>
      </c>
      <c r="D353" s="20" t="s">
        <v>993</v>
      </c>
      <c r="E353" s="20" t="s">
        <v>1078</v>
      </c>
      <c r="F353" s="6">
        <f>'Пр.3 Рд,пр, ЦС,ВР 21'!F344</f>
        <v>0</v>
      </c>
      <c r="G353" s="6">
        <f t="shared" si="28"/>
        <v>0</v>
      </c>
    </row>
    <row r="354" spans="1:7" ht="15.75" hidden="1" x14ac:dyDescent="0.25">
      <c r="A354" s="25" t="s">
        <v>142</v>
      </c>
      <c r="B354" s="20" t="s">
        <v>241</v>
      </c>
      <c r="C354" s="20" t="s">
        <v>220</v>
      </c>
      <c r="D354" s="20" t="s">
        <v>993</v>
      </c>
      <c r="E354" s="20" t="s">
        <v>152</v>
      </c>
      <c r="F354" s="6">
        <f>'Пр.3 Рд,пр, ЦС,ВР 21'!F345</f>
        <v>0</v>
      </c>
      <c r="G354" s="6">
        <f t="shared" si="28"/>
        <v>0</v>
      </c>
    </row>
    <row r="355" spans="1:7" ht="15.75" hidden="1" x14ac:dyDescent="0.25">
      <c r="A355" s="25" t="s">
        <v>714</v>
      </c>
      <c r="B355" s="20" t="s">
        <v>241</v>
      </c>
      <c r="C355" s="20" t="s">
        <v>220</v>
      </c>
      <c r="D355" s="20" t="s">
        <v>993</v>
      </c>
      <c r="E355" s="20" t="s">
        <v>145</v>
      </c>
      <c r="F355" s="6">
        <f>'Пр.3 Рд,пр, ЦС,ВР 21'!F346</f>
        <v>0</v>
      </c>
      <c r="G355" s="6">
        <f t="shared" si="28"/>
        <v>0</v>
      </c>
    </row>
    <row r="356" spans="1:7" ht="31.5" hidden="1" x14ac:dyDescent="0.25">
      <c r="A356" s="25" t="s">
        <v>1079</v>
      </c>
      <c r="B356" s="20" t="s">
        <v>241</v>
      </c>
      <c r="C356" s="20" t="s">
        <v>220</v>
      </c>
      <c r="D356" s="20" t="s">
        <v>1080</v>
      </c>
      <c r="E356" s="20"/>
      <c r="F356" s="6">
        <f>'Пр.3 Рд,пр, ЦС,ВР 21'!F347</f>
        <v>0</v>
      </c>
      <c r="G356" s="6">
        <f t="shared" si="28"/>
        <v>0</v>
      </c>
    </row>
    <row r="357" spans="1:7" ht="31.5" hidden="1" x14ac:dyDescent="0.25">
      <c r="A357" s="25" t="s">
        <v>138</v>
      </c>
      <c r="B357" s="20" t="s">
        <v>241</v>
      </c>
      <c r="C357" s="20" t="s">
        <v>220</v>
      </c>
      <c r="D357" s="20" t="s">
        <v>1080</v>
      </c>
      <c r="E357" s="20" t="s">
        <v>139</v>
      </c>
      <c r="F357" s="6">
        <f>'Пр.3 Рд,пр, ЦС,ВР 21'!F348</f>
        <v>0</v>
      </c>
      <c r="G357" s="6">
        <f t="shared" si="28"/>
        <v>0</v>
      </c>
    </row>
    <row r="358" spans="1:7" ht="47.25" hidden="1" x14ac:dyDescent="0.25">
      <c r="A358" s="25" t="s">
        <v>140</v>
      </c>
      <c r="B358" s="20" t="s">
        <v>241</v>
      </c>
      <c r="C358" s="20" t="s">
        <v>220</v>
      </c>
      <c r="D358" s="20" t="s">
        <v>1080</v>
      </c>
      <c r="E358" s="20" t="s">
        <v>141</v>
      </c>
      <c r="F358" s="6">
        <f>'Пр.3 Рд,пр, ЦС,ВР 21'!F349</f>
        <v>0</v>
      </c>
      <c r="G358" s="6">
        <f t="shared" si="28"/>
        <v>0</v>
      </c>
    </row>
    <row r="359" spans="1:7" ht="63" x14ac:dyDescent="0.25">
      <c r="A359" s="23" t="s">
        <v>1576</v>
      </c>
      <c r="B359" s="24" t="s">
        <v>241</v>
      </c>
      <c r="C359" s="24" t="s">
        <v>220</v>
      </c>
      <c r="D359" s="24" t="s">
        <v>525</v>
      </c>
      <c r="E359" s="24"/>
      <c r="F359" s="4">
        <f>F360+F364+F368+F372+F376+F380+F384</f>
        <v>1090</v>
      </c>
      <c r="G359" s="4">
        <f>G360+G364+G368+G372+G376+G380+G384</f>
        <v>1090</v>
      </c>
    </row>
    <row r="360" spans="1:7" ht="31.5" x14ac:dyDescent="0.25">
      <c r="A360" s="23" t="s">
        <v>973</v>
      </c>
      <c r="B360" s="24" t="s">
        <v>241</v>
      </c>
      <c r="C360" s="24" t="s">
        <v>220</v>
      </c>
      <c r="D360" s="24" t="s">
        <v>975</v>
      </c>
      <c r="E360" s="24"/>
      <c r="F360" s="4">
        <f t="shared" ref="F360:G362" si="29">F361</f>
        <v>700</v>
      </c>
      <c r="G360" s="4">
        <f t="shared" si="29"/>
        <v>700</v>
      </c>
    </row>
    <row r="361" spans="1:7" ht="15.75" x14ac:dyDescent="0.25">
      <c r="A361" s="45" t="s">
        <v>974</v>
      </c>
      <c r="B361" s="40" t="s">
        <v>241</v>
      </c>
      <c r="C361" s="40" t="s">
        <v>220</v>
      </c>
      <c r="D361" s="20" t="s">
        <v>976</v>
      </c>
      <c r="E361" s="40"/>
      <c r="F361" s="6">
        <f t="shared" si="29"/>
        <v>700</v>
      </c>
      <c r="G361" s="6">
        <f t="shared" si="29"/>
        <v>700</v>
      </c>
    </row>
    <row r="362" spans="1:7" ht="31.5" x14ac:dyDescent="0.25">
      <c r="A362" s="31" t="s">
        <v>138</v>
      </c>
      <c r="B362" s="40" t="s">
        <v>241</v>
      </c>
      <c r="C362" s="40" t="s">
        <v>220</v>
      </c>
      <c r="D362" s="20" t="s">
        <v>976</v>
      </c>
      <c r="E362" s="40" t="s">
        <v>139</v>
      </c>
      <c r="F362" s="6">
        <f t="shared" si="29"/>
        <v>700</v>
      </c>
      <c r="G362" s="6">
        <f t="shared" si="29"/>
        <v>700</v>
      </c>
    </row>
    <row r="363" spans="1:7" ht="47.25" x14ac:dyDescent="0.25">
      <c r="A363" s="31" t="s">
        <v>140</v>
      </c>
      <c r="B363" s="40" t="s">
        <v>241</v>
      </c>
      <c r="C363" s="40" t="s">
        <v>220</v>
      </c>
      <c r="D363" s="20" t="s">
        <v>976</v>
      </c>
      <c r="E363" s="40" t="s">
        <v>141</v>
      </c>
      <c r="F363" s="6">
        <f>'пр.6.1.ведом.22-23'!G923</f>
        <v>700</v>
      </c>
      <c r="G363" s="6">
        <f>'пр.6.1.ведом.22-23'!H923</f>
        <v>700</v>
      </c>
    </row>
    <row r="364" spans="1:7" ht="31.5" hidden="1" x14ac:dyDescent="0.25">
      <c r="A364" s="34" t="s">
        <v>977</v>
      </c>
      <c r="B364" s="7" t="s">
        <v>241</v>
      </c>
      <c r="C364" s="7" t="s">
        <v>220</v>
      </c>
      <c r="D364" s="24" t="s">
        <v>978</v>
      </c>
      <c r="E364" s="7"/>
      <c r="F364" s="4">
        <f>F365</f>
        <v>390</v>
      </c>
      <c r="G364" s="4">
        <f>G365</f>
        <v>390</v>
      </c>
    </row>
    <row r="365" spans="1:7" ht="15.75" hidden="1" x14ac:dyDescent="0.25">
      <c r="A365" s="45" t="s">
        <v>530</v>
      </c>
      <c r="B365" s="40" t="s">
        <v>241</v>
      </c>
      <c r="C365" s="40" t="s">
        <v>220</v>
      </c>
      <c r="D365" s="20" t="s">
        <v>981</v>
      </c>
      <c r="E365" s="40"/>
      <c r="F365" s="6">
        <f>'Пр.3 Рд,пр, ЦС,ВР 21'!F356</f>
        <v>390</v>
      </c>
      <c r="G365" s="6">
        <f t="shared" si="28"/>
        <v>390</v>
      </c>
    </row>
    <row r="366" spans="1:7" ht="31.5" hidden="1" x14ac:dyDescent="0.25">
      <c r="A366" s="31" t="s">
        <v>138</v>
      </c>
      <c r="B366" s="40" t="s">
        <v>241</v>
      </c>
      <c r="C366" s="40" t="s">
        <v>220</v>
      </c>
      <c r="D366" s="20" t="s">
        <v>981</v>
      </c>
      <c r="E366" s="40" t="s">
        <v>139</v>
      </c>
      <c r="F366" s="6">
        <f>'Пр.3 Рд,пр, ЦС,ВР 21'!F357</f>
        <v>390</v>
      </c>
      <c r="G366" s="6">
        <f t="shared" si="28"/>
        <v>390</v>
      </c>
    </row>
    <row r="367" spans="1:7" ht="47.25" hidden="1" x14ac:dyDescent="0.25">
      <c r="A367" s="31" t="s">
        <v>140</v>
      </c>
      <c r="B367" s="40" t="s">
        <v>241</v>
      </c>
      <c r="C367" s="40" t="s">
        <v>220</v>
      </c>
      <c r="D367" s="20" t="s">
        <v>981</v>
      </c>
      <c r="E367" s="40" t="s">
        <v>141</v>
      </c>
      <c r="F367" s="6">
        <f>'Пр.3 Рд,пр, ЦС,ВР 21'!F358</f>
        <v>390</v>
      </c>
      <c r="G367" s="6">
        <f t="shared" si="28"/>
        <v>390</v>
      </c>
    </row>
    <row r="368" spans="1:7" ht="31.5" hidden="1" x14ac:dyDescent="0.25">
      <c r="A368" s="58" t="s">
        <v>979</v>
      </c>
      <c r="B368" s="7" t="s">
        <v>241</v>
      </c>
      <c r="C368" s="7" t="s">
        <v>220</v>
      </c>
      <c r="D368" s="24" t="s">
        <v>980</v>
      </c>
      <c r="E368" s="7"/>
      <c r="F368" s="4">
        <f>F369</f>
        <v>0</v>
      </c>
      <c r="G368" s="4">
        <f>G369</f>
        <v>0</v>
      </c>
    </row>
    <row r="369" spans="1:7" ht="15.75" hidden="1" x14ac:dyDescent="0.25">
      <c r="A369" s="45" t="s">
        <v>532</v>
      </c>
      <c r="B369" s="40" t="s">
        <v>241</v>
      </c>
      <c r="C369" s="40" t="s">
        <v>220</v>
      </c>
      <c r="D369" s="20" t="s">
        <v>982</v>
      </c>
      <c r="E369" s="40"/>
      <c r="F369" s="6">
        <f>'Пр.3 Рд,пр, ЦС,ВР 21'!F360</f>
        <v>0</v>
      </c>
      <c r="G369" s="6">
        <f t="shared" si="28"/>
        <v>0</v>
      </c>
    </row>
    <row r="370" spans="1:7" ht="31.5" hidden="1" x14ac:dyDescent="0.25">
      <c r="A370" s="31" t="s">
        <v>138</v>
      </c>
      <c r="B370" s="40" t="s">
        <v>241</v>
      </c>
      <c r="C370" s="40" t="s">
        <v>220</v>
      </c>
      <c r="D370" s="20" t="s">
        <v>982</v>
      </c>
      <c r="E370" s="40" t="s">
        <v>139</v>
      </c>
      <c r="F370" s="6">
        <f>'Пр.3 Рд,пр, ЦС,ВР 21'!F361</f>
        <v>0</v>
      </c>
      <c r="G370" s="6">
        <f t="shared" si="28"/>
        <v>0</v>
      </c>
    </row>
    <row r="371" spans="1:7" ht="47.25" hidden="1" x14ac:dyDescent="0.25">
      <c r="A371" s="31" t="s">
        <v>140</v>
      </c>
      <c r="B371" s="40" t="s">
        <v>241</v>
      </c>
      <c r="C371" s="40" t="s">
        <v>220</v>
      </c>
      <c r="D371" s="20" t="s">
        <v>982</v>
      </c>
      <c r="E371" s="40" t="s">
        <v>141</v>
      </c>
      <c r="F371" s="6">
        <f>'Пр.3 Рд,пр, ЦС,ВР 21'!F362</f>
        <v>0</v>
      </c>
      <c r="G371" s="6">
        <f t="shared" si="28"/>
        <v>0</v>
      </c>
    </row>
    <row r="372" spans="1:7" ht="31.5" hidden="1" x14ac:dyDescent="0.25">
      <c r="A372" s="58" t="s">
        <v>983</v>
      </c>
      <c r="B372" s="7" t="s">
        <v>241</v>
      </c>
      <c r="C372" s="7" t="s">
        <v>220</v>
      </c>
      <c r="D372" s="24" t="s">
        <v>984</v>
      </c>
      <c r="E372" s="7"/>
      <c r="F372" s="4">
        <f>F373</f>
        <v>0</v>
      </c>
      <c r="G372" s="4">
        <f>G373</f>
        <v>0</v>
      </c>
    </row>
    <row r="373" spans="1:7" ht="15.75" hidden="1" x14ac:dyDescent="0.25">
      <c r="A373" s="45" t="s">
        <v>534</v>
      </c>
      <c r="B373" s="40" t="s">
        <v>241</v>
      </c>
      <c r="C373" s="40" t="s">
        <v>220</v>
      </c>
      <c r="D373" s="20" t="s">
        <v>985</v>
      </c>
      <c r="E373" s="40"/>
      <c r="F373" s="6">
        <f>'Пр.3 Рд,пр, ЦС,ВР 21'!F364</f>
        <v>0</v>
      </c>
      <c r="G373" s="6">
        <f t="shared" si="28"/>
        <v>0</v>
      </c>
    </row>
    <row r="374" spans="1:7" ht="31.5" hidden="1" x14ac:dyDescent="0.25">
      <c r="A374" s="31" t="s">
        <v>138</v>
      </c>
      <c r="B374" s="40" t="s">
        <v>241</v>
      </c>
      <c r="C374" s="40" t="s">
        <v>220</v>
      </c>
      <c r="D374" s="20" t="s">
        <v>985</v>
      </c>
      <c r="E374" s="40" t="s">
        <v>139</v>
      </c>
      <c r="F374" s="6">
        <f>'Пр.3 Рд,пр, ЦС,ВР 21'!F365</f>
        <v>0</v>
      </c>
      <c r="G374" s="6">
        <f t="shared" si="28"/>
        <v>0</v>
      </c>
    </row>
    <row r="375" spans="1:7" ht="47.25" hidden="1" x14ac:dyDescent="0.25">
      <c r="A375" s="31" t="s">
        <v>140</v>
      </c>
      <c r="B375" s="40" t="s">
        <v>241</v>
      </c>
      <c r="C375" s="40" t="s">
        <v>220</v>
      </c>
      <c r="D375" s="20" t="s">
        <v>985</v>
      </c>
      <c r="E375" s="40" t="s">
        <v>141</v>
      </c>
      <c r="F375" s="6">
        <f>'Пр.3 Рд,пр, ЦС,ВР 21'!F366</f>
        <v>0</v>
      </c>
      <c r="G375" s="6">
        <f t="shared" si="28"/>
        <v>0</v>
      </c>
    </row>
    <row r="376" spans="1:7" ht="31.5" hidden="1" x14ac:dyDescent="0.25">
      <c r="A376" s="34" t="s">
        <v>1024</v>
      </c>
      <c r="B376" s="7" t="s">
        <v>241</v>
      </c>
      <c r="C376" s="7" t="s">
        <v>220</v>
      </c>
      <c r="D376" s="24" t="s">
        <v>1025</v>
      </c>
      <c r="E376" s="7"/>
      <c r="F376" s="4">
        <f>F377</f>
        <v>0</v>
      </c>
      <c r="G376" s="4">
        <f>G377</f>
        <v>0</v>
      </c>
    </row>
    <row r="377" spans="1:7" ht="15.75" hidden="1" x14ac:dyDescent="0.25">
      <c r="A377" s="45" t="s">
        <v>536</v>
      </c>
      <c r="B377" s="40" t="s">
        <v>241</v>
      </c>
      <c r="C377" s="40" t="s">
        <v>220</v>
      </c>
      <c r="D377" s="20" t="s">
        <v>1028</v>
      </c>
      <c r="E377" s="40"/>
      <c r="F377" s="6">
        <f>'Пр.3 Рд,пр, ЦС,ВР 21'!F368</f>
        <v>0</v>
      </c>
      <c r="G377" s="6">
        <f t="shared" si="28"/>
        <v>0</v>
      </c>
    </row>
    <row r="378" spans="1:7" ht="31.5" hidden="1" x14ac:dyDescent="0.25">
      <c r="A378" s="31" t="s">
        <v>138</v>
      </c>
      <c r="B378" s="40" t="s">
        <v>241</v>
      </c>
      <c r="C378" s="40" t="s">
        <v>220</v>
      </c>
      <c r="D378" s="20" t="s">
        <v>1028</v>
      </c>
      <c r="E378" s="40" t="s">
        <v>139</v>
      </c>
      <c r="F378" s="6">
        <f>'Пр.3 Рд,пр, ЦС,ВР 21'!F369</f>
        <v>0</v>
      </c>
      <c r="G378" s="6">
        <f t="shared" si="28"/>
        <v>0</v>
      </c>
    </row>
    <row r="379" spans="1:7" ht="47.25" hidden="1" x14ac:dyDescent="0.25">
      <c r="A379" s="31" t="s">
        <v>140</v>
      </c>
      <c r="B379" s="40" t="s">
        <v>241</v>
      </c>
      <c r="C379" s="40" t="s">
        <v>220</v>
      </c>
      <c r="D379" s="20" t="s">
        <v>1028</v>
      </c>
      <c r="E379" s="40" t="s">
        <v>141</v>
      </c>
      <c r="F379" s="6">
        <f>'Пр.3 Рд,пр, ЦС,ВР 21'!F370</f>
        <v>0</v>
      </c>
      <c r="G379" s="6">
        <f t="shared" si="28"/>
        <v>0</v>
      </c>
    </row>
    <row r="380" spans="1:7" ht="47.25" hidden="1" x14ac:dyDescent="0.25">
      <c r="A380" s="215" t="s">
        <v>1026</v>
      </c>
      <c r="B380" s="7" t="s">
        <v>241</v>
      </c>
      <c r="C380" s="7" t="s">
        <v>220</v>
      </c>
      <c r="D380" s="24" t="s">
        <v>1027</v>
      </c>
      <c r="E380" s="7"/>
      <c r="F380" s="4">
        <f>F381</f>
        <v>0</v>
      </c>
      <c r="G380" s="4">
        <f>G381</f>
        <v>0</v>
      </c>
    </row>
    <row r="381" spans="1:7" ht="31.5" hidden="1" x14ac:dyDescent="0.25">
      <c r="A381" s="176" t="s">
        <v>538</v>
      </c>
      <c r="B381" s="40" t="s">
        <v>241</v>
      </c>
      <c r="C381" s="40" t="s">
        <v>220</v>
      </c>
      <c r="D381" s="20" t="s">
        <v>1029</v>
      </c>
      <c r="E381" s="40"/>
      <c r="F381" s="6">
        <f>'Пр.3 Рд,пр, ЦС,ВР 21'!F372</f>
        <v>0</v>
      </c>
      <c r="G381" s="6">
        <f t="shared" si="28"/>
        <v>0</v>
      </c>
    </row>
    <row r="382" spans="1:7" ht="31.5" hidden="1" x14ac:dyDescent="0.25">
      <c r="A382" s="31" t="s">
        <v>138</v>
      </c>
      <c r="B382" s="40" t="s">
        <v>241</v>
      </c>
      <c r="C382" s="40" t="s">
        <v>220</v>
      </c>
      <c r="D382" s="20" t="s">
        <v>1029</v>
      </c>
      <c r="E382" s="40" t="s">
        <v>139</v>
      </c>
      <c r="F382" s="6">
        <f>'Пр.3 Рд,пр, ЦС,ВР 21'!F373</f>
        <v>0</v>
      </c>
      <c r="G382" s="6">
        <f t="shared" si="28"/>
        <v>0</v>
      </c>
    </row>
    <row r="383" spans="1:7" ht="47.25" hidden="1" x14ac:dyDescent="0.25">
      <c r="A383" s="31" t="s">
        <v>140</v>
      </c>
      <c r="B383" s="40" t="s">
        <v>241</v>
      </c>
      <c r="C383" s="40" t="s">
        <v>220</v>
      </c>
      <c r="D383" s="20" t="s">
        <v>1029</v>
      </c>
      <c r="E383" s="40" t="s">
        <v>141</v>
      </c>
      <c r="F383" s="6">
        <f>'Пр.3 Рд,пр, ЦС,ВР 21'!F374</f>
        <v>0</v>
      </c>
      <c r="G383" s="6">
        <f t="shared" si="28"/>
        <v>0</v>
      </c>
    </row>
    <row r="384" spans="1:7" ht="31.5" hidden="1" x14ac:dyDescent="0.25">
      <c r="A384" s="215" t="s">
        <v>987</v>
      </c>
      <c r="B384" s="7" t="s">
        <v>241</v>
      </c>
      <c r="C384" s="7" t="s">
        <v>220</v>
      </c>
      <c r="D384" s="24" t="s">
        <v>988</v>
      </c>
      <c r="E384" s="7"/>
      <c r="F384" s="4">
        <f>F385</f>
        <v>0</v>
      </c>
      <c r="G384" s="4">
        <f>G385</f>
        <v>0</v>
      </c>
    </row>
    <row r="385" spans="1:9" ht="15.75" hidden="1" x14ac:dyDescent="0.25">
      <c r="A385" s="176" t="s">
        <v>540</v>
      </c>
      <c r="B385" s="40" t="s">
        <v>241</v>
      </c>
      <c r="C385" s="40" t="s">
        <v>220</v>
      </c>
      <c r="D385" s="20" t="s">
        <v>986</v>
      </c>
      <c r="E385" s="40"/>
      <c r="F385" s="6">
        <f>'Пр.3 Рд,пр, ЦС,ВР 21'!F376</f>
        <v>0</v>
      </c>
      <c r="G385" s="6">
        <f t="shared" si="28"/>
        <v>0</v>
      </c>
    </row>
    <row r="386" spans="1:9" ht="31.5" hidden="1" x14ac:dyDescent="0.25">
      <c r="A386" s="25" t="s">
        <v>138</v>
      </c>
      <c r="B386" s="40" t="s">
        <v>241</v>
      </c>
      <c r="C386" s="40" t="s">
        <v>220</v>
      </c>
      <c r="D386" s="20" t="s">
        <v>986</v>
      </c>
      <c r="E386" s="40" t="s">
        <v>139</v>
      </c>
      <c r="F386" s="6">
        <f>'Пр.3 Рд,пр, ЦС,ВР 21'!F377</f>
        <v>0</v>
      </c>
      <c r="G386" s="6">
        <f t="shared" si="28"/>
        <v>0</v>
      </c>
    </row>
    <row r="387" spans="1:9" ht="47.25" hidden="1" x14ac:dyDescent="0.25">
      <c r="A387" s="25" t="s">
        <v>140</v>
      </c>
      <c r="B387" s="40" t="s">
        <v>241</v>
      </c>
      <c r="C387" s="40" t="s">
        <v>220</v>
      </c>
      <c r="D387" s="20" t="s">
        <v>986</v>
      </c>
      <c r="E387" s="40" t="s">
        <v>141</v>
      </c>
      <c r="F387" s="6">
        <f>'Пр.3 Рд,пр, ЦС,ВР 21'!F378</f>
        <v>0</v>
      </c>
      <c r="G387" s="6">
        <f t="shared" si="28"/>
        <v>0</v>
      </c>
    </row>
    <row r="388" spans="1:9" s="202" customFormat="1" ht="47.25" x14ac:dyDescent="0.25">
      <c r="A388" s="23" t="s">
        <v>1577</v>
      </c>
      <c r="B388" s="7" t="s">
        <v>241</v>
      </c>
      <c r="C388" s="7" t="s">
        <v>220</v>
      </c>
      <c r="D388" s="24" t="s">
        <v>1155</v>
      </c>
      <c r="E388" s="7"/>
      <c r="F388" s="4">
        <f t="shared" ref="F388:G391" si="30">F389</f>
        <v>204</v>
      </c>
      <c r="G388" s="4">
        <f t="shared" si="30"/>
        <v>215</v>
      </c>
    </row>
    <row r="389" spans="1:9" s="202" customFormat="1" ht="31.5" x14ac:dyDescent="0.25">
      <c r="A389" s="23" t="s">
        <v>1581</v>
      </c>
      <c r="B389" s="7" t="s">
        <v>241</v>
      </c>
      <c r="C389" s="7" t="s">
        <v>220</v>
      </c>
      <c r="D389" s="24" t="s">
        <v>1157</v>
      </c>
      <c r="E389" s="7"/>
      <c r="F389" s="4">
        <f t="shared" si="30"/>
        <v>204</v>
      </c>
      <c r="G389" s="4">
        <f t="shared" si="30"/>
        <v>215</v>
      </c>
    </row>
    <row r="390" spans="1:9" s="202" customFormat="1" ht="31.5" x14ac:dyDescent="0.25">
      <c r="A390" s="25" t="s">
        <v>544</v>
      </c>
      <c r="B390" s="40" t="s">
        <v>241</v>
      </c>
      <c r="C390" s="40" t="s">
        <v>220</v>
      </c>
      <c r="D390" s="20" t="s">
        <v>1158</v>
      </c>
      <c r="E390" s="40"/>
      <c r="F390" s="6">
        <f t="shared" si="30"/>
        <v>204</v>
      </c>
      <c r="G390" s="6">
        <f t="shared" si="30"/>
        <v>215</v>
      </c>
    </row>
    <row r="391" spans="1:9" s="202" customFormat="1" ht="31.5" x14ac:dyDescent="0.25">
      <c r="A391" s="25" t="s">
        <v>138</v>
      </c>
      <c r="B391" s="40" t="s">
        <v>241</v>
      </c>
      <c r="C391" s="40" t="s">
        <v>220</v>
      </c>
      <c r="D391" s="20" t="s">
        <v>1158</v>
      </c>
      <c r="E391" s="40" t="s">
        <v>139</v>
      </c>
      <c r="F391" s="6">
        <f t="shared" si="30"/>
        <v>204</v>
      </c>
      <c r="G391" s="6">
        <f t="shared" si="30"/>
        <v>215</v>
      </c>
    </row>
    <row r="392" spans="1:9" s="202" customFormat="1" ht="47.25" x14ac:dyDescent="0.25">
      <c r="A392" s="25" t="s">
        <v>140</v>
      </c>
      <c r="B392" s="40" t="s">
        <v>241</v>
      </c>
      <c r="C392" s="40" t="s">
        <v>220</v>
      </c>
      <c r="D392" s="20" t="s">
        <v>1158</v>
      </c>
      <c r="E392" s="40" t="s">
        <v>141</v>
      </c>
      <c r="F392" s="6">
        <f>'пр.6.1.ведом.22-23'!G952</f>
        <v>204</v>
      </c>
      <c r="G392" s="6">
        <f>'пр.6.1.ведом.22-23'!H952</f>
        <v>215</v>
      </c>
    </row>
    <row r="393" spans="1:9" ht="15.75" x14ac:dyDescent="0.25">
      <c r="A393" s="41" t="s">
        <v>548</v>
      </c>
      <c r="B393" s="7" t="s">
        <v>241</v>
      </c>
      <c r="C393" s="7" t="s">
        <v>222</v>
      </c>
      <c r="D393" s="7"/>
      <c r="E393" s="7"/>
      <c r="F393" s="4">
        <f>F394+F399+F438</f>
        <v>3810</v>
      </c>
      <c r="G393" s="4">
        <f>G394+G399+G438</f>
        <v>4063</v>
      </c>
    </row>
    <row r="394" spans="1:9" ht="15.75" x14ac:dyDescent="0.25">
      <c r="A394" s="23" t="s">
        <v>148</v>
      </c>
      <c r="B394" s="24" t="s">
        <v>241</v>
      </c>
      <c r="C394" s="24" t="s">
        <v>222</v>
      </c>
      <c r="D394" s="24" t="s">
        <v>876</v>
      </c>
      <c r="E394" s="24"/>
      <c r="F394" s="4">
        <f t="shared" ref="F394:G397" si="31">F395</f>
        <v>1390</v>
      </c>
      <c r="G394" s="4">
        <f t="shared" si="31"/>
        <v>1390</v>
      </c>
    </row>
    <row r="395" spans="1:9" ht="31.5" x14ac:dyDescent="0.25">
      <c r="A395" s="23" t="s">
        <v>880</v>
      </c>
      <c r="B395" s="24" t="s">
        <v>241</v>
      </c>
      <c r="C395" s="24" t="s">
        <v>222</v>
      </c>
      <c r="D395" s="24" t="s">
        <v>875</v>
      </c>
      <c r="E395" s="24"/>
      <c r="F395" s="4">
        <f t="shared" si="31"/>
        <v>1390</v>
      </c>
      <c r="G395" s="4">
        <f t="shared" si="31"/>
        <v>1390</v>
      </c>
    </row>
    <row r="396" spans="1:9" ht="15.75" x14ac:dyDescent="0.25">
      <c r="A396" s="25" t="s">
        <v>571</v>
      </c>
      <c r="B396" s="20" t="s">
        <v>241</v>
      </c>
      <c r="C396" s="20" t="s">
        <v>222</v>
      </c>
      <c r="D396" s="20" t="s">
        <v>1085</v>
      </c>
      <c r="E396" s="20"/>
      <c r="F396" s="6">
        <f t="shared" si="31"/>
        <v>1390</v>
      </c>
      <c r="G396" s="6">
        <f t="shared" si="31"/>
        <v>1390</v>
      </c>
    </row>
    <row r="397" spans="1:9" ht="31.5" x14ac:dyDescent="0.25">
      <c r="A397" s="25" t="s">
        <v>138</v>
      </c>
      <c r="B397" s="20" t="s">
        <v>241</v>
      </c>
      <c r="C397" s="20" t="s">
        <v>222</v>
      </c>
      <c r="D397" s="20" t="s">
        <v>1085</v>
      </c>
      <c r="E397" s="20" t="s">
        <v>139</v>
      </c>
      <c r="F397" s="6">
        <f t="shared" si="31"/>
        <v>1390</v>
      </c>
      <c r="G397" s="6">
        <f t="shared" si="31"/>
        <v>1390</v>
      </c>
    </row>
    <row r="398" spans="1:9" ht="47.25" x14ac:dyDescent="0.25">
      <c r="A398" s="25" t="s">
        <v>140</v>
      </c>
      <c r="B398" s="20" t="s">
        <v>241</v>
      </c>
      <c r="C398" s="20" t="s">
        <v>222</v>
      </c>
      <c r="D398" s="20" t="s">
        <v>1085</v>
      </c>
      <c r="E398" s="20" t="s">
        <v>141</v>
      </c>
      <c r="F398" s="6">
        <f>'пр.6.1.ведом.22-23'!G958</f>
        <v>1390</v>
      </c>
      <c r="G398" s="6">
        <f>'пр.6.1.ведом.22-23'!H958</f>
        <v>1390</v>
      </c>
    </row>
    <row r="399" spans="1:9" ht="47.25" x14ac:dyDescent="0.25">
      <c r="A399" s="23" t="s">
        <v>1379</v>
      </c>
      <c r="B399" s="7" t="s">
        <v>241</v>
      </c>
      <c r="C399" s="7" t="s">
        <v>222</v>
      </c>
      <c r="D399" s="7" t="s">
        <v>550</v>
      </c>
      <c r="E399" s="7"/>
      <c r="F399" s="4">
        <f>F400+F404+F431</f>
        <v>1920</v>
      </c>
      <c r="G399" s="4">
        <f>G400+G404+G431</f>
        <v>2173</v>
      </c>
      <c r="I399" s="22"/>
    </row>
    <row r="400" spans="1:9" ht="47.25" hidden="1" x14ac:dyDescent="0.25">
      <c r="A400" s="23" t="s">
        <v>1452</v>
      </c>
      <c r="B400" s="24" t="s">
        <v>241</v>
      </c>
      <c r="C400" s="24" t="s">
        <v>222</v>
      </c>
      <c r="D400" s="24" t="s">
        <v>1288</v>
      </c>
      <c r="E400" s="24"/>
      <c r="F400" s="4">
        <f t="shared" ref="F400:G402" si="32">F401</f>
        <v>0</v>
      </c>
      <c r="G400" s="4">
        <f t="shared" si="32"/>
        <v>0</v>
      </c>
    </row>
    <row r="401" spans="1:7" s="202" customFormat="1" ht="31.5" hidden="1" x14ac:dyDescent="0.25">
      <c r="A401" s="312" t="s">
        <v>1453</v>
      </c>
      <c r="B401" s="20" t="s">
        <v>241</v>
      </c>
      <c r="C401" s="20" t="s">
        <v>222</v>
      </c>
      <c r="D401" s="20" t="s">
        <v>1436</v>
      </c>
      <c r="E401" s="20"/>
      <c r="F401" s="26">
        <f t="shared" si="32"/>
        <v>0</v>
      </c>
      <c r="G401" s="6">
        <f t="shared" si="32"/>
        <v>0</v>
      </c>
    </row>
    <row r="402" spans="1:7" s="202" customFormat="1" ht="31.5" hidden="1" x14ac:dyDescent="0.25">
      <c r="A402" s="25" t="s">
        <v>138</v>
      </c>
      <c r="B402" s="20" t="s">
        <v>241</v>
      </c>
      <c r="C402" s="20" t="s">
        <v>222</v>
      </c>
      <c r="D402" s="20" t="s">
        <v>1436</v>
      </c>
      <c r="E402" s="20" t="s">
        <v>139</v>
      </c>
      <c r="F402" s="26">
        <f t="shared" si="32"/>
        <v>0</v>
      </c>
      <c r="G402" s="6">
        <f t="shared" si="32"/>
        <v>0</v>
      </c>
    </row>
    <row r="403" spans="1:7" s="202" customFormat="1" ht="47.25" hidden="1" x14ac:dyDescent="0.25">
      <c r="A403" s="25" t="s">
        <v>140</v>
      </c>
      <c r="B403" s="20" t="s">
        <v>241</v>
      </c>
      <c r="C403" s="20" t="s">
        <v>222</v>
      </c>
      <c r="D403" s="20" t="s">
        <v>1436</v>
      </c>
      <c r="E403" s="20" t="s">
        <v>141</v>
      </c>
      <c r="F403" s="26">
        <f>'пр.6.1.ведом.22-23'!G963</f>
        <v>0</v>
      </c>
      <c r="G403" s="6">
        <f>'пр.6.1.ведом.22-23'!H963</f>
        <v>0</v>
      </c>
    </row>
    <row r="404" spans="1:7" s="202" customFormat="1" ht="47.25" x14ac:dyDescent="0.25">
      <c r="A404" s="23" t="s">
        <v>1455</v>
      </c>
      <c r="B404" s="24" t="s">
        <v>241</v>
      </c>
      <c r="C404" s="24" t="s">
        <v>222</v>
      </c>
      <c r="D404" s="24" t="s">
        <v>1289</v>
      </c>
      <c r="E404" s="24"/>
      <c r="F404" s="4">
        <f>F405+F408+F414+F417+F420+F425+F428</f>
        <v>1920</v>
      </c>
      <c r="G404" s="4">
        <f>G405+G408+G414+G417+G420+G425+G428</f>
        <v>2173</v>
      </c>
    </row>
    <row r="405" spans="1:7" ht="24.4" customHeight="1" x14ac:dyDescent="0.25">
      <c r="A405" s="25" t="s">
        <v>553</v>
      </c>
      <c r="B405" s="20" t="s">
        <v>241</v>
      </c>
      <c r="C405" s="20" t="s">
        <v>222</v>
      </c>
      <c r="D405" s="20" t="s">
        <v>1451</v>
      </c>
      <c r="E405" s="20"/>
      <c r="F405" s="6">
        <f>F406</f>
        <v>365</v>
      </c>
      <c r="G405" s="6">
        <f>G406</f>
        <v>365</v>
      </c>
    </row>
    <row r="406" spans="1:7" ht="31.5" x14ac:dyDescent="0.25">
      <c r="A406" s="25" t="s">
        <v>138</v>
      </c>
      <c r="B406" s="20" t="s">
        <v>241</v>
      </c>
      <c r="C406" s="20" t="s">
        <v>222</v>
      </c>
      <c r="D406" s="20" t="s">
        <v>1451</v>
      </c>
      <c r="E406" s="20" t="s">
        <v>139</v>
      </c>
      <c r="F406" s="6">
        <f>F407</f>
        <v>365</v>
      </c>
      <c r="G406" s="6">
        <f>G407</f>
        <v>365</v>
      </c>
    </row>
    <row r="407" spans="1:7" ht="47.25" x14ac:dyDescent="0.25">
      <c r="A407" s="25" t="s">
        <v>140</v>
      </c>
      <c r="B407" s="20" t="s">
        <v>241</v>
      </c>
      <c r="C407" s="20" t="s">
        <v>222</v>
      </c>
      <c r="D407" s="20" t="s">
        <v>1451</v>
      </c>
      <c r="E407" s="20" t="s">
        <v>141</v>
      </c>
      <c r="F407" s="6">
        <f>'пр.6.1.ведом.22-23'!G967</f>
        <v>365</v>
      </c>
      <c r="G407" s="6">
        <f>'пр.6.1.ведом.22-23'!H967</f>
        <v>365</v>
      </c>
    </row>
    <row r="408" spans="1:7" ht="15.75" x14ac:dyDescent="0.25">
      <c r="A408" s="25" t="s">
        <v>555</v>
      </c>
      <c r="B408" s="20" t="s">
        <v>241</v>
      </c>
      <c r="C408" s="20" t="s">
        <v>222</v>
      </c>
      <c r="D408" s="20" t="s">
        <v>1435</v>
      </c>
      <c r="E408" s="20"/>
      <c r="F408" s="6">
        <f>F409</f>
        <v>1080</v>
      </c>
      <c r="G408" s="6">
        <f>G409</f>
        <v>1188</v>
      </c>
    </row>
    <row r="409" spans="1:7" ht="31.5" x14ac:dyDescent="0.25">
      <c r="A409" s="25" t="s">
        <v>138</v>
      </c>
      <c r="B409" s="20" t="s">
        <v>241</v>
      </c>
      <c r="C409" s="20" t="s">
        <v>222</v>
      </c>
      <c r="D409" s="20" t="s">
        <v>1435</v>
      </c>
      <c r="E409" s="20" t="s">
        <v>139</v>
      </c>
      <c r="F409" s="6">
        <f>F410</f>
        <v>1080</v>
      </c>
      <c r="G409" s="6">
        <f>G410</f>
        <v>1188</v>
      </c>
    </row>
    <row r="410" spans="1:7" ht="47.25" x14ac:dyDescent="0.25">
      <c r="A410" s="25" t="s">
        <v>140</v>
      </c>
      <c r="B410" s="20" t="s">
        <v>241</v>
      </c>
      <c r="C410" s="20" t="s">
        <v>222</v>
      </c>
      <c r="D410" s="20" t="s">
        <v>1435</v>
      </c>
      <c r="E410" s="20" t="s">
        <v>141</v>
      </c>
      <c r="F410" s="6">
        <f>'пр.6.1.ведом.22-23'!G970</f>
        <v>1080</v>
      </c>
      <c r="G410" s="6">
        <f>'пр.6.1.ведом.22-23'!H970</f>
        <v>1188</v>
      </c>
    </row>
    <row r="411" spans="1:7" ht="15.75" hidden="1" x14ac:dyDescent="0.25">
      <c r="A411" s="29" t="s">
        <v>142</v>
      </c>
      <c r="B411" s="20" t="s">
        <v>241</v>
      </c>
      <c r="C411" s="20" t="s">
        <v>222</v>
      </c>
      <c r="D411" s="20" t="s">
        <v>1435</v>
      </c>
      <c r="E411" s="20" t="s">
        <v>152</v>
      </c>
      <c r="F411" s="6">
        <f>'Пр.3 Рд,пр, ЦС,ВР 21'!F402</f>
        <v>0</v>
      </c>
      <c r="G411" s="6">
        <f>'Пр.3 Рд,пр, ЦС,ВР 21'!G402</f>
        <v>0</v>
      </c>
    </row>
    <row r="412" spans="1:7" ht="47.25" hidden="1" x14ac:dyDescent="0.25">
      <c r="A412" s="25" t="s">
        <v>846</v>
      </c>
      <c r="B412" s="20" t="s">
        <v>241</v>
      </c>
      <c r="C412" s="20" t="s">
        <v>222</v>
      </c>
      <c r="D412" s="20" t="s">
        <v>1435</v>
      </c>
      <c r="E412" s="20" t="s">
        <v>154</v>
      </c>
      <c r="F412" s="6">
        <f>'Пр.3 Рд,пр, ЦС,ВР 21'!F403</f>
        <v>0</v>
      </c>
      <c r="G412" s="6">
        <f>'Пр.3 Рд,пр, ЦС,ВР 21'!G403</f>
        <v>0</v>
      </c>
    </row>
    <row r="413" spans="1:7" ht="15.75" hidden="1" x14ac:dyDescent="0.25">
      <c r="A413" s="29" t="s">
        <v>575</v>
      </c>
      <c r="B413" s="20" t="s">
        <v>241</v>
      </c>
      <c r="C413" s="20" t="s">
        <v>222</v>
      </c>
      <c r="D413" s="20" t="s">
        <v>1435</v>
      </c>
      <c r="E413" s="20" t="s">
        <v>145</v>
      </c>
      <c r="F413" s="6">
        <f>'Пр.3 Рд,пр, ЦС,ВР 21'!F404</f>
        <v>0</v>
      </c>
      <c r="G413" s="6">
        <f>'Пр.3 Рд,пр, ЦС,ВР 21'!G404</f>
        <v>0</v>
      </c>
    </row>
    <row r="414" spans="1:7" ht="15.75" hidden="1" x14ac:dyDescent="0.25">
      <c r="A414" s="25" t="s">
        <v>557</v>
      </c>
      <c r="B414" s="20" t="s">
        <v>241</v>
      </c>
      <c r="C414" s="20" t="s">
        <v>222</v>
      </c>
      <c r="D414" s="20" t="s">
        <v>1313</v>
      </c>
      <c r="E414" s="20"/>
      <c r="F414" s="6">
        <f>F415</f>
        <v>0</v>
      </c>
      <c r="G414" s="6">
        <f>G415</f>
        <v>0</v>
      </c>
    </row>
    <row r="415" spans="1:7" ht="31.5" hidden="1" x14ac:dyDescent="0.25">
      <c r="A415" s="25" t="s">
        <v>138</v>
      </c>
      <c r="B415" s="20" t="s">
        <v>241</v>
      </c>
      <c r="C415" s="20" t="s">
        <v>222</v>
      </c>
      <c r="D415" s="20" t="s">
        <v>1313</v>
      </c>
      <c r="E415" s="20" t="s">
        <v>139</v>
      </c>
      <c r="F415" s="6">
        <f>F416</f>
        <v>0</v>
      </c>
      <c r="G415" s="6">
        <f>G416</f>
        <v>0</v>
      </c>
    </row>
    <row r="416" spans="1:7" ht="47.25" hidden="1" x14ac:dyDescent="0.25">
      <c r="A416" s="25" t="s">
        <v>140</v>
      </c>
      <c r="B416" s="20" t="s">
        <v>241</v>
      </c>
      <c r="C416" s="20" t="s">
        <v>222</v>
      </c>
      <c r="D416" s="20" t="s">
        <v>1313</v>
      </c>
      <c r="E416" s="20" t="s">
        <v>141</v>
      </c>
      <c r="F416" s="6">
        <f>'пр.6.1.ведом.22-23'!G976</f>
        <v>0</v>
      </c>
      <c r="G416" s="6">
        <f>'пр.6.1.ведом.22-23'!H976</f>
        <v>0</v>
      </c>
    </row>
    <row r="417" spans="1:7" ht="15.75" x14ac:dyDescent="0.25">
      <c r="A417" s="25" t="s">
        <v>562</v>
      </c>
      <c r="B417" s="20" t="s">
        <v>241</v>
      </c>
      <c r="C417" s="20" t="s">
        <v>222</v>
      </c>
      <c r="D417" s="20" t="s">
        <v>1290</v>
      </c>
      <c r="E417" s="20"/>
      <c r="F417" s="6">
        <f>F418</f>
        <v>50</v>
      </c>
      <c r="G417" s="6">
        <f>G418</f>
        <v>55</v>
      </c>
    </row>
    <row r="418" spans="1:7" ht="31.5" x14ac:dyDescent="0.25">
      <c r="A418" s="25" t="s">
        <v>138</v>
      </c>
      <c r="B418" s="20" t="s">
        <v>241</v>
      </c>
      <c r="C418" s="20" t="s">
        <v>222</v>
      </c>
      <c r="D418" s="20" t="s">
        <v>1290</v>
      </c>
      <c r="E418" s="20" t="s">
        <v>139</v>
      </c>
      <c r="F418" s="6">
        <f>F419</f>
        <v>50</v>
      </c>
      <c r="G418" s="6">
        <f>G419</f>
        <v>55</v>
      </c>
    </row>
    <row r="419" spans="1:7" ht="47.25" x14ac:dyDescent="0.25">
      <c r="A419" s="25" t="s">
        <v>140</v>
      </c>
      <c r="B419" s="20" t="s">
        <v>241</v>
      </c>
      <c r="C419" s="20" t="s">
        <v>222</v>
      </c>
      <c r="D419" s="20" t="s">
        <v>1290</v>
      </c>
      <c r="E419" s="20" t="s">
        <v>141</v>
      </c>
      <c r="F419" s="6">
        <f>'пр.6.1.ведом.22-23'!G979</f>
        <v>50</v>
      </c>
      <c r="G419" s="6">
        <f>'пр.6.1.ведом.22-23'!H979</f>
        <v>55</v>
      </c>
    </row>
    <row r="420" spans="1:7" ht="31.5" x14ac:dyDescent="0.25">
      <c r="A420" s="310" t="s">
        <v>1454</v>
      </c>
      <c r="B420" s="20" t="s">
        <v>241</v>
      </c>
      <c r="C420" s="20" t="s">
        <v>222</v>
      </c>
      <c r="D420" s="20" t="s">
        <v>1291</v>
      </c>
      <c r="E420" s="20"/>
      <c r="F420" s="6">
        <f>F421+F423</f>
        <v>375</v>
      </c>
      <c r="G420" s="6">
        <f>G421+G423</f>
        <v>375</v>
      </c>
    </row>
    <row r="421" spans="1:7" ht="31.5" x14ac:dyDescent="0.25">
      <c r="A421" s="25" t="s">
        <v>138</v>
      </c>
      <c r="B421" s="20" t="s">
        <v>241</v>
      </c>
      <c r="C421" s="20" t="s">
        <v>222</v>
      </c>
      <c r="D421" s="20" t="s">
        <v>1291</v>
      </c>
      <c r="E421" s="20" t="s">
        <v>139</v>
      </c>
      <c r="F421" s="6">
        <f>F422</f>
        <v>300</v>
      </c>
      <c r="G421" s="6">
        <f>G422</f>
        <v>300</v>
      </c>
    </row>
    <row r="422" spans="1:7" ht="47.25" x14ac:dyDescent="0.25">
      <c r="A422" s="25" t="s">
        <v>140</v>
      </c>
      <c r="B422" s="20" t="s">
        <v>241</v>
      </c>
      <c r="C422" s="20" t="s">
        <v>222</v>
      </c>
      <c r="D422" s="20" t="s">
        <v>1291</v>
      </c>
      <c r="E422" s="20" t="s">
        <v>141</v>
      </c>
      <c r="F422" s="6">
        <f>'пр.6.1.ведом.22-23'!G982</f>
        <v>300</v>
      </c>
      <c r="G422" s="6">
        <f>'пр.6.1.ведом.22-23'!H982</f>
        <v>300</v>
      </c>
    </row>
    <row r="423" spans="1:7" ht="15.75" x14ac:dyDescent="0.25">
      <c r="A423" s="29" t="s">
        <v>142</v>
      </c>
      <c r="B423" s="20" t="s">
        <v>241</v>
      </c>
      <c r="C423" s="20" t="s">
        <v>222</v>
      </c>
      <c r="D423" s="20" t="s">
        <v>1291</v>
      </c>
      <c r="E423" s="20" t="s">
        <v>152</v>
      </c>
      <c r="F423" s="6">
        <f>F424</f>
        <v>75</v>
      </c>
      <c r="G423" s="6">
        <f>G424</f>
        <v>75</v>
      </c>
    </row>
    <row r="424" spans="1:7" ht="20.25" customHeight="1" x14ac:dyDescent="0.25">
      <c r="A424" s="29" t="s">
        <v>575</v>
      </c>
      <c r="B424" s="20" t="s">
        <v>241</v>
      </c>
      <c r="C424" s="20" t="s">
        <v>222</v>
      </c>
      <c r="D424" s="20" t="s">
        <v>1291</v>
      </c>
      <c r="E424" s="20" t="s">
        <v>145</v>
      </c>
      <c r="F424" s="6">
        <f>'пр.6.1.ведом.22-23'!G984</f>
        <v>75</v>
      </c>
      <c r="G424" s="6">
        <f>'пр.6.1.ведом.22-23'!H984</f>
        <v>75</v>
      </c>
    </row>
    <row r="425" spans="1:7" ht="19.149999999999999" hidden="1" customHeight="1" x14ac:dyDescent="0.25">
      <c r="A425" s="98" t="s">
        <v>566</v>
      </c>
      <c r="B425" s="20" t="s">
        <v>241</v>
      </c>
      <c r="C425" s="20" t="s">
        <v>222</v>
      </c>
      <c r="D425" s="20" t="s">
        <v>1292</v>
      </c>
      <c r="E425" s="20"/>
      <c r="F425" s="6">
        <f>F426</f>
        <v>0</v>
      </c>
      <c r="G425" s="6">
        <f>G426</f>
        <v>130</v>
      </c>
    </row>
    <row r="426" spans="1:7" ht="31.5" hidden="1" x14ac:dyDescent="0.25">
      <c r="A426" s="25" t="s">
        <v>138</v>
      </c>
      <c r="B426" s="20" t="s">
        <v>241</v>
      </c>
      <c r="C426" s="20" t="s">
        <v>222</v>
      </c>
      <c r="D426" s="20" t="s">
        <v>1292</v>
      </c>
      <c r="E426" s="20" t="s">
        <v>139</v>
      </c>
      <c r="F426" s="6">
        <f>F427</f>
        <v>0</v>
      </c>
      <c r="G426" s="6">
        <f>G427</f>
        <v>130</v>
      </c>
    </row>
    <row r="427" spans="1:7" ht="47.25" hidden="1" x14ac:dyDescent="0.25">
      <c r="A427" s="25" t="s">
        <v>140</v>
      </c>
      <c r="B427" s="20" t="s">
        <v>241</v>
      </c>
      <c r="C427" s="20" t="s">
        <v>222</v>
      </c>
      <c r="D427" s="20" t="s">
        <v>1292</v>
      </c>
      <c r="E427" s="20" t="s">
        <v>141</v>
      </c>
      <c r="F427" s="6">
        <f>'пр.6.1.ведом.22-23'!G987</f>
        <v>0</v>
      </c>
      <c r="G427" s="6">
        <f>'пр.6.1.ведом.22-23'!H987</f>
        <v>130</v>
      </c>
    </row>
    <row r="428" spans="1:7" s="202" customFormat="1" ht="31.5" x14ac:dyDescent="0.25">
      <c r="A428" s="224" t="s">
        <v>1099</v>
      </c>
      <c r="B428" s="20" t="s">
        <v>241</v>
      </c>
      <c r="C428" s="20" t="s">
        <v>222</v>
      </c>
      <c r="D428" s="20" t="s">
        <v>1293</v>
      </c>
      <c r="E428" s="20"/>
      <c r="F428" s="26">
        <f>F429</f>
        <v>50</v>
      </c>
      <c r="G428" s="26">
        <f>G429</f>
        <v>60</v>
      </c>
    </row>
    <row r="429" spans="1:7" s="202" customFormat="1" ht="31.5" x14ac:dyDescent="0.25">
      <c r="A429" s="25" t="s">
        <v>138</v>
      </c>
      <c r="B429" s="20" t="s">
        <v>241</v>
      </c>
      <c r="C429" s="20" t="s">
        <v>222</v>
      </c>
      <c r="D429" s="20" t="s">
        <v>1293</v>
      </c>
      <c r="E429" s="20" t="s">
        <v>139</v>
      </c>
      <c r="F429" s="26">
        <f>F430</f>
        <v>50</v>
      </c>
      <c r="G429" s="26">
        <f>G430</f>
        <v>60</v>
      </c>
    </row>
    <row r="430" spans="1:7" s="202" customFormat="1" ht="47.25" x14ac:dyDescent="0.25">
      <c r="A430" s="25" t="s">
        <v>140</v>
      </c>
      <c r="B430" s="20" t="s">
        <v>241</v>
      </c>
      <c r="C430" s="20" t="s">
        <v>222</v>
      </c>
      <c r="D430" s="20" t="s">
        <v>1293</v>
      </c>
      <c r="E430" s="20" t="s">
        <v>141</v>
      </c>
      <c r="F430" s="26">
        <f>'пр.6.1.ведом.22-23'!G990</f>
        <v>50</v>
      </c>
      <c r="G430" s="26">
        <f>'пр.6.1.ведом.22-23'!H990</f>
        <v>60</v>
      </c>
    </row>
    <row r="431" spans="1:7" ht="41.25" hidden="1" customHeight="1" x14ac:dyDescent="0.25">
      <c r="A431" s="23" t="s">
        <v>901</v>
      </c>
      <c r="B431" s="7" t="s">
        <v>241</v>
      </c>
      <c r="C431" s="7" t="s">
        <v>222</v>
      </c>
      <c r="D431" s="24" t="s">
        <v>1311</v>
      </c>
      <c r="E431" s="24"/>
      <c r="F431" s="4">
        <f>F432+F435</f>
        <v>0</v>
      </c>
      <c r="G431" s="4">
        <f>G432+G435</f>
        <v>0</v>
      </c>
    </row>
    <row r="432" spans="1:7" ht="47.25" hidden="1" x14ac:dyDescent="0.25">
      <c r="A432" s="25" t="s">
        <v>698</v>
      </c>
      <c r="B432" s="20" t="s">
        <v>241</v>
      </c>
      <c r="C432" s="20" t="s">
        <v>222</v>
      </c>
      <c r="D432" s="20" t="s">
        <v>1342</v>
      </c>
      <c r="E432" s="20"/>
      <c r="F432" s="6">
        <f>F433</f>
        <v>0</v>
      </c>
      <c r="G432" s="6">
        <f t="shared" ref="G432:G463" si="33">F432</f>
        <v>0</v>
      </c>
    </row>
    <row r="433" spans="1:7" ht="31.5" hidden="1" x14ac:dyDescent="0.25">
      <c r="A433" s="25" t="s">
        <v>138</v>
      </c>
      <c r="B433" s="20" t="s">
        <v>241</v>
      </c>
      <c r="C433" s="20" t="s">
        <v>222</v>
      </c>
      <c r="D433" s="20" t="s">
        <v>1342</v>
      </c>
      <c r="E433" s="20" t="s">
        <v>139</v>
      </c>
      <c r="F433" s="6">
        <f>F434</f>
        <v>0</v>
      </c>
      <c r="G433" s="6">
        <f t="shared" si="33"/>
        <v>0</v>
      </c>
    </row>
    <row r="434" spans="1:7" ht="47.25" hidden="1" x14ac:dyDescent="0.25">
      <c r="A434" s="25" t="s">
        <v>140</v>
      </c>
      <c r="B434" s="20" t="s">
        <v>241</v>
      </c>
      <c r="C434" s="20" t="s">
        <v>222</v>
      </c>
      <c r="D434" s="20" t="s">
        <v>1342</v>
      </c>
      <c r="E434" s="20" t="s">
        <v>141</v>
      </c>
      <c r="F434" s="6">
        <f>'Пр.3 Рд,пр, ЦС,ВР 21'!F425</f>
        <v>0</v>
      </c>
      <c r="G434" s="6">
        <f t="shared" si="33"/>
        <v>0</v>
      </c>
    </row>
    <row r="435" spans="1:7" ht="63" hidden="1" x14ac:dyDescent="0.25">
      <c r="A435" s="25" t="s">
        <v>1081</v>
      </c>
      <c r="B435" s="20" t="s">
        <v>241</v>
      </c>
      <c r="C435" s="20" t="s">
        <v>222</v>
      </c>
      <c r="D435" s="20" t="s">
        <v>1310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138</v>
      </c>
      <c r="B436" s="20" t="s">
        <v>241</v>
      </c>
      <c r="C436" s="20" t="s">
        <v>222</v>
      </c>
      <c r="D436" s="20" t="s">
        <v>1310</v>
      </c>
      <c r="E436" s="20" t="s">
        <v>139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140</v>
      </c>
      <c r="B437" s="20" t="s">
        <v>241</v>
      </c>
      <c r="C437" s="20" t="s">
        <v>222</v>
      </c>
      <c r="D437" s="20" t="s">
        <v>1310</v>
      </c>
      <c r="E437" s="20" t="s">
        <v>141</v>
      </c>
      <c r="F437" s="6">
        <f>'пр.6.1.ведом.22-23'!G997</f>
        <v>0</v>
      </c>
      <c r="G437" s="6">
        <f>'пр.6.1.ведом.22-23'!H997</f>
        <v>0</v>
      </c>
    </row>
    <row r="438" spans="1:7" ht="78.75" x14ac:dyDescent="0.25">
      <c r="A438" s="23" t="s">
        <v>1579</v>
      </c>
      <c r="B438" s="24" t="s">
        <v>241</v>
      </c>
      <c r="C438" s="24" t="s">
        <v>222</v>
      </c>
      <c r="D438" s="24" t="s">
        <v>721</v>
      </c>
      <c r="E438" s="24"/>
      <c r="F438" s="4">
        <f t="shared" ref="F438:G438" si="34">F440</f>
        <v>500</v>
      </c>
      <c r="G438" s="4">
        <f t="shared" si="34"/>
        <v>500</v>
      </c>
    </row>
    <row r="439" spans="1:7" ht="31.5" x14ac:dyDescent="0.25">
      <c r="A439" s="23" t="s">
        <v>1077</v>
      </c>
      <c r="B439" s="24" t="s">
        <v>241</v>
      </c>
      <c r="C439" s="24" t="s">
        <v>222</v>
      </c>
      <c r="D439" s="24" t="s">
        <v>845</v>
      </c>
      <c r="E439" s="20"/>
      <c r="F439" s="4">
        <f t="shared" ref="F439:G441" si="35">F440</f>
        <v>500</v>
      </c>
      <c r="G439" s="4">
        <f t="shared" si="35"/>
        <v>500</v>
      </c>
    </row>
    <row r="440" spans="1:7" ht="31.5" x14ac:dyDescent="0.25">
      <c r="A440" s="248" t="s">
        <v>720</v>
      </c>
      <c r="B440" s="20" t="s">
        <v>241</v>
      </c>
      <c r="C440" s="20" t="s">
        <v>222</v>
      </c>
      <c r="D440" s="20" t="s">
        <v>845</v>
      </c>
      <c r="E440" s="20"/>
      <c r="F440" s="6">
        <f t="shared" si="35"/>
        <v>500</v>
      </c>
      <c r="G440" s="6">
        <f t="shared" si="35"/>
        <v>500</v>
      </c>
    </row>
    <row r="441" spans="1:7" ht="31.5" x14ac:dyDescent="0.25">
      <c r="A441" s="25" t="s">
        <v>138</v>
      </c>
      <c r="B441" s="20" t="s">
        <v>241</v>
      </c>
      <c r="C441" s="20" t="s">
        <v>222</v>
      </c>
      <c r="D441" s="20" t="s">
        <v>845</v>
      </c>
      <c r="E441" s="20" t="s">
        <v>139</v>
      </c>
      <c r="F441" s="6">
        <f t="shared" si="35"/>
        <v>500</v>
      </c>
      <c r="G441" s="6">
        <f t="shared" si="35"/>
        <v>500</v>
      </c>
    </row>
    <row r="442" spans="1:7" ht="47.25" x14ac:dyDescent="0.25">
      <c r="A442" s="25" t="s">
        <v>140</v>
      </c>
      <c r="B442" s="20" t="s">
        <v>241</v>
      </c>
      <c r="C442" s="20" t="s">
        <v>222</v>
      </c>
      <c r="D442" s="20" t="s">
        <v>845</v>
      </c>
      <c r="E442" s="20" t="s">
        <v>141</v>
      </c>
      <c r="F442" s="6">
        <f>'пр.6.1.ведом.22-23'!G1002</f>
        <v>500</v>
      </c>
      <c r="G442" s="6">
        <f>'пр.6.1.ведом.22-23'!H1002</f>
        <v>500</v>
      </c>
    </row>
    <row r="443" spans="1:7" ht="31.5" x14ac:dyDescent="0.25">
      <c r="A443" s="41" t="s">
        <v>576</v>
      </c>
      <c r="B443" s="7" t="s">
        <v>241</v>
      </c>
      <c r="C443" s="7" t="s">
        <v>241</v>
      </c>
      <c r="D443" s="7"/>
      <c r="E443" s="7"/>
      <c r="F443" s="4">
        <f>F444+F456+F473</f>
        <v>25304.5</v>
      </c>
      <c r="G443" s="4">
        <f>G444+G456+G473</f>
        <v>25304.5</v>
      </c>
    </row>
    <row r="444" spans="1:7" ht="31.5" x14ac:dyDescent="0.25">
      <c r="A444" s="23" t="s">
        <v>927</v>
      </c>
      <c r="B444" s="24" t="s">
        <v>241</v>
      </c>
      <c r="C444" s="24" t="s">
        <v>241</v>
      </c>
      <c r="D444" s="24" t="s">
        <v>868</v>
      </c>
      <c r="E444" s="24"/>
      <c r="F444" s="4">
        <f>F445</f>
        <v>12879.3</v>
      </c>
      <c r="G444" s="4">
        <f>G445</f>
        <v>12879.3</v>
      </c>
    </row>
    <row r="445" spans="1:7" ht="15.75" x14ac:dyDescent="0.25">
      <c r="A445" s="23" t="s">
        <v>928</v>
      </c>
      <c r="B445" s="24" t="s">
        <v>241</v>
      </c>
      <c r="C445" s="24" t="s">
        <v>241</v>
      </c>
      <c r="D445" s="24" t="s">
        <v>869</v>
      </c>
      <c r="E445" s="24"/>
      <c r="F445" s="4">
        <f>F446+F453</f>
        <v>12879.3</v>
      </c>
      <c r="G445" s="4">
        <f>G446+G453</f>
        <v>12879.3</v>
      </c>
    </row>
    <row r="446" spans="1:7" ht="31.5" x14ac:dyDescent="0.25">
      <c r="A446" s="25" t="s">
        <v>907</v>
      </c>
      <c r="B446" s="20" t="s">
        <v>241</v>
      </c>
      <c r="C446" s="20" t="s">
        <v>241</v>
      </c>
      <c r="D446" s="20" t="s">
        <v>870</v>
      </c>
      <c r="E446" s="20"/>
      <c r="F446" s="6">
        <f>F447+F449+F451</f>
        <v>12511.3</v>
      </c>
      <c r="G446" s="6">
        <f>G447+G449+G451</f>
        <v>12511.3</v>
      </c>
    </row>
    <row r="447" spans="1:7" ht="94.5" x14ac:dyDescent="0.25">
      <c r="A447" s="25" t="s">
        <v>134</v>
      </c>
      <c r="B447" s="20" t="s">
        <v>241</v>
      </c>
      <c r="C447" s="20" t="s">
        <v>241</v>
      </c>
      <c r="D447" s="20" t="s">
        <v>870</v>
      </c>
      <c r="E447" s="20" t="s">
        <v>135</v>
      </c>
      <c r="F447" s="6">
        <f>F448</f>
        <v>12439.3</v>
      </c>
      <c r="G447" s="6">
        <f>G448</f>
        <v>12439.3</v>
      </c>
    </row>
    <row r="448" spans="1:7" ht="36.75" customHeight="1" x14ac:dyDescent="0.25">
      <c r="A448" s="25" t="s">
        <v>136</v>
      </c>
      <c r="B448" s="20" t="s">
        <v>241</v>
      </c>
      <c r="C448" s="20" t="s">
        <v>241</v>
      </c>
      <c r="D448" s="20" t="s">
        <v>870</v>
      </c>
      <c r="E448" s="20" t="s">
        <v>137</v>
      </c>
      <c r="F448" s="6">
        <f>'пр.6.1.ведом.22-23'!G1008</f>
        <v>12439.3</v>
      </c>
      <c r="G448" s="6">
        <f>'пр.6.1.ведом.22-23'!H1008</f>
        <v>12439.3</v>
      </c>
    </row>
    <row r="449" spans="1:7" ht="31.5" x14ac:dyDescent="0.25">
      <c r="A449" s="25" t="s">
        <v>138</v>
      </c>
      <c r="B449" s="20" t="s">
        <v>241</v>
      </c>
      <c r="C449" s="20" t="s">
        <v>241</v>
      </c>
      <c r="D449" s="20" t="s">
        <v>870</v>
      </c>
      <c r="E449" s="20" t="s">
        <v>139</v>
      </c>
      <c r="F449" s="6">
        <f>F450</f>
        <v>25</v>
      </c>
      <c r="G449" s="6">
        <f>G450</f>
        <v>25</v>
      </c>
    </row>
    <row r="450" spans="1:7" ht="47.25" x14ac:dyDescent="0.25">
      <c r="A450" s="25" t="s">
        <v>140</v>
      </c>
      <c r="B450" s="20" t="s">
        <v>241</v>
      </c>
      <c r="C450" s="20" t="s">
        <v>241</v>
      </c>
      <c r="D450" s="20" t="s">
        <v>870</v>
      </c>
      <c r="E450" s="20" t="s">
        <v>141</v>
      </c>
      <c r="F450" s="6">
        <f>'пр.6.1.ведом.22-23'!G1010</f>
        <v>25</v>
      </c>
      <c r="G450" s="6">
        <f>'пр.6.1.ведом.22-23'!H1010</f>
        <v>25</v>
      </c>
    </row>
    <row r="451" spans="1:7" ht="15.75" x14ac:dyDescent="0.25">
      <c r="A451" s="25" t="s">
        <v>142</v>
      </c>
      <c r="B451" s="20" t="s">
        <v>241</v>
      </c>
      <c r="C451" s="20" t="s">
        <v>241</v>
      </c>
      <c r="D451" s="20" t="s">
        <v>870</v>
      </c>
      <c r="E451" s="20" t="s">
        <v>152</v>
      </c>
      <c r="F451" s="6">
        <f>F452</f>
        <v>47</v>
      </c>
      <c r="G451" s="6">
        <f>G452</f>
        <v>47</v>
      </c>
    </row>
    <row r="452" spans="1:7" ht="21.75" customHeight="1" x14ac:dyDescent="0.25">
      <c r="A452" s="25" t="s">
        <v>575</v>
      </c>
      <c r="B452" s="20" t="s">
        <v>241</v>
      </c>
      <c r="C452" s="20" t="s">
        <v>241</v>
      </c>
      <c r="D452" s="20" t="s">
        <v>870</v>
      </c>
      <c r="E452" s="20" t="s">
        <v>145</v>
      </c>
      <c r="F452" s="6">
        <f>'пр.6.1.ведом.22-23'!G1012</f>
        <v>47</v>
      </c>
      <c r="G452" s="6">
        <f>'пр.6.1.ведом.22-23'!H1012</f>
        <v>47</v>
      </c>
    </row>
    <row r="453" spans="1:7" ht="47.25" x14ac:dyDescent="0.25">
      <c r="A453" s="25" t="s">
        <v>849</v>
      </c>
      <c r="B453" s="20" t="s">
        <v>241</v>
      </c>
      <c r="C453" s="20" t="s">
        <v>241</v>
      </c>
      <c r="D453" s="20" t="s">
        <v>872</v>
      </c>
      <c r="E453" s="20"/>
      <c r="F453" s="6">
        <f>F454</f>
        <v>368</v>
      </c>
      <c r="G453" s="6">
        <f>G454</f>
        <v>368</v>
      </c>
    </row>
    <row r="454" spans="1:7" ht="94.5" x14ac:dyDescent="0.25">
      <c r="A454" s="25" t="s">
        <v>134</v>
      </c>
      <c r="B454" s="20" t="s">
        <v>241</v>
      </c>
      <c r="C454" s="20" t="s">
        <v>241</v>
      </c>
      <c r="D454" s="20" t="s">
        <v>872</v>
      </c>
      <c r="E454" s="20" t="s">
        <v>135</v>
      </c>
      <c r="F454" s="6">
        <f>F455</f>
        <v>368</v>
      </c>
      <c r="G454" s="6">
        <f>G455</f>
        <v>368</v>
      </c>
    </row>
    <row r="455" spans="1:7" ht="33" customHeight="1" x14ac:dyDescent="0.25">
      <c r="A455" s="25" t="s">
        <v>136</v>
      </c>
      <c r="B455" s="20" t="s">
        <v>241</v>
      </c>
      <c r="C455" s="20" t="s">
        <v>241</v>
      </c>
      <c r="D455" s="20" t="s">
        <v>872</v>
      </c>
      <c r="E455" s="20" t="s">
        <v>137</v>
      </c>
      <c r="F455" s="6">
        <f>'пр.6.1.ведом.22-23'!G1015</f>
        <v>368</v>
      </c>
      <c r="G455" s="6">
        <f>'пр.6.1.ведом.22-23'!H1015</f>
        <v>368</v>
      </c>
    </row>
    <row r="456" spans="1:7" ht="15.75" x14ac:dyDescent="0.25">
      <c r="A456" s="23" t="s">
        <v>148</v>
      </c>
      <c r="B456" s="24" t="s">
        <v>241</v>
      </c>
      <c r="C456" s="24" t="s">
        <v>241</v>
      </c>
      <c r="D456" s="24" t="s">
        <v>876</v>
      </c>
      <c r="E456" s="24"/>
      <c r="F456" s="4">
        <f>F457+F464</f>
        <v>12425.2</v>
      </c>
      <c r="G456" s="4">
        <f>G457+G464</f>
        <v>12425.2</v>
      </c>
    </row>
    <row r="457" spans="1:7" ht="31.5" x14ac:dyDescent="0.25">
      <c r="A457" s="23" t="s">
        <v>880</v>
      </c>
      <c r="B457" s="24" t="s">
        <v>241</v>
      </c>
      <c r="C457" s="24" t="s">
        <v>241</v>
      </c>
      <c r="D457" s="24" t="s">
        <v>875</v>
      </c>
      <c r="E457" s="24"/>
      <c r="F457" s="368">
        <f>F458+F461</f>
        <v>982</v>
      </c>
      <c r="G457" s="368">
        <f>G458+G461</f>
        <v>982</v>
      </c>
    </row>
    <row r="458" spans="1:7" ht="31.5" x14ac:dyDescent="0.25">
      <c r="A458" s="25" t="s">
        <v>577</v>
      </c>
      <c r="B458" s="20" t="s">
        <v>241</v>
      </c>
      <c r="C458" s="20" t="s">
        <v>241</v>
      </c>
      <c r="D458" s="20" t="s">
        <v>994</v>
      </c>
      <c r="E458" s="20"/>
      <c r="F458" s="6">
        <f>F459</f>
        <v>982</v>
      </c>
      <c r="G458" s="6">
        <f>G459</f>
        <v>982</v>
      </c>
    </row>
    <row r="459" spans="1:7" ht="15.75" x14ac:dyDescent="0.25">
      <c r="A459" s="25" t="s">
        <v>142</v>
      </c>
      <c r="B459" s="20" t="s">
        <v>241</v>
      </c>
      <c r="C459" s="20" t="s">
        <v>241</v>
      </c>
      <c r="D459" s="20" t="s">
        <v>994</v>
      </c>
      <c r="E459" s="20" t="s">
        <v>152</v>
      </c>
      <c r="F459" s="6">
        <f>F460</f>
        <v>982</v>
      </c>
      <c r="G459" s="6">
        <f>G460</f>
        <v>982</v>
      </c>
    </row>
    <row r="460" spans="1:7" ht="63" x14ac:dyDescent="0.25">
      <c r="A460" s="25" t="s">
        <v>191</v>
      </c>
      <c r="B460" s="20" t="s">
        <v>241</v>
      </c>
      <c r="C460" s="20" t="s">
        <v>241</v>
      </c>
      <c r="D460" s="20" t="s">
        <v>994</v>
      </c>
      <c r="E460" s="20" t="s">
        <v>167</v>
      </c>
      <c r="F460" s="6">
        <f>'пр.6.1.ведом.22-23'!G1020</f>
        <v>982</v>
      </c>
      <c r="G460" s="6">
        <f>'пр.6.1.ведом.22-23'!H1020</f>
        <v>982</v>
      </c>
    </row>
    <row r="461" spans="1:7" ht="31.5" hidden="1" x14ac:dyDescent="0.25">
      <c r="A461" s="25" t="s">
        <v>833</v>
      </c>
      <c r="B461" s="20" t="s">
        <v>241</v>
      </c>
      <c r="C461" s="20" t="s">
        <v>241</v>
      </c>
      <c r="D461" s="20" t="s">
        <v>1082</v>
      </c>
      <c r="E461" s="20"/>
      <c r="F461" s="6">
        <f>'Пр.3 Рд,пр, ЦС,ВР 21'!F454</f>
        <v>0</v>
      </c>
      <c r="G461" s="6">
        <f t="shared" si="33"/>
        <v>0</v>
      </c>
    </row>
    <row r="462" spans="1:7" ht="15.75" hidden="1" x14ac:dyDescent="0.25">
      <c r="A462" s="25" t="s">
        <v>142</v>
      </c>
      <c r="B462" s="20" t="s">
        <v>241</v>
      </c>
      <c r="C462" s="20" t="s">
        <v>241</v>
      </c>
      <c r="D462" s="20" t="s">
        <v>1082</v>
      </c>
      <c r="E462" s="20" t="s">
        <v>152</v>
      </c>
      <c r="F462" s="6">
        <f>'Пр.3 Рд,пр, ЦС,ВР 21'!F455</f>
        <v>0</v>
      </c>
      <c r="G462" s="6">
        <f t="shared" si="33"/>
        <v>0</v>
      </c>
    </row>
    <row r="463" spans="1:7" ht="63" hidden="1" x14ac:dyDescent="0.25">
      <c r="A463" s="25" t="s">
        <v>191</v>
      </c>
      <c r="B463" s="20" t="s">
        <v>241</v>
      </c>
      <c r="C463" s="20" t="s">
        <v>241</v>
      </c>
      <c r="D463" s="20" t="s">
        <v>1082</v>
      </c>
      <c r="E463" s="20" t="s">
        <v>167</v>
      </c>
      <c r="F463" s="6">
        <f>'Пр.3 Рд,пр, ЦС,ВР 21'!F456</f>
        <v>0</v>
      </c>
      <c r="G463" s="6">
        <f t="shared" si="33"/>
        <v>0</v>
      </c>
    </row>
    <row r="464" spans="1:7" ht="47.25" x14ac:dyDescent="0.25">
      <c r="A464" s="23" t="s">
        <v>939</v>
      </c>
      <c r="B464" s="24" t="s">
        <v>241</v>
      </c>
      <c r="C464" s="24" t="s">
        <v>241</v>
      </c>
      <c r="D464" s="24" t="s">
        <v>924</v>
      </c>
      <c r="E464" s="24"/>
      <c r="F464" s="368">
        <f>F465+F470</f>
        <v>11443.2</v>
      </c>
      <c r="G464" s="368">
        <f>G465+G470</f>
        <v>11443.2</v>
      </c>
    </row>
    <row r="465" spans="1:10" ht="31.5" x14ac:dyDescent="0.25">
      <c r="A465" s="25" t="s">
        <v>913</v>
      </c>
      <c r="B465" s="20" t="s">
        <v>241</v>
      </c>
      <c r="C465" s="20" t="s">
        <v>241</v>
      </c>
      <c r="D465" s="20" t="s">
        <v>925</v>
      </c>
      <c r="E465" s="20"/>
      <c r="F465" s="6">
        <f>F466+F469</f>
        <v>10845.2</v>
      </c>
      <c r="G465" s="6">
        <f>G466+G469</f>
        <v>10845.2</v>
      </c>
    </row>
    <row r="466" spans="1:10" ht="94.5" x14ac:dyDescent="0.25">
      <c r="A466" s="25" t="s">
        <v>134</v>
      </c>
      <c r="B466" s="20" t="s">
        <v>241</v>
      </c>
      <c r="C466" s="20" t="s">
        <v>241</v>
      </c>
      <c r="D466" s="20" t="s">
        <v>925</v>
      </c>
      <c r="E466" s="20" t="s">
        <v>135</v>
      </c>
      <c r="F466" s="6">
        <f>F467</f>
        <v>9193</v>
      </c>
      <c r="G466" s="6">
        <f>G467</f>
        <v>9193</v>
      </c>
    </row>
    <row r="467" spans="1:10" ht="31.5" x14ac:dyDescent="0.25">
      <c r="A467" s="25" t="s">
        <v>349</v>
      </c>
      <c r="B467" s="20" t="s">
        <v>241</v>
      </c>
      <c r="C467" s="20" t="s">
        <v>241</v>
      </c>
      <c r="D467" s="20" t="s">
        <v>925</v>
      </c>
      <c r="E467" s="20" t="s">
        <v>216</v>
      </c>
      <c r="F467" s="6">
        <f>'пр.6.1.ведом.22-23'!G1027</f>
        <v>9193</v>
      </c>
      <c r="G467" s="6">
        <f>'пр.6.1.ведом.22-23'!H1027</f>
        <v>9193</v>
      </c>
    </row>
    <row r="468" spans="1:10" ht="31.5" x14ac:dyDescent="0.25">
      <c r="A468" s="25" t="s">
        <v>138</v>
      </c>
      <c r="B468" s="20" t="s">
        <v>241</v>
      </c>
      <c r="C468" s="20" t="s">
        <v>241</v>
      </c>
      <c r="D468" s="20" t="s">
        <v>925</v>
      </c>
      <c r="E468" s="20" t="s">
        <v>139</v>
      </c>
      <c r="F468" s="6">
        <f>F469</f>
        <v>1652.2</v>
      </c>
      <c r="G468" s="6">
        <f>G469</f>
        <v>1652.2</v>
      </c>
    </row>
    <row r="469" spans="1:10" ht="47.25" x14ac:dyDescent="0.25">
      <c r="A469" s="25" t="s">
        <v>140</v>
      </c>
      <c r="B469" s="20" t="s">
        <v>241</v>
      </c>
      <c r="C469" s="20" t="s">
        <v>241</v>
      </c>
      <c r="D469" s="20" t="s">
        <v>925</v>
      </c>
      <c r="E469" s="20" t="s">
        <v>141</v>
      </c>
      <c r="F469" s="6">
        <f>'пр.6.1.ведом.22-23'!G1029</f>
        <v>1652.2</v>
      </c>
      <c r="G469" s="6">
        <f>'пр.6.1.ведом.22-23'!H1029</f>
        <v>1652.2</v>
      </c>
    </row>
    <row r="470" spans="1:10" ht="47.25" x14ac:dyDescent="0.25">
      <c r="A470" s="25" t="s">
        <v>849</v>
      </c>
      <c r="B470" s="20" t="s">
        <v>241</v>
      </c>
      <c r="C470" s="20" t="s">
        <v>241</v>
      </c>
      <c r="D470" s="20" t="s">
        <v>926</v>
      </c>
      <c r="E470" s="20"/>
      <c r="F470" s="6">
        <f>F471</f>
        <v>598</v>
      </c>
      <c r="G470" s="6">
        <f>G471</f>
        <v>598</v>
      </c>
    </row>
    <row r="471" spans="1:10" ht="94.5" x14ac:dyDescent="0.25">
      <c r="A471" s="25" t="s">
        <v>134</v>
      </c>
      <c r="B471" s="20" t="s">
        <v>241</v>
      </c>
      <c r="C471" s="20" t="s">
        <v>241</v>
      </c>
      <c r="D471" s="20" t="s">
        <v>926</v>
      </c>
      <c r="E471" s="20" t="s">
        <v>135</v>
      </c>
      <c r="F471" s="6">
        <f>F472</f>
        <v>598</v>
      </c>
      <c r="G471" s="6">
        <f>G472</f>
        <v>598</v>
      </c>
    </row>
    <row r="472" spans="1:10" ht="39.75" customHeight="1" x14ac:dyDescent="0.25">
      <c r="A472" s="25" t="s">
        <v>136</v>
      </c>
      <c r="B472" s="20" t="s">
        <v>241</v>
      </c>
      <c r="C472" s="20" t="s">
        <v>241</v>
      </c>
      <c r="D472" s="20" t="s">
        <v>926</v>
      </c>
      <c r="E472" s="20" t="s">
        <v>137</v>
      </c>
      <c r="F472" s="6">
        <f>'пр.6.1.ведом.22-23'!G1032</f>
        <v>598</v>
      </c>
      <c r="G472" s="6">
        <f>'пр.6.1.ведом.22-23'!H1032</f>
        <v>598</v>
      </c>
    </row>
    <row r="473" spans="1:10" s="202" customFormat="1" ht="63" hidden="1" x14ac:dyDescent="0.25">
      <c r="A473" s="34" t="s">
        <v>1374</v>
      </c>
      <c r="B473" s="24" t="s">
        <v>241</v>
      </c>
      <c r="C473" s="24" t="s">
        <v>241</v>
      </c>
      <c r="D473" s="24" t="s">
        <v>331</v>
      </c>
      <c r="E473" s="24"/>
      <c r="F473" s="21">
        <f t="shared" ref="F473:G476" si="36">F474</f>
        <v>0</v>
      </c>
      <c r="G473" s="21">
        <f t="shared" si="36"/>
        <v>0</v>
      </c>
    </row>
    <row r="474" spans="1:10" s="202" customFormat="1" ht="63" hidden="1" x14ac:dyDescent="0.25">
      <c r="A474" s="34" t="s">
        <v>1019</v>
      </c>
      <c r="B474" s="24" t="s">
        <v>241</v>
      </c>
      <c r="C474" s="24" t="s">
        <v>241</v>
      </c>
      <c r="D474" s="24" t="s">
        <v>944</v>
      </c>
      <c r="E474" s="24"/>
      <c r="F474" s="21">
        <f t="shared" si="36"/>
        <v>0</v>
      </c>
      <c r="G474" s="21">
        <f t="shared" si="36"/>
        <v>0</v>
      </c>
    </row>
    <row r="475" spans="1:10" s="202" customFormat="1" ht="47.25" hidden="1" x14ac:dyDescent="0.25">
      <c r="A475" s="31" t="s">
        <v>1091</v>
      </c>
      <c r="B475" s="20" t="s">
        <v>241</v>
      </c>
      <c r="C475" s="20" t="s">
        <v>241</v>
      </c>
      <c r="D475" s="20" t="s">
        <v>1036</v>
      </c>
      <c r="E475" s="20"/>
      <c r="F475" s="26">
        <f t="shared" si="36"/>
        <v>0</v>
      </c>
      <c r="G475" s="26">
        <f t="shared" si="36"/>
        <v>0</v>
      </c>
    </row>
    <row r="476" spans="1:10" s="202" customFormat="1" ht="31.5" hidden="1" x14ac:dyDescent="0.25">
      <c r="A476" s="25" t="s">
        <v>138</v>
      </c>
      <c r="B476" s="20" t="s">
        <v>241</v>
      </c>
      <c r="C476" s="20" t="s">
        <v>241</v>
      </c>
      <c r="D476" s="20" t="s">
        <v>1036</v>
      </c>
      <c r="E476" s="20" t="s">
        <v>139</v>
      </c>
      <c r="F476" s="26">
        <f t="shared" si="36"/>
        <v>0</v>
      </c>
      <c r="G476" s="26">
        <f t="shared" si="36"/>
        <v>0</v>
      </c>
    </row>
    <row r="477" spans="1:10" s="202" customFormat="1" ht="47.25" hidden="1" x14ac:dyDescent="0.25">
      <c r="A477" s="25" t="s">
        <v>140</v>
      </c>
      <c r="B477" s="20" t="s">
        <v>241</v>
      </c>
      <c r="C477" s="20" t="s">
        <v>241</v>
      </c>
      <c r="D477" s="20" t="s">
        <v>1036</v>
      </c>
      <c r="E477" s="20" t="s">
        <v>141</v>
      </c>
      <c r="F477" s="26">
        <f>'пр.6.1.ведом.22-23'!G1037</f>
        <v>0</v>
      </c>
      <c r="G477" s="6">
        <f>'пр.6.1.ведом.22-23'!H1037</f>
        <v>0</v>
      </c>
    </row>
    <row r="478" spans="1:10" ht="15.75" x14ac:dyDescent="0.25">
      <c r="A478" s="41" t="s">
        <v>270</v>
      </c>
      <c r="B478" s="7" t="s">
        <v>271</v>
      </c>
      <c r="C478" s="40"/>
      <c r="D478" s="40"/>
      <c r="E478" s="40"/>
      <c r="F478" s="4">
        <f>F479+F542+F714+F620+F689</f>
        <v>366206.80999999994</v>
      </c>
      <c r="G478" s="4">
        <f>G479+G542+G714+G620+G689</f>
        <v>389340.16000000003</v>
      </c>
      <c r="H478" s="220"/>
      <c r="I478" s="220"/>
      <c r="J478" s="220"/>
    </row>
    <row r="479" spans="1:10" ht="15.75" x14ac:dyDescent="0.25">
      <c r="A479" s="41" t="s">
        <v>411</v>
      </c>
      <c r="B479" s="7" t="s">
        <v>271</v>
      </c>
      <c r="C479" s="7" t="s">
        <v>125</v>
      </c>
      <c r="D479" s="7"/>
      <c r="E479" s="7"/>
      <c r="F479" s="4">
        <f>F480+F532+F537</f>
        <v>102250.3</v>
      </c>
      <c r="G479" s="4">
        <f>G480+G532+G537</f>
        <v>105829.20000000001</v>
      </c>
    </row>
    <row r="480" spans="1:10" ht="47.25" x14ac:dyDescent="0.25">
      <c r="A480" s="23" t="s">
        <v>1373</v>
      </c>
      <c r="B480" s="24" t="s">
        <v>271</v>
      </c>
      <c r="C480" s="24" t="s">
        <v>125</v>
      </c>
      <c r="D480" s="24" t="s">
        <v>413</v>
      </c>
      <c r="E480" s="24"/>
      <c r="F480" s="4">
        <f>F481+F485+F498+F508+F518+F525</f>
        <v>101599.40000000001</v>
      </c>
      <c r="G480" s="4">
        <f>G481+G485+G498+G508+G518+G525</f>
        <v>105210.40000000001</v>
      </c>
    </row>
    <row r="481" spans="1:7" ht="47.25" x14ac:dyDescent="0.25">
      <c r="A481" s="23" t="s">
        <v>947</v>
      </c>
      <c r="B481" s="24" t="s">
        <v>271</v>
      </c>
      <c r="C481" s="24" t="s">
        <v>125</v>
      </c>
      <c r="D481" s="24" t="s">
        <v>1245</v>
      </c>
      <c r="E481" s="24"/>
      <c r="F481" s="4">
        <f t="shared" ref="F481:G483" si="37">F482</f>
        <v>14795.6</v>
      </c>
      <c r="G481" s="4">
        <f t="shared" si="37"/>
        <v>14795.6</v>
      </c>
    </row>
    <row r="482" spans="1:7" ht="47.25" x14ac:dyDescent="0.25">
      <c r="A482" s="25" t="s">
        <v>1244</v>
      </c>
      <c r="B482" s="20" t="s">
        <v>271</v>
      </c>
      <c r="C482" s="20" t="s">
        <v>125</v>
      </c>
      <c r="D482" s="20" t="s">
        <v>1246</v>
      </c>
      <c r="E482" s="20"/>
      <c r="F482" s="6">
        <f t="shared" si="37"/>
        <v>14795.6</v>
      </c>
      <c r="G482" s="6">
        <f t="shared" si="37"/>
        <v>14795.6</v>
      </c>
    </row>
    <row r="483" spans="1:7" ht="47.25" x14ac:dyDescent="0.25">
      <c r="A483" s="25" t="s">
        <v>279</v>
      </c>
      <c r="B483" s="20" t="s">
        <v>271</v>
      </c>
      <c r="C483" s="20" t="s">
        <v>125</v>
      </c>
      <c r="D483" s="20" t="s">
        <v>1246</v>
      </c>
      <c r="E483" s="20" t="s">
        <v>280</v>
      </c>
      <c r="F483" s="6">
        <f t="shared" si="37"/>
        <v>14795.6</v>
      </c>
      <c r="G483" s="6">
        <f t="shared" si="37"/>
        <v>14795.6</v>
      </c>
    </row>
    <row r="484" spans="1:7" ht="25.5" customHeight="1" x14ac:dyDescent="0.25">
      <c r="A484" s="25" t="s">
        <v>281</v>
      </c>
      <c r="B484" s="20" t="s">
        <v>271</v>
      </c>
      <c r="C484" s="20" t="s">
        <v>125</v>
      </c>
      <c r="D484" s="20" t="s">
        <v>1246</v>
      </c>
      <c r="E484" s="20" t="s">
        <v>282</v>
      </c>
      <c r="F484" s="366">
        <f>'пр.6.1.ведом.22-23'!G554</f>
        <v>14795.6</v>
      </c>
      <c r="G484" s="366">
        <f>'пр.6.1.ведом.22-23'!H554</f>
        <v>14795.6</v>
      </c>
    </row>
    <row r="485" spans="1:7" ht="47.25" x14ac:dyDescent="0.25">
      <c r="A485" s="23" t="s">
        <v>910</v>
      </c>
      <c r="B485" s="24" t="s">
        <v>271</v>
      </c>
      <c r="C485" s="24" t="s">
        <v>125</v>
      </c>
      <c r="D485" s="24" t="s">
        <v>1247</v>
      </c>
      <c r="E485" s="24"/>
      <c r="F485" s="4">
        <f>F489+F492+F495+F486</f>
        <v>75561.5</v>
      </c>
      <c r="G485" s="4">
        <f>G489+G492+G495+G486</f>
        <v>79924.100000000006</v>
      </c>
    </row>
    <row r="486" spans="1:7" s="202" customFormat="1" ht="110.25" x14ac:dyDescent="0.25">
      <c r="A486" s="31" t="s">
        <v>300</v>
      </c>
      <c r="B486" s="20" t="s">
        <v>271</v>
      </c>
      <c r="C486" s="20" t="s">
        <v>125</v>
      </c>
      <c r="D486" s="20" t="s">
        <v>1407</v>
      </c>
      <c r="E486" s="20"/>
      <c r="F486" s="6">
        <f t="shared" ref="F486:G487" si="38">F487</f>
        <v>3230</v>
      </c>
      <c r="G486" s="6">
        <f t="shared" si="38"/>
        <v>3230</v>
      </c>
    </row>
    <row r="487" spans="1:7" s="202" customFormat="1" ht="47.25" x14ac:dyDescent="0.25">
      <c r="A487" s="25" t="s">
        <v>279</v>
      </c>
      <c r="B487" s="20" t="s">
        <v>271</v>
      </c>
      <c r="C487" s="20" t="s">
        <v>125</v>
      </c>
      <c r="D487" s="20" t="s">
        <v>1407</v>
      </c>
      <c r="E487" s="20" t="s">
        <v>280</v>
      </c>
      <c r="F487" s="6">
        <f t="shared" si="38"/>
        <v>3230</v>
      </c>
      <c r="G487" s="6">
        <f t="shared" si="38"/>
        <v>3230</v>
      </c>
    </row>
    <row r="488" spans="1:7" s="202" customFormat="1" ht="15.75" x14ac:dyDescent="0.25">
      <c r="A488" s="25" t="s">
        <v>281</v>
      </c>
      <c r="B488" s="20" t="s">
        <v>271</v>
      </c>
      <c r="C488" s="20" t="s">
        <v>125</v>
      </c>
      <c r="D488" s="20" t="s">
        <v>1407</v>
      </c>
      <c r="E488" s="20" t="s">
        <v>282</v>
      </c>
      <c r="F488" s="6">
        <f>'пр.6.1.ведом.22-23'!G558</f>
        <v>3230</v>
      </c>
      <c r="G488" s="6">
        <f>'пр.6.1.ведом.22-23'!H558</f>
        <v>3230</v>
      </c>
    </row>
    <row r="489" spans="1:7" ht="63" x14ac:dyDescent="0.25">
      <c r="A489" s="31" t="s">
        <v>296</v>
      </c>
      <c r="B489" s="20" t="s">
        <v>271</v>
      </c>
      <c r="C489" s="20" t="s">
        <v>125</v>
      </c>
      <c r="D489" s="20" t="s">
        <v>1248</v>
      </c>
      <c r="E489" s="20"/>
      <c r="F489" s="6">
        <f t="shared" ref="F489:G490" si="39">F490</f>
        <v>589</v>
      </c>
      <c r="G489" s="6">
        <f t="shared" si="39"/>
        <v>589</v>
      </c>
    </row>
    <row r="490" spans="1:7" ht="47.25" x14ac:dyDescent="0.25">
      <c r="A490" s="25" t="s">
        <v>279</v>
      </c>
      <c r="B490" s="20" t="s">
        <v>271</v>
      </c>
      <c r="C490" s="20" t="s">
        <v>125</v>
      </c>
      <c r="D490" s="20" t="s">
        <v>1248</v>
      </c>
      <c r="E490" s="20" t="s">
        <v>280</v>
      </c>
      <c r="F490" s="6">
        <f t="shared" si="39"/>
        <v>589</v>
      </c>
      <c r="G490" s="6">
        <f t="shared" si="39"/>
        <v>589</v>
      </c>
    </row>
    <row r="491" spans="1:7" ht="15.75" x14ac:dyDescent="0.25">
      <c r="A491" s="25" t="s">
        <v>281</v>
      </c>
      <c r="B491" s="20" t="s">
        <v>271</v>
      </c>
      <c r="C491" s="20" t="s">
        <v>125</v>
      </c>
      <c r="D491" s="20" t="s">
        <v>1248</v>
      </c>
      <c r="E491" s="20" t="s">
        <v>282</v>
      </c>
      <c r="F491" s="6">
        <f>'пр.6.1.ведом.22-23'!G561</f>
        <v>589</v>
      </c>
      <c r="G491" s="6">
        <f>'пр.6.1.ведом.22-23'!H561</f>
        <v>589</v>
      </c>
    </row>
    <row r="492" spans="1:7" ht="78.75" x14ac:dyDescent="0.25">
      <c r="A492" s="31" t="s">
        <v>298</v>
      </c>
      <c r="B492" s="20" t="s">
        <v>271</v>
      </c>
      <c r="C492" s="20" t="s">
        <v>125</v>
      </c>
      <c r="D492" s="20" t="s">
        <v>1249</v>
      </c>
      <c r="E492" s="20"/>
      <c r="F492" s="6">
        <f t="shared" ref="F492:G493" si="40">F493</f>
        <v>1629.3</v>
      </c>
      <c r="G492" s="6">
        <f t="shared" si="40"/>
        <v>1629.3</v>
      </c>
    </row>
    <row r="493" spans="1:7" ht="47.25" x14ac:dyDescent="0.25">
      <c r="A493" s="25" t="s">
        <v>279</v>
      </c>
      <c r="B493" s="20" t="s">
        <v>271</v>
      </c>
      <c r="C493" s="20" t="s">
        <v>125</v>
      </c>
      <c r="D493" s="20" t="s">
        <v>1249</v>
      </c>
      <c r="E493" s="20" t="s">
        <v>280</v>
      </c>
      <c r="F493" s="6">
        <f t="shared" si="40"/>
        <v>1629.3</v>
      </c>
      <c r="G493" s="6">
        <f t="shared" si="40"/>
        <v>1629.3</v>
      </c>
    </row>
    <row r="494" spans="1:7" ht="15.75" x14ac:dyDescent="0.25">
      <c r="A494" s="25" t="s">
        <v>281</v>
      </c>
      <c r="B494" s="20" t="s">
        <v>271</v>
      </c>
      <c r="C494" s="20" t="s">
        <v>125</v>
      </c>
      <c r="D494" s="20" t="s">
        <v>1249</v>
      </c>
      <c r="E494" s="20" t="s">
        <v>282</v>
      </c>
      <c r="F494" s="6">
        <f>'пр.6.1.ведом.22-23'!G564</f>
        <v>1629.3</v>
      </c>
      <c r="G494" s="6">
        <f>'пр.6.1.ведом.22-23'!H564</f>
        <v>1629.3</v>
      </c>
    </row>
    <row r="495" spans="1:7" ht="94.5" x14ac:dyDescent="0.25">
      <c r="A495" s="31" t="s">
        <v>1197</v>
      </c>
      <c r="B495" s="20" t="s">
        <v>271</v>
      </c>
      <c r="C495" s="20" t="s">
        <v>125</v>
      </c>
      <c r="D495" s="20" t="s">
        <v>1250</v>
      </c>
      <c r="E495" s="20"/>
      <c r="F495" s="6">
        <f t="shared" ref="F495:G496" si="41">F496</f>
        <v>70113.2</v>
      </c>
      <c r="G495" s="6">
        <f t="shared" si="41"/>
        <v>74475.8</v>
      </c>
    </row>
    <row r="496" spans="1:7" ht="47.25" x14ac:dyDescent="0.25">
      <c r="A496" s="25" t="s">
        <v>279</v>
      </c>
      <c r="B496" s="20" t="s">
        <v>271</v>
      </c>
      <c r="C496" s="20" t="s">
        <v>125</v>
      </c>
      <c r="D496" s="20" t="s">
        <v>1250</v>
      </c>
      <c r="E496" s="20" t="s">
        <v>280</v>
      </c>
      <c r="F496" s="6">
        <f t="shared" si="41"/>
        <v>70113.2</v>
      </c>
      <c r="G496" s="6">
        <f t="shared" si="41"/>
        <v>74475.8</v>
      </c>
    </row>
    <row r="497" spans="1:7" ht="15.75" x14ac:dyDescent="0.25">
      <c r="A497" s="25" t="s">
        <v>281</v>
      </c>
      <c r="B497" s="20" t="s">
        <v>271</v>
      </c>
      <c r="C497" s="20" t="s">
        <v>125</v>
      </c>
      <c r="D497" s="20" t="s">
        <v>1250</v>
      </c>
      <c r="E497" s="20" t="s">
        <v>282</v>
      </c>
      <c r="F497" s="6">
        <f>'пр.6.1.ведом.22-23'!G567</f>
        <v>70113.2</v>
      </c>
      <c r="G497" s="6">
        <f>'пр.6.1.ведом.22-23'!H567</f>
        <v>74475.8</v>
      </c>
    </row>
    <row r="498" spans="1:7" ht="31.5" x14ac:dyDescent="0.25">
      <c r="A498" s="23" t="s">
        <v>1307</v>
      </c>
      <c r="B498" s="24" t="s">
        <v>271</v>
      </c>
      <c r="C498" s="24" t="s">
        <v>125</v>
      </c>
      <c r="D498" s="24" t="s">
        <v>1252</v>
      </c>
      <c r="E498" s="24"/>
      <c r="F498" s="4">
        <f>F505</f>
        <v>4430</v>
      </c>
      <c r="G498" s="4">
        <f>G505</f>
        <v>4430</v>
      </c>
    </row>
    <row r="499" spans="1:7" ht="47.25" hidden="1" x14ac:dyDescent="0.25">
      <c r="A499" s="25" t="s">
        <v>285</v>
      </c>
      <c r="B499" s="20" t="s">
        <v>271</v>
      </c>
      <c r="C499" s="20" t="s">
        <v>125</v>
      </c>
      <c r="D499" s="20" t="s">
        <v>1333</v>
      </c>
      <c r="E499" s="20"/>
      <c r="F499" s="6">
        <f>F500</f>
        <v>0</v>
      </c>
      <c r="G499" s="6">
        <f>G500</f>
        <v>0</v>
      </c>
    </row>
    <row r="500" spans="1:7" ht="47.25" hidden="1" x14ac:dyDescent="0.25">
      <c r="A500" s="25" t="s">
        <v>279</v>
      </c>
      <c r="B500" s="20" t="s">
        <v>271</v>
      </c>
      <c r="C500" s="20" t="s">
        <v>125</v>
      </c>
      <c r="D500" s="20" t="s">
        <v>1333</v>
      </c>
      <c r="E500" s="20" t="s">
        <v>280</v>
      </c>
      <c r="F500" s="6">
        <f t="shared" ref="F500:G500" si="42">F501</f>
        <v>0</v>
      </c>
      <c r="G500" s="6">
        <f t="shared" si="42"/>
        <v>0</v>
      </c>
    </row>
    <row r="501" spans="1:7" ht="15.75" hidden="1" x14ac:dyDescent="0.25">
      <c r="A501" s="25" t="s">
        <v>281</v>
      </c>
      <c r="B501" s="20" t="s">
        <v>271</v>
      </c>
      <c r="C501" s="20" t="s">
        <v>125</v>
      </c>
      <c r="D501" s="20" t="s">
        <v>1333</v>
      </c>
      <c r="E501" s="20" t="s">
        <v>282</v>
      </c>
      <c r="F501" s="6">
        <f>'пр.6.1.ведом.22-23'!G571</f>
        <v>0</v>
      </c>
      <c r="G501" s="6">
        <f>'пр.6.1.ведом.22-23'!H571</f>
        <v>0</v>
      </c>
    </row>
    <row r="502" spans="1:7" ht="31.5" hidden="1" x14ac:dyDescent="0.25">
      <c r="A502" s="25" t="s">
        <v>287</v>
      </c>
      <c r="B502" s="20" t="s">
        <v>271</v>
      </c>
      <c r="C502" s="20" t="s">
        <v>125</v>
      </c>
      <c r="D502" s="20" t="s">
        <v>1334</v>
      </c>
      <c r="E502" s="20"/>
      <c r="F502" s="6">
        <f>F503</f>
        <v>0</v>
      </c>
      <c r="G502" s="6">
        <f>G503</f>
        <v>0</v>
      </c>
    </row>
    <row r="503" spans="1:7" ht="47.25" hidden="1" x14ac:dyDescent="0.25">
      <c r="A503" s="25" t="s">
        <v>279</v>
      </c>
      <c r="B503" s="20" t="s">
        <v>271</v>
      </c>
      <c r="C503" s="20" t="s">
        <v>125</v>
      </c>
      <c r="D503" s="20" t="s">
        <v>1334</v>
      </c>
      <c r="E503" s="20" t="s">
        <v>280</v>
      </c>
      <c r="F503" s="6">
        <f t="shared" ref="F503:G503" si="43">F504</f>
        <v>0</v>
      </c>
      <c r="G503" s="6">
        <f t="shared" si="43"/>
        <v>0</v>
      </c>
    </row>
    <row r="504" spans="1:7" ht="15.75" hidden="1" x14ac:dyDescent="0.25">
      <c r="A504" s="25" t="s">
        <v>281</v>
      </c>
      <c r="B504" s="20" t="s">
        <v>271</v>
      </c>
      <c r="C504" s="20" t="s">
        <v>125</v>
      </c>
      <c r="D504" s="20" t="s">
        <v>1334</v>
      </c>
      <c r="E504" s="20" t="s">
        <v>282</v>
      </c>
      <c r="F504" s="6">
        <f>'пр.6.1.ведом.22-23'!G574</f>
        <v>0</v>
      </c>
      <c r="G504" s="6">
        <f>'пр.6.1.ведом.22-23'!H574</f>
        <v>0</v>
      </c>
    </row>
    <row r="505" spans="1:7" ht="47.25" x14ac:dyDescent="0.25">
      <c r="A505" s="29" t="s">
        <v>422</v>
      </c>
      <c r="B505" s="20" t="s">
        <v>271</v>
      </c>
      <c r="C505" s="20" t="s">
        <v>125</v>
      </c>
      <c r="D505" s="20" t="s">
        <v>1253</v>
      </c>
      <c r="E505" s="20"/>
      <c r="F505" s="6">
        <f>F506</f>
        <v>4430</v>
      </c>
      <c r="G505" s="6">
        <f>G506</f>
        <v>4430</v>
      </c>
    </row>
    <row r="506" spans="1:7" ht="47.25" x14ac:dyDescent="0.25">
      <c r="A506" s="25" t="s">
        <v>279</v>
      </c>
      <c r="B506" s="20" t="s">
        <v>271</v>
      </c>
      <c r="C506" s="20" t="s">
        <v>125</v>
      </c>
      <c r="D506" s="20" t="s">
        <v>1253</v>
      </c>
      <c r="E506" s="20" t="s">
        <v>280</v>
      </c>
      <c r="F506" s="6">
        <f>F507</f>
        <v>4430</v>
      </c>
      <c r="G506" s="6">
        <f>G507</f>
        <v>4430</v>
      </c>
    </row>
    <row r="507" spans="1:7" ht="15.75" x14ac:dyDescent="0.25">
      <c r="A507" s="25" t="s">
        <v>281</v>
      </c>
      <c r="B507" s="20" t="s">
        <v>271</v>
      </c>
      <c r="C507" s="20" t="s">
        <v>125</v>
      </c>
      <c r="D507" s="20" t="s">
        <v>1253</v>
      </c>
      <c r="E507" s="20" t="s">
        <v>282</v>
      </c>
      <c r="F507" s="6">
        <f>'пр.6.1.ведом.22-23'!G577</f>
        <v>4430</v>
      </c>
      <c r="G507" s="6">
        <f>'пр.6.1.ведом.22-23'!H577</f>
        <v>4430</v>
      </c>
    </row>
    <row r="508" spans="1:7" ht="47.25" x14ac:dyDescent="0.25">
      <c r="A508" s="214" t="s">
        <v>958</v>
      </c>
      <c r="B508" s="24" t="s">
        <v>271</v>
      </c>
      <c r="C508" s="24" t="s">
        <v>125</v>
      </c>
      <c r="D508" s="24" t="s">
        <v>1255</v>
      </c>
      <c r="E508" s="24"/>
      <c r="F508" s="4">
        <f>F512+F515</f>
        <v>4848</v>
      </c>
      <c r="G508" s="4">
        <f>G512+G515</f>
        <v>4848</v>
      </c>
    </row>
    <row r="509" spans="1:7" ht="31.5" hidden="1" x14ac:dyDescent="0.25">
      <c r="A509" s="25" t="s">
        <v>291</v>
      </c>
      <c r="B509" s="20" t="s">
        <v>271</v>
      </c>
      <c r="C509" s="20" t="s">
        <v>125</v>
      </c>
      <c r="D509" s="20" t="s">
        <v>1273</v>
      </c>
      <c r="E509" s="20"/>
      <c r="F509" s="6">
        <f>F510</f>
        <v>0</v>
      </c>
      <c r="G509" s="6">
        <f>G510</f>
        <v>0</v>
      </c>
    </row>
    <row r="510" spans="1:7" ht="47.25" hidden="1" x14ac:dyDescent="0.25">
      <c r="A510" s="25" t="s">
        <v>279</v>
      </c>
      <c r="B510" s="20" t="s">
        <v>271</v>
      </c>
      <c r="C510" s="20" t="s">
        <v>125</v>
      </c>
      <c r="D510" s="20" t="s">
        <v>1273</v>
      </c>
      <c r="E510" s="20" t="s">
        <v>280</v>
      </c>
      <c r="F510" s="6">
        <f>F511</f>
        <v>0</v>
      </c>
      <c r="G510" s="6">
        <f>G511</f>
        <v>0</v>
      </c>
    </row>
    <row r="511" spans="1:7" ht="15.75" hidden="1" x14ac:dyDescent="0.25">
      <c r="A511" s="25" t="s">
        <v>281</v>
      </c>
      <c r="B511" s="20" t="s">
        <v>271</v>
      </c>
      <c r="C511" s="20" t="s">
        <v>125</v>
      </c>
      <c r="D511" s="20" t="s">
        <v>1273</v>
      </c>
      <c r="E511" s="20" t="s">
        <v>282</v>
      </c>
      <c r="F511" s="6">
        <f>'пр.6.1.ведом.22-23'!G581</f>
        <v>0</v>
      </c>
      <c r="G511" s="6">
        <f>'пр.6.1.ведом.22-23'!H581</f>
        <v>0</v>
      </c>
    </row>
    <row r="512" spans="1:7" ht="47.25" x14ac:dyDescent="0.25">
      <c r="A512" s="60" t="s">
        <v>774</v>
      </c>
      <c r="B512" s="20" t="s">
        <v>271</v>
      </c>
      <c r="C512" s="20" t="s">
        <v>125</v>
      </c>
      <c r="D512" s="20" t="s">
        <v>1256</v>
      </c>
      <c r="E512" s="20"/>
      <c r="F512" s="6">
        <f>F513</f>
        <v>3088</v>
      </c>
      <c r="G512" s="6">
        <f>G513</f>
        <v>3088</v>
      </c>
    </row>
    <row r="513" spans="1:7" ht="47.25" x14ac:dyDescent="0.25">
      <c r="A513" s="29" t="s">
        <v>279</v>
      </c>
      <c r="B513" s="20" t="s">
        <v>271</v>
      </c>
      <c r="C513" s="20" t="s">
        <v>125</v>
      </c>
      <c r="D513" s="20" t="s">
        <v>1256</v>
      </c>
      <c r="E513" s="20" t="s">
        <v>280</v>
      </c>
      <c r="F513" s="6">
        <f>F514</f>
        <v>3088</v>
      </c>
      <c r="G513" s="6">
        <f>G514</f>
        <v>3088</v>
      </c>
    </row>
    <row r="514" spans="1:7" ht="15.75" x14ac:dyDescent="0.25">
      <c r="A514" s="184" t="s">
        <v>281</v>
      </c>
      <c r="B514" s="20" t="s">
        <v>271</v>
      </c>
      <c r="C514" s="20" t="s">
        <v>125</v>
      </c>
      <c r="D514" s="20" t="s">
        <v>1256</v>
      </c>
      <c r="E514" s="20" t="s">
        <v>282</v>
      </c>
      <c r="F514" s="6">
        <f>'пр.6.1.ведом.22-23'!G584</f>
        <v>3088</v>
      </c>
      <c r="G514" s="6">
        <f>'пр.6.1.ведом.22-23'!H584</f>
        <v>3088</v>
      </c>
    </row>
    <row r="515" spans="1:7" ht="63" x14ac:dyDescent="0.25">
      <c r="A515" s="60" t="s">
        <v>775</v>
      </c>
      <c r="B515" s="20" t="s">
        <v>271</v>
      </c>
      <c r="C515" s="20" t="s">
        <v>125</v>
      </c>
      <c r="D515" s="20" t="s">
        <v>1257</v>
      </c>
      <c r="E515" s="20"/>
      <c r="F515" s="6">
        <f>F516</f>
        <v>1760</v>
      </c>
      <c r="G515" s="6">
        <f>G516</f>
        <v>1760</v>
      </c>
    </row>
    <row r="516" spans="1:7" ht="47.25" x14ac:dyDescent="0.25">
      <c r="A516" s="29" t="s">
        <v>279</v>
      </c>
      <c r="B516" s="20" t="s">
        <v>271</v>
      </c>
      <c r="C516" s="20" t="s">
        <v>125</v>
      </c>
      <c r="D516" s="20" t="s">
        <v>1257</v>
      </c>
      <c r="E516" s="20" t="s">
        <v>280</v>
      </c>
      <c r="F516" s="6">
        <f>F517</f>
        <v>1760</v>
      </c>
      <c r="G516" s="6">
        <f>G517</f>
        <v>1760</v>
      </c>
    </row>
    <row r="517" spans="1:7" ht="15.75" x14ac:dyDescent="0.25">
      <c r="A517" s="184" t="s">
        <v>281</v>
      </c>
      <c r="B517" s="20" t="s">
        <v>271</v>
      </c>
      <c r="C517" s="20" t="s">
        <v>125</v>
      </c>
      <c r="D517" s="20" t="s">
        <v>1257</v>
      </c>
      <c r="E517" s="20" t="s">
        <v>282</v>
      </c>
      <c r="F517" s="6">
        <f>'пр.6.1.ведом.22-23'!G587</f>
        <v>1760</v>
      </c>
      <c r="G517" s="6">
        <f>'пр.6.1.ведом.22-23'!H587</f>
        <v>1760</v>
      </c>
    </row>
    <row r="518" spans="1:7" ht="78" customHeight="1" x14ac:dyDescent="0.25">
      <c r="A518" s="23" t="s">
        <v>943</v>
      </c>
      <c r="B518" s="24" t="s">
        <v>271</v>
      </c>
      <c r="C518" s="24" t="s">
        <v>125</v>
      </c>
      <c r="D518" s="24" t="s">
        <v>1258</v>
      </c>
      <c r="E518" s="24"/>
      <c r="F518" s="4">
        <f t="shared" ref="F518:G520" si="44">F519</f>
        <v>297.70000000000005</v>
      </c>
      <c r="G518" s="4">
        <f t="shared" si="44"/>
        <v>297.70000000000005</v>
      </c>
    </row>
    <row r="519" spans="1:7" ht="110.25" x14ac:dyDescent="0.25">
      <c r="A519" s="25" t="s">
        <v>1555</v>
      </c>
      <c r="B519" s="20" t="s">
        <v>271</v>
      </c>
      <c r="C519" s="20" t="s">
        <v>125</v>
      </c>
      <c r="D519" s="20" t="s">
        <v>1259</v>
      </c>
      <c r="E519" s="20"/>
      <c r="F519" s="6">
        <f t="shared" si="44"/>
        <v>297.70000000000005</v>
      </c>
      <c r="G519" s="6">
        <f t="shared" si="44"/>
        <v>297.70000000000005</v>
      </c>
    </row>
    <row r="520" spans="1:7" ht="47.25" x14ac:dyDescent="0.25">
      <c r="A520" s="29" t="s">
        <v>279</v>
      </c>
      <c r="B520" s="20" t="s">
        <v>271</v>
      </c>
      <c r="C520" s="20" t="s">
        <v>125</v>
      </c>
      <c r="D520" s="20" t="s">
        <v>1259</v>
      </c>
      <c r="E520" s="20" t="s">
        <v>280</v>
      </c>
      <c r="F520" s="6">
        <f t="shared" si="44"/>
        <v>297.70000000000005</v>
      </c>
      <c r="G520" s="6">
        <f t="shared" si="44"/>
        <v>297.70000000000005</v>
      </c>
    </row>
    <row r="521" spans="1:7" ht="15.75" x14ac:dyDescent="0.25">
      <c r="A521" s="184" t="s">
        <v>281</v>
      </c>
      <c r="B521" s="20" t="s">
        <v>271</v>
      </c>
      <c r="C521" s="20" t="s">
        <v>125</v>
      </c>
      <c r="D521" s="20" t="s">
        <v>1259</v>
      </c>
      <c r="E521" s="20" t="s">
        <v>282</v>
      </c>
      <c r="F521" s="6">
        <f>'пр.6.1.ведом.22-23'!G591</f>
        <v>297.70000000000005</v>
      </c>
      <c r="G521" s="6">
        <f>'пр.6.1.ведом.22-23'!H591</f>
        <v>297.70000000000005</v>
      </c>
    </row>
    <row r="522" spans="1:7" ht="157.5" hidden="1" x14ac:dyDescent="0.25">
      <c r="A522" s="25" t="s">
        <v>430</v>
      </c>
      <c r="B522" s="20" t="s">
        <v>271</v>
      </c>
      <c r="C522" s="20" t="s">
        <v>125</v>
      </c>
      <c r="D522" s="20" t="s">
        <v>1260</v>
      </c>
      <c r="E522" s="20"/>
      <c r="F522" s="6" t="e">
        <f t="shared" ref="F522:G523" si="45">F523</f>
        <v>#REF!</v>
      </c>
      <c r="G522" s="6" t="e">
        <f t="shared" si="45"/>
        <v>#REF!</v>
      </c>
    </row>
    <row r="523" spans="1:7" ht="47.25" hidden="1" x14ac:dyDescent="0.25">
      <c r="A523" s="25" t="s">
        <v>279</v>
      </c>
      <c r="B523" s="20" t="s">
        <v>271</v>
      </c>
      <c r="C523" s="20" t="s">
        <v>125</v>
      </c>
      <c r="D523" s="20" t="s">
        <v>1260</v>
      </c>
      <c r="E523" s="20" t="s">
        <v>280</v>
      </c>
      <c r="F523" s="6" t="e">
        <f t="shared" si="45"/>
        <v>#REF!</v>
      </c>
      <c r="G523" s="6" t="e">
        <f t="shared" si="45"/>
        <v>#REF!</v>
      </c>
    </row>
    <row r="524" spans="1:7" ht="15.75" hidden="1" x14ac:dyDescent="0.25">
      <c r="A524" s="25" t="s">
        <v>281</v>
      </c>
      <c r="B524" s="20" t="s">
        <v>271</v>
      </c>
      <c r="C524" s="20" t="s">
        <v>125</v>
      </c>
      <c r="D524" s="20" t="s">
        <v>1260</v>
      </c>
      <c r="E524" s="20" t="s">
        <v>282</v>
      </c>
      <c r="F524" s="6" t="e">
        <f>'пр.6.1.ведом.22-23'!#REF!</f>
        <v>#REF!</v>
      </c>
      <c r="G524" s="6" t="e">
        <f>'пр.6.1.ведом.22-23'!#REF!</f>
        <v>#REF!</v>
      </c>
    </row>
    <row r="525" spans="1:7" s="202" customFormat="1" ht="110.25" x14ac:dyDescent="0.25">
      <c r="A525" s="23" t="s">
        <v>1180</v>
      </c>
      <c r="B525" s="24" t="s">
        <v>271</v>
      </c>
      <c r="C525" s="24" t="s">
        <v>125</v>
      </c>
      <c r="D525" s="24" t="s">
        <v>1261</v>
      </c>
      <c r="E525" s="24"/>
      <c r="F525" s="21">
        <f>F526+F529</f>
        <v>1666.6</v>
      </c>
      <c r="G525" s="21">
        <f>G526+G529</f>
        <v>915</v>
      </c>
    </row>
    <row r="526" spans="1:7" s="202" customFormat="1" ht="101.25" hidden="1" customHeight="1" x14ac:dyDescent="0.25">
      <c r="A526" s="150" t="s">
        <v>1199</v>
      </c>
      <c r="B526" s="20" t="s">
        <v>271</v>
      </c>
      <c r="C526" s="20" t="s">
        <v>125</v>
      </c>
      <c r="D526" s="20" t="s">
        <v>1262</v>
      </c>
      <c r="E526" s="20"/>
      <c r="F526" s="26">
        <f>F527</f>
        <v>0</v>
      </c>
      <c r="G526" s="26">
        <f>G527</f>
        <v>0</v>
      </c>
    </row>
    <row r="527" spans="1:7" ht="47.25" hidden="1" x14ac:dyDescent="0.25">
      <c r="A527" s="25" t="s">
        <v>279</v>
      </c>
      <c r="B527" s="20" t="s">
        <v>271</v>
      </c>
      <c r="C527" s="20" t="s">
        <v>125</v>
      </c>
      <c r="D527" s="20" t="s">
        <v>1262</v>
      </c>
      <c r="E527" s="20" t="s">
        <v>280</v>
      </c>
      <c r="F527" s="26">
        <f>F528</f>
        <v>0</v>
      </c>
      <c r="G527" s="26">
        <f>G528</f>
        <v>0</v>
      </c>
    </row>
    <row r="528" spans="1:7" ht="15.75" hidden="1" x14ac:dyDescent="0.25">
      <c r="A528" s="25" t="s">
        <v>281</v>
      </c>
      <c r="B528" s="20" t="s">
        <v>271</v>
      </c>
      <c r="C528" s="20" t="s">
        <v>125</v>
      </c>
      <c r="D528" s="20" t="s">
        <v>1262</v>
      </c>
      <c r="E528" s="20" t="s">
        <v>282</v>
      </c>
      <c r="F528" s="26">
        <f>'пр.6.1.ведом.22-23'!G595</f>
        <v>0</v>
      </c>
      <c r="G528" s="26">
        <f>'пр.6.1.ведом.22-23'!H595</f>
        <v>0</v>
      </c>
    </row>
    <row r="529" spans="1:7" ht="94.5" x14ac:dyDescent="0.25">
      <c r="A529" s="150" t="s">
        <v>1538</v>
      </c>
      <c r="B529" s="20" t="s">
        <v>271</v>
      </c>
      <c r="C529" s="20" t="s">
        <v>125</v>
      </c>
      <c r="D529" s="20" t="s">
        <v>1262</v>
      </c>
      <c r="E529" s="20"/>
      <c r="F529" s="26">
        <f>F530</f>
        <v>1666.6</v>
      </c>
      <c r="G529" s="26">
        <f>G530</f>
        <v>915</v>
      </c>
    </row>
    <row r="530" spans="1:7" ht="47.25" x14ac:dyDescent="0.25">
      <c r="A530" s="25" t="s">
        <v>279</v>
      </c>
      <c r="B530" s="20" t="s">
        <v>271</v>
      </c>
      <c r="C530" s="20" t="s">
        <v>125</v>
      </c>
      <c r="D530" s="20" t="s">
        <v>1262</v>
      </c>
      <c r="E530" s="20" t="s">
        <v>280</v>
      </c>
      <c r="F530" s="26">
        <f>F531</f>
        <v>1666.6</v>
      </c>
      <c r="G530" s="26">
        <f>G531</f>
        <v>915</v>
      </c>
    </row>
    <row r="531" spans="1:7" ht="15.75" x14ac:dyDescent="0.25">
      <c r="A531" s="25" t="s">
        <v>281</v>
      </c>
      <c r="B531" s="20" t="s">
        <v>271</v>
      </c>
      <c r="C531" s="20" t="s">
        <v>125</v>
      </c>
      <c r="D531" s="20" t="s">
        <v>1262</v>
      </c>
      <c r="E531" s="20" t="s">
        <v>282</v>
      </c>
      <c r="F531" s="26">
        <f>'пр.6.1.ведом.22-23'!G598</f>
        <v>1666.6</v>
      </c>
      <c r="G531" s="26">
        <f>'пр.6.1.ведом.22-23'!H598</f>
        <v>915</v>
      </c>
    </row>
    <row r="532" spans="1:7" s="202" customFormat="1" ht="63" x14ac:dyDescent="0.25">
      <c r="A532" s="34" t="s">
        <v>1374</v>
      </c>
      <c r="B532" s="24" t="s">
        <v>271</v>
      </c>
      <c r="C532" s="24" t="s">
        <v>125</v>
      </c>
      <c r="D532" s="24" t="s">
        <v>331</v>
      </c>
      <c r="E532" s="24"/>
      <c r="F532" s="21">
        <f t="shared" ref="F532:G535" si="46">F533</f>
        <v>80</v>
      </c>
      <c r="G532" s="21">
        <f t="shared" si="46"/>
        <v>25</v>
      </c>
    </row>
    <row r="533" spans="1:7" s="202" customFormat="1" ht="63" x14ac:dyDescent="0.25">
      <c r="A533" s="34" t="s">
        <v>1019</v>
      </c>
      <c r="B533" s="24" t="s">
        <v>271</v>
      </c>
      <c r="C533" s="24" t="s">
        <v>125</v>
      </c>
      <c r="D533" s="24" t="s">
        <v>944</v>
      </c>
      <c r="E533" s="24"/>
      <c r="F533" s="21">
        <f t="shared" si="46"/>
        <v>80</v>
      </c>
      <c r="G533" s="21">
        <f t="shared" si="46"/>
        <v>25</v>
      </c>
    </row>
    <row r="534" spans="1:7" s="202" customFormat="1" ht="47.25" x14ac:dyDescent="0.25">
      <c r="A534" s="31" t="s">
        <v>1092</v>
      </c>
      <c r="B534" s="20" t="s">
        <v>271</v>
      </c>
      <c r="C534" s="20" t="s">
        <v>125</v>
      </c>
      <c r="D534" s="20" t="s">
        <v>945</v>
      </c>
      <c r="E534" s="20"/>
      <c r="F534" s="26">
        <f t="shared" si="46"/>
        <v>80</v>
      </c>
      <c r="G534" s="26">
        <f t="shared" si="46"/>
        <v>25</v>
      </c>
    </row>
    <row r="535" spans="1:7" s="202" customFormat="1" ht="47.25" x14ac:dyDescent="0.25">
      <c r="A535" s="31" t="s">
        <v>279</v>
      </c>
      <c r="B535" s="20" t="s">
        <v>271</v>
      </c>
      <c r="C535" s="20" t="s">
        <v>125</v>
      </c>
      <c r="D535" s="20" t="s">
        <v>945</v>
      </c>
      <c r="E535" s="20" t="s">
        <v>280</v>
      </c>
      <c r="F535" s="26">
        <f t="shared" si="46"/>
        <v>80</v>
      </c>
      <c r="G535" s="26">
        <f t="shared" si="46"/>
        <v>25</v>
      </c>
    </row>
    <row r="536" spans="1:7" s="202" customFormat="1" ht="15.75" x14ac:dyDescent="0.25">
      <c r="A536" s="31" t="s">
        <v>281</v>
      </c>
      <c r="B536" s="20" t="s">
        <v>271</v>
      </c>
      <c r="C536" s="20" t="s">
        <v>125</v>
      </c>
      <c r="D536" s="20" t="s">
        <v>945</v>
      </c>
      <c r="E536" s="20" t="s">
        <v>282</v>
      </c>
      <c r="F536" s="26">
        <f>'пр.6.1.ведом.22-23'!G603</f>
        <v>80</v>
      </c>
      <c r="G536" s="26">
        <f>'пр.6.1.ведом.22-23'!H603</f>
        <v>25</v>
      </c>
    </row>
    <row r="537" spans="1:7" ht="63" x14ac:dyDescent="0.25">
      <c r="A537" s="41" t="s">
        <v>1369</v>
      </c>
      <c r="B537" s="24" t="s">
        <v>271</v>
      </c>
      <c r="C537" s="24" t="s">
        <v>125</v>
      </c>
      <c r="D537" s="24" t="s">
        <v>715</v>
      </c>
      <c r="E537" s="217"/>
      <c r="F537" s="4">
        <f>F538</f>
        <v>570.9</v>
      </c>
      <c r="G537" s="4">
        <f>G538</f>
        <v>593.79999999999995</v>
      </c>
    </row>
    <row r="538" spans="1:7" ht="63" x14ac:dyDescent="0.25">
      <c r="A538" s="41" t="s">
        <v>900</v>
      </c>
      <c r="B538" s="24" t="s">
        <v>271</v>
      </c>
      <c r="C538" s="24" t="s">
        <v>125</v>
      </c>
      <c r="D538" s="24" t="s">
        <v>898</v>
      </c>
      <c r="E538" s="217"/>
      <c r="F538" s="4">
        <f t="shared" ref="F538:G539" si="47">F539</f>
        <v>570.9</v>
      </c>
      <c r="G538" s="4">
        <f t="shared" si="47"/>
        <v>593.79999999999995</v>
      </c>
    </row>
    <row r="539" spans="1:7" ht="47.25" x14ac:dyDescent="0.25">
      <c r="A539" s="98" t="s">
        <v>790</v>
      </c>
      <c r="B539" s="20" t="s">
        <v>271</v>
      </c>
      <c r="C539" s="20" t="s">
        <v>125</v>
      </c>
      <c r="D539" s="20" t="s">
        <v>946</v>
      </c>
      <c r="E539" s="32"/>
      <c r="F539" s="6">
        <f t="shared" si="47"/>
        <v>570.9</v>
      </c>
      <c r="G539" s="6">
        <f t="shared" si="47"/>
        <v>593.79999999999995</v>
      </c>
    </row>
    <row r="540" spans="1:7" ht="47.25" x14ac:dyDescent="0.25">
      <c r="A540" s="29" t="s">
        <v>279</v>
      </c>
      <c r="B540" s="20" t="s">
        <v>271</v>
      </c>
      <c r="C540" s="20" t="s">
        <v>125</v>
      </c>
      <c r="D540" s="20" t="s">
        <v>946</v>
      </c>
      <c r="E540" s="32" t="s">
        <v>280</v>
      </c>
      <c r="F540" s="6">
        <f>F541</f>
        <v>570.9</v>
      </c>
      <c r="G540" s="6">
        <f>G541</f>
        <v>593.79999999999995</v>
      </c>
    </row>
    <row r="541" spans="1:7" ht="15.75" x14ac:dyDescent="0.25">
      <c r="A541" s="184" t="s">
        <v>281</v>
      </c>
      <c r="B541" s="20" t="s">
        <v>271</v>
      </c>
      <c r="C541" s="20" t="s">
        <v>125</v>
      </c>
      <c r="D541" s="20" t="s">
        <v>946</v>
      </c>
      <c r="E541" s="32" t="s">
        <v>282</v>
      </c>
      <c r="F541" s="6">
        <f>'пр.6.1.ведом.22-23'!G608</f>
        <v>570.9</v>
      </c>
      <c r="G541" s="6">
        <f>'пр.6.1.ведом.22-23'!H608</f>
        <v>593.79999999999995</v>
      </c>
    </row>
    <row r="542" spans="1:7" ht="15.75" x14ac:dyDescent="0.25">
      <c r="A542" s="41" t="s">
        <v>432</v>
      </c>
      <c r="B542" s="7" t="s">
        <v>271</v>
      </c>
      <c r="C542" s="7" t="s">
        <v>220</v>
      </c>
      <c r="D542" s="7"/>
      <c r="E542" s="7"/>
      <c r="F542" s="4">
        <f>F543+F615+F610</f>
        <v>177341.49999999997</v>
      </c>
      <c r="G542" s="4">
        <f>G543+G615+G610</f>
        <v>196805.15000000002</v>
      </c>
    </row>
    <row r="543" spans="1:7" ht="47.25" x14ac:dyDescent="0.25">
      <c r="A543" s="23" t="s">
        <v>1375</v>
      </c>
      <c r="B543" s="24" t="s">
        <v>271</v>
      </c>
      <c r="C543" s="24" t="s">
        <v>220</v>
      </c>
      <c r="D543" s="24" t="s">
        <v>413</v>
      </c>
      <c r="E543" s="24"/>
      <c r="F543" s="4">
        <f>F544+F548+F567+F580+F587+F591+F595+F602+F606</f>
        <v>176410.99999999997</v>
      </c>
      <c r="G543" s="4">
        <f>G544+G548+G567+G580+G587+G591+G595+G602+G606</f>
        <v>195829.85000000003</v>
      </c>
    </row>
    <row r="544" spans="1:7" ht="47.25" x14ac:dyDescent="0.25">
      <c r="A544" s="23" t="s">
        <v>947</v>
      </c>
      <c r="B544" s="24" t="s">
        <v>271</v>
      </c>
      <c r="C544" s="24" t="s">
        <v>220</v>
      </c>
      <c r="D544" s="24" t="s">
        <v>1245</v>
      </c>
      <c r="E544" s="24"/>
      <c r="F544" s="4">
        <f>F545</f>
        <v>28690.799999999999</v>
      </c>
      <c r="G544" s="4">
        <f>G545</f>
        <v>28690.799999999999</v>
      </c>
    </row>
    <row r="545" spans="1:7" ht="47.25" x14ac:dyDescent="0.25">
      <c r="A545" s="25" t="s">
        <v>1251</v>
      </c>
      <c r="B545" s="20" t="s">
        <v>271</v>
      </c>
      <c r="C545" s="20" t="s">
        <v>220</v>
      </c>
      <c r="D545" s="20" t="s">
        <v>1264</v>
      </c>
      <c r="E545" s="20"/>
      <c r="F545" s="366">
        <f t="shared" ref="F545:G545" si="48">F546</f>
        <v>28690.799999999999</v>
      </c>
      <c r="G545" s="366">
        <f t="shared" si="48"/>
        <v>28690.799999999999</v>
      </c>
    </row>
    <row r="546" spans="1:7" ht="47.25" x14ac:dyDescent="0.25">
      <c r="A546" s="25" t="s">
        <v>279</v>
      </c>
      <c r="B546" s="20" t="s">
        <v>271</v>
      </c>
      <c r="C546" s="20" t="s">
        <v>220</v>
      </c>
      <c r="D546" s="20" t="s">
        <v>1264</v>
      </c>
      <c r="E546" s="20" t="s">
        <v>280</v>
      </c>
      <c r="F546" s="366">
        <f>F547</f>
        <v>28690.799999999999</v>
      </c>
      <c r="G546" s="366">
        <f>G547</f>
        <v>28690.799999999999</v>
      </c>
    </row>
    <row r="547" spans="1:7" ht="15.75" x14ac:dyDescent="0.25">
      <c r="A547" s="25" t="s">
        <v>281</v>
      </c>
      <c r="B547" s="20" t="s">
        <v>271</v>
      </c>
      <c r="C547" s="20" t="s">
        <v>220</v>
      </c>
      <c r="D547" s="20" t="s">
        <v>1264</v>
      </c>
      <c r="E547" s="20" t="s">
        <v>282</v>
      </c>
      <c r="F547" s="6">
        <f>'пр.6.1.ведом.22-23'!G614</f>
        <v>28690.799999999999</v>
      </c>
      <c r="G547" s="6">
        <f>'пр.6.1.ведом.22-23'!H614</f>
        <v>28690.799999999999</v>
      </c>
    </row>
    <row r="548" spans="1:7" ht="47.25" x14ac:dyDescent="0.25">
      <c r="A548" s="23" t="s">
        <v>910</v>
      </c>
      <c r="B548" s="24" t="s">
        <v>271</v>
      </c>
      <c r="C548" s="24" t="s">
        <v>220</v>
      </c>
      <c r="D548" s="24" t="s">
        <v>1247</v>
      </c>
      <c r="E548" s="24"/>
      <c r="F548" s="4">
        <f>F555+F558+F561+F564+F552+F549</f>
        <v>131370.9</v>
      </c>
      <c r="G548" s="4">
        <f>G555+G558+G561+G564+G552+G549</f>
        <v>150534.80000000002</v>
      </c>
    </row>
    <row r="549" spans="1:7" s="202" customFormat="1" ht="78.75" x14ac:dyDescent="0.25">
      <c r="A549" s="25" t="s">
        <v>1409</v>
      </c>
      <c r="B549" s="20" t="s">
        <v>271</v>
      </c>
      <c r="C549" s="20" t="s">
        <v>220</v>
      </c>
      <c r="D549" s="20" t="s">
        <v>1410</v>
      </c>
      <c r="E549" s="20"/>
      <c r="F549" s="27">
        <f>F550</f>
        <v>7226.1</v>
      </c>
      <c r="G549" s="27">
        <f>G550</f>
        <v>7226.1</v>
      </c>
    </row>
    <row r="550" spans="1:7" s="202" customFormat="1" ht="47.25" x14ac:dyDescent="0.25">
      <c r="A550" s="25" t="s">
        <v>279</v>
      </c>
      <c r="B550" s="20" t="s">
        <v>271</v>
      </c>
      <c r="C550" s="20" t="s">
        <v>220</v>
      </c>
      <c r="D550" s="20" t="s">
        <v>1410</v>
      </c>
      <c r="E550" s="20" t="s">
        <v>280</v>
      </c>
      <c r="F550" s="27">
        <f>F551</f>
        <v>7226.1</v>
      </c>
      <c r="G550" s="27">
        <f>G551</f>
        <v>7226.1</v>
      </c>
    </row>
    <row r="551" spans="1:7" s="202" customFormat="1" ht="15.75" x14ac:dyDescent="0.25">
      <c r="A551" s="25" t="s">
        <v>281</v>
      </c>
      <c r="B551" s="20" t="s">
        <v>271</v>
      </c>
      <c r="C551" s="20" t="s">
        <v>220</v>
      </c>
      <c r="D551" s="20" t="s">
        <v>1410</v>
      </c>
      <c r="E551" s="20" t="s">
        <v>282</v>
      </c>
      <c r="F551" s="27">
        <f>'пр.6.1.ведом.22-23'!G618</f>
        <v>7226.1</v>
      </c>
      <c r="G551" s="27">
        <f>'пр.6.1.ведом.22-23'!H618</f>
        <v>7226.1</v>
      </c>
    </row>
    <row r="552" spans="1:7" s="202" customFormat="1" ht="110.25" x14ac:dyDescent="0.25">
      <c r="A552" s="31" t="s">
        <v>471</v>
      </c>
      <c r="B552" s="20" t="s">
        <v>271</v>
      </c>
      <c r="C552" s="20" t="s">
        <v>220</v>
      </c>
      <c r="D552" s="20" t="s">
        <v>1407</v>
      </c>
      <c r="E552" s="20"/>
      <c r="F552" s="6">
        <f>F553</f>
        <v>4610</v>
      </c>
      <c r="G552" s="6">
        <f>G553</f>
        <v>4610</v>
      </c>
    </row>
    <row r="553" spans="1:7" s="202" customFormat="1" ht="47.25" x14ac:dyDescent="0.25">
      <c r="A553" s="25" t="s">
        <v>279</v>
      </c>
      <c r="B553" s="20" t="s">
        <v>271</v>
      </c>
      <c r="C553" s="20" t="s">
        <v>220</v>
      </c>
      <c r="D553" s="20" t="s">
        <v>1407</v>
      </c>
      <c r="E553" s="20" t="s">
        <v>280</v>
      </c>
      <c r="F553" s="6">
        <f>F554</f>
        <v>4610</v>
      </c>
      <c r="G553" s="6">
        <f>G554</f>
        <v>4610</v>
      </c>
    </row>
    <row r="554" spans="1:7" s="202" customFormat="1" ht="15.75" x14ac:dyDescent="0.25">
      <c r="A554" s="25" t="s">
        <v>281</v>
      </c>
      <c r="B554" s="20" t="s">
        <v>271</v>
      </c>
      <c r="C554" s="20" t="s">
        <v>220</v>
      </c>
      <c r="D554" s="20" t="s">
        <v>1407</v>
      </c>
      <c r="E554" s="20" t="s">
        <v>282</v>
      </c>
      <c r="F554" s="6">
        <f>'пр.6.1.ведом.22-23'!G621</f>
        <v>4610</v>
      </c>
      <c r="G554" s="6">
        <f>'пр.6.1.ведом.22-23'!H621</f>
        <v>4610</v>
      </c>
    </row>
    <row r="555" spans="1:7" ht="102.75" customHeight="1" x14ac:dyDescent="0.25">
      <c r="A555" s="31" t="s">
        <v>1198</v>
      </c>
      <c r="B555" s="20" t="s">
        <v>271</v>
      </c>
      <c r="C555" s="20" t="s">
        <v>220</v>
      </c>
      <c r="D555" s="20" t="s">
        <v>1265</v>
      </c>
      <c r="E555" s="20"/>
      <c r="F555" s="6">
        <f>F556</f>
        <v>115047.8</v>
      </c>
      <c r="G555" s="6">
        <f>G556</f>
        <v>134211.70000000001</v>
      </c>
    </row>
    <row r="556" spans="1:7" ht="51" customHeight="1" x14ac:dyDescent="0.25">
      <c r="A556" s="25" t="s">
        <v>279</v>
      </c>
      <c r="B556" s="20" t="s">
        <v>271</v>
      </c>
      <c r="C556" s="20" t="s">
        <v>220</v>
      </c>
      <c r="D556" s="20" t="s">
        <v>1265</v>
      </c>
      <c r="E556" s="20" t="s">
        <v>280</v>
      </c>
      <c r="F556" s="6">
        <f t="shared" ref="F556:G556" si="49">F557</f>
        <v>115047.8</v>
      </c>
      <c r="G556" s="6">
        <f t="shared" si="49"/>
        <v>134211.70000000001</v>
      </c>
    </row>
    <row r="557" spans="1:7" ht="15.75" x14ac:dyDescent="0.25">
      <c r="A557" s="25" t="s">
        <v>281</v>
      </c>
      <c r="B557" s="20" t="s">
        <v>271</v>
      </c>
      <c r="C557" s="20" t="s">
        <v>220</v>
      </c>
      <c r="D557" s="20" t="s">
        <v>1265</v>
      </c>
      <c r="E557" s="20" t="s">
        <v>282</v>
      </c>
      <c r="F557" s="6">
        <f>'пр.6.1.ведом.22-23'!G624</f>
        <v>115047.8</v>
      </c>
      <c r="G557" s="6">
        <f>'пр.6.1.ведом.22-23'!H624</f>
        <v>134211.70000000001</v>
      </c>
    </row>
    <row r="558" spans="1:7" ht="63" x14ac:dyDescent="0.25">
      <c r="A558" s="31" t="s">
        <v>296</v>
      </c>
      <c r="B558" s="20" t="s">
        <v>271</v>
      </c>
      <c r="C558" s="20" t="s">
        <v>220</v>
      </c>
      <c r="D558" s="20" t="s">
        <v>1248</v>
      </c>
      <c r="E558" s="20"/>
      <c r="F558" s="6">
        <f>F559</f>
        <v>1311</v>
      </c>
      <c r="G558" s="6">
        <f>G559</f>
        <v>1311</v>
      </c>
    </row>
    <row r="559" spans="1:7" ht="47.25" x14ac:dyDescent="0.25">
      <c r="A559" s="25" t="s">
        <v>279</v>
      </c>
      <c r="B559" s="20" t="s">
        <v>271</v>
      </c>
      <c r="C559" s="20" t="s">
        <v>220</v>
      </c>
      <c r="D559" s="20" t="s">
        <v>1248</v>
      </c>
      <c r="E559" s="20" t="s">
        <v>280</v>
      </c>
      <c r="F559" s="6">
        <f t="shared" ref="F559:G559" si="50">F560</f>
        <v>1311</v>
      </c>
      <c r="G559" s="6">
        <f t="shared" si="50"/>
        <v>1311</v>
      </c>
    </row>
    <row r="560" spans="1:7" ht="15.75" x14ac:dyDescent="0.25">
      <c r="A560" s="25" t="s">
        <v>281</v>
      </c>
      <c r="B560" s="20" t="s">
        <v>271</v>
      </c>
      <c r="C560" s="20" t="s">
        <v>220</v>
      </c>
      <c r="D560" s="20" t="s">
        <v>1248</v>
      </c>
      <c r="E560" s="20" t="s">
        <v>282</v>
      </c>
      <c r="F560" s="6">
        <f>'пр.6.1.ведом.22-23'!G627</f>
        <v>1311</v>
      </c>
      <c r="G560" s="6">
        <f>'пр.6.1.ведом.22-23'!H627</f>
        <v>1311</v>
      </c>
    </row>
    <row r="561" spans="1:7" ht="78.75" x14ac:dyDescent="0.25">
      <c r="A561" s="31" t="s">
        <v>298</v>
      </c>
      <c r="B561" s="20" t="s">
        <v>271</v>
      </c>
      <c r="C561" s="20" t="s">
        <v>220</v>
      </c>
      <c r="D561" s="20" t="s">
        <v>1249</v>
      </c>
      <c r="E561" s="20"/>
      <c r="F561" s="6">
        <f>F562</f>
        <v>2266.6999999999998</v>
      </c>
      <c r="G561" s="6">
        <f>G562</f>
        <v>2266.6999999999998</v>
      </c>
    </row>
    <row r="562" spans="1:7" ht="47.25" x14ac:dyDescent="0.25">
      <c r="A562" s="25" t="s">
        <v>279</v>
      </c>
      <c r="B562" s="20" t="s">
        <v>271</v>
      </c>
      <c r="C562" s="20" t="s">
        <v>220</v>
      </c>
      <c r="D562" s="20" t="s">
        <v>1249</v>
      </c>
      <c r="E562" s="20" t="s">
        <v>280</v>
      </c>
      <c r="F562" s="6">
        <f t="shared" ref="F562:G562" si="51">F563</f>
        <v>2266.6999999999998</v>
      </c>
      <c r="G562" s="6">
        <f t="shared" si="51"/>
        <v>2266.6999999999998</v>
      </c>
    </row>
    <row r="563" spans="1:7" ht="15.75" x14ac:dyDescent="0.25">
      <c r="A563" s="25" t="s">
        <v>281</v>
      </c>
      <c r="B563" s="20" t="s">
        <v>271</v>
      </c>
      <c r="C563" s="20" t="s">
        <v>220</v>
      </c>
      <c r="D563" s="20" t="s">
        <v>1249</v>
      </c>
      <c r="E563" s="20" t="s">
        <v>282</v>
      </c>
      <c r="F563" s="6">
        <f>'пр.6.1.ведом.22-23'!G630</f>
        <v>2266.6999999999998</v>
      </c>
      <c r="G563" s="6">
        <f>'пр.6.1.ведом.22-23'!H630</f>
        <v>2266.6999999999998</v>
      </c>
    </row>
    <row r="564" spans="1:7" ht="47.25" x14ac:dyDescent="0.25">
      <c r="A564" s="31" t="s">
        <v>469</v>
      </c>
      <c r="B564" s="20" t="s">
        <v>271</v>
      </c>
      <c r="C564" s="20" t="s">
        <v>220</v>
      </c>
      <c r="D564" s="20" t="s">
        <v>1266</v>
      </c>
      <c r="E564" s="20"/>
      <c r="F564" s="6">
        <f>F565</f>
        <v>909.3</v>
      </c>
      <c r="G564" s="6">
        <f>G565</f>
        <v>909.3</v>
      </c>
    </row>
    <row r="565" spans="1:7" ht="47.25" x14ac:dyDescent="0.25">
      <c r="A565" s="25" t="s">
        <v>279</v>
      </c>
      <c r="B565" s="20" t="s">
        <v>271</v>
      </c>
      <c r="C565" s="20" t="s">
        <v>220</v>
      </c>
      <c r="D565" s="20" t="s">
        <v>1266</v>
      </c>
      <c r="E565" s="20" t="s">
        <v>280</v>
      </c>
      <c r="F565" s="6">
        <f t="shared" ref="F565:G565" si="52">F566</f>
        <v>909.3</v>
      </c>
      <c r="G565" s="6">
        <f t="shared" si="52"/>
        <v>909.3</v>
      </c>
    </row>
    <row r="566" spans="1:7" ht="15.75" x14ac:dyDescent="0.25">
      <c r="A566" s="25" t="s">
        <v>281</v>
      </c>
      <c r="B566" s="20" t="s">
        <v>271</v>
      </c>
      <c r="C566" s="20" t="s">
        <v>220</v>
      </c>
      <c r="D566" s="20" t="s">
        <v>1266</v>
      </c>
      <c r="E566" s="20" t="s">
        <v>282</v>
      </c>
      <c r="F566" s="6">
        <f>'пр.6.1.ведом.22-23'!G633</f>
        <v>909.3</v>
      </c>
      <c r="G566" s="6">
        <f>'пр.6.1.ведом.22-23'!H633</f>
        <v>909.3</v>
      </c>
    </row>
    <row r="567" spans="1:7" ht="31.5" x14ac:dyDescent="0.25">
      <c r="A567" s="23" t="s">
        <v>1319</v>
      </c>
      <c r="B567" s="24" t="s">
        <v>271</v>
      </c>
      <c r="C567" s="24" t="s">
        <v>220</v>
      </c>
      <c r="D567" s="24" t="s">
        <v>1252</v>
      </c>
      <c r="E567" s="24"/>
      <c r="F567" s="4">
        <f>F568+F571+F574+F577</f>
        <v>224</v>
      </c>
      <c r="G567" s="4">
        <f>G568+G571+G574+G577</f>
        <v>224</v>
      </c>
    </row>
    <row r="568" spans="1:7" ht="47.25" hidden="1" x14ac:dyDescent="0.25">
      <c r="A568" s="25" t="s">
        <v>447</v>
      </c>
      <c r="B568" s="20" t="s">
        <v>271</v>
      </c>
      <c r="C568" s="20" t="s">
        <v>220</v>
      </c>
      <c r="D568" s="20" t="s">
        <v>1332</v>
      </c>
      <c r="E568" s="20"/>
      <c r="F568" s="6">
        <f t="shared" ref="F568:G568" si="53">F569</f>
        <v>0</v>
      </c>
      <c r="G568" s="6">
        <f t="shared" si="53"/>
        <v>0</v>
      </c>
    </row>
    <row r="569" spans="1:7" ht="47.25" hidden="1" x14ac:dyDescent="0.25">
      <c r="A569" s="25" t="s">
        <v>279</v>
      </c>
      <c r="B569" s="20" t="s">
        <v>271</v>
      </c>
      <c r="C569" s="20" t="s">
        <v>220</v>
      </c>
      <c r="D569" s="20" t="s">
        <v>1332</v>
      </c>
      <c r="E569" s="20" t="s">
        <v>280</v>
      </c>
      <c r="F569" s="6">
        <f>F570</f>
        <v>0</v>
      </c>
      <c r="G569" s="6">
        <f>G570</f>
        <v>0</v>
      </c>
    </row>
    <row r="570" spans="1:7" ht="15.75" hidden="1" x14ac:dyDescent="0.25">
      <c r="A570" s="25" t="s">
        <v>281</v>
      </c>
      <c r="B570" s="20" t="s">
        <v>271</v>
      </c>
      <c r="C570" s="20" t="s">
        <v>220</v>
      </c>
      <c r="D570" s="20" t="s">
        <v>1332</v>
      </c>
      <c r="E570" s="20" t="s">
        <v>282</v>
      </c>
      <c r="F570" s="6">
        <f>'пр.6.1.ведом.22-23'!G637</f>
        <v>0</v>
      </c>
      <c r="G570" s="6">
        <f>'пр.6.1.ведом.22-23'!H637</f>
        <v>0</v>
      </c>
    </row>
    <row r="571" spans="1:7" ht="47.25" hidden="1" x14ac:dyDescent="0.25">
      <c r="A571" s="25" t="s">
        <v>285</v>
      </c>
      <c r="B571" s="20" t="s">
        <v>271</v>
      </c>
      <c r="C571" s="20" t="s">
        <v>220</v>
      </c>
      <c r="D571" s="20" t="s">
        <v>1333</v>
      </c>
      <c r="E571" s="20"/>
      <c r="F571" s="6">
        <f t="shared" ref="F571:G571" si="54">F572</f>
        <v>0</v>
      </c>
      <c r="G571" s="6">
        <f t="shared" si="54"/>
        <v>0</v>
      </c>
    </row>
    <row r="572" spans="1:7" ht="47.25" hidden="1" x14ac:dyDescent="0.25">
      <c r="A572" s="25" t="s">
        <v>279</v>
      </c>
      <c r="B572" s="20" t="s">
        <v>271</v>
      </c>
      <c r="C572" s="20" t="s">
        <v>220</v>
      </c>
      <c r="D572" s="20" t="s">
        <v>1333</v>
      </c>
      <c r="E572" s="20" t="s">
        <v>280</v>
      </c>
      <c r="F572" s="6">
        <f>F573</f>
        <v>0</v>
      </c>
      <c r="G572" s="6">
        <f>G573</f>
        <v>0</v>
      </c>
    </row>
    <row r="573" spans="1:7" ht="15.75" hidden="1" x14ac:dyDescent="0.25">
      <c r="A573" s="25" t="s">
        <v>281</v>
      </c>
      <c r="B573" s="20" t="s">
        <v>271</v>
      </c>
      <c r="C573" s="20" t="s">
        <v>220</v>
      </c>
      <c r="D573" s="20" t="s">
        <v>1333</v>
      </c>
      <c r="E573" s="20" t="s">
        <v>282</v>
      </c>
      <c r="F573" s="6">
        <f>'пр.6.1.ведом.22-23'!G640</f>
        <v>0</v>
      </c>
      <c r="G573" s="6">
        <f>'пр.6.1.ведом.22-23'!H640</f>
        <v>0</v>
      </c>
    </row>
    <row r="574" spans="1:7" ht="31.5" hidden="1" x14ac:dyDescent="0.25">
      <c r="A574" s="25" t="s">
        <v>287</v>
      </c>
      <c r="B574" s="20" t="s">
        <v>271</v>
      </c>
      <c r="C574" s="20" t="s">
        <v>220</v>
      </c>
      <c r="D574" s="20" t="s">
        <v>1334</v>
      </c>
      <c r="E574" s="20"/>
      <c r="F574" s="6">
        <f t="shared" ref="F574:G574" si="55">F575</f>
        <v>0</v>
      </c>
      <c r="G574" s="6">
        <f t="shared" si="55"/>
        <v>0</v>
      </c>
    </row>
    <row r="575" spans="1:7" ht="47.25" hidden="1" x14ac:dyDescent="0.25">
      <c r="A575" s="25" t="s">
        <v>279</v>
      </c>
      <c r="B575" s="20" t="s">
        <v>271</v>
      </c>
      <c r="C575" s="20" t="s">
        <v>220</v>
      </c>
      <c r="D575" s="20" t="s">
        <v>1334</v>
      </c>
      <c r="E575" s="20" t="s">
        <v>280</v>
      </c>
      <c r="F575" s="6">
        <f>F576</f>
        <v>0</v>
      </c>
      <c r="G575" s="6">
        <f>G576</f>
        <v>0</v>
      </c>
    </row>
    <row r="576" spans="1:7" ht="15.75" hidden="1" x14ac:dyDescent="0.25">
      <c r="A576" s="25" t="s">
        <v>281</v>
      </c>
      <c r="B576" s="20" t="s">
        <v>271</v>
      </c>
      <c r="C576" s="20" t="s">
        <v>220</v>
      </c>
      <c r="D576" s="20" t="s">
        <v>1334</v>
      </c>
      <c r="E576" s="20" t="s">
        <v>282</v>
      </c>
      <c r="F576" s="6">
        <f>'пр.6.1.ведом.22-23'!G643</f>
        <v>0</v>
      </c>
      <c r="G576" s="6">
        <f>'пр.6.1.ведом.22-23'!H643</f>
        <v>0</v>
      </c>
    </row>
    <row r="577" spans="1:7" ht="47.25" x14ac:dyDescent="0.25">
      <c r="A577" s="25" t="s">
        <v>289</v>
      </c>
      <c r="B577" s="20" t="s">
        <v>271</v>
      </c>
      <c r="C577" s="20" t="s">
        <v>220</v>
      </c>
      <c r="D577" s="20" t="s">
        <v>1268</v>
      </c>
      <c r="E577" s="20"/>
      <c r="F577" s="6">
        <f t="shared" ref="F577:G577" si="56">F578</f>
        <v>224</v>
      </c>
      <c r="G577" s="6">
        <f t="shared" si="56"/>
        <v>224</v>
      </c>
    </row>
    <row r="578" spans="1:7" ht="47.25" x14ac:dyDescent="0.25">
      <c r="A578" s="25" t="s">
        <v>279</v>
      </c>
      <c r="B578" s="20" t="s">
        <v>271</v>
      </c>
      <c r="C578" s="20" t="s">
        <v>220</v>
      </c>
      <c r="D578" s="20" t="s">
        <v>1268</v>
      </c>
      <c r="E578" s="20" t="s">
        <v>280</v>
      </c>
      <c r="F578" s="6">
        <f>F579</f>
        <v>224</v>
      </c>
      <c r="G578" s="6">
        <f>G579</f>
        <v>224</v>
      </c>
    </row>
    <row r="579" spans="1:7" ht="15.75" x14ac:dyDescent="0.25">
      <c r="A579" s="25" t="s">
        <v>281</v>
      </c>
      <c r="B579" s="20" t="s">
        <v>271</v>
      </c>
      <c r="C579" s="20" t="s">
        <v>220</v>
      </c>
      <c r="D579" s="20" t="s">
        <v>1268</v>
      </c>
      <c r="E579" s="20" t="s">
        <v>282</v>
      </c>
      <c r="F579" s="6">
        <f>'пр.6.1.ведом.22-23'!G646</f>
        <v>224</v>
      </c>
      <c r="G579" s="6">
        <f>'пр.6.1.ведом.22-23'!H646</f>
        <v>224</v>
      </c>
    </row>
    <row r="580" spans="1:7" ht="47.25" x14ac:dyDescent="0.25">
      <c r="A580" s="214" t="s">
        <v>958</v>
      </c>
      <c r="B580" s="24" t="s">
        <v>271</v>
      </c>
      <c r="C580" s="24" t="s">
        <v>220</v>
      </c>
      <c r="D580" s="24" t="s">
        <v>1255</v>
      </c>
      <c r="E580" s="24"/>
      <c r="F580" s="4">
        <f>F581+F584</f>
        <v>2888</v>
      </c>
      <c r="G580" s="4">
        <f>G581+G584</f>
        <v>2888</v>
      </c>
    </row>
    <row r="581" spans="1:7" ht="31.5" hidden="1" x14ac:dyDescent="0.25">
      <c r="A581" s="25" t="s">
        <v>291</v>
      </c>
      <c r="B581" s="20" t="s">
        <v>271</v>
      </c>
      <c r="C581" s="20" t="s">
        <v>220</v>
      </c>
      <c r="D581" s="20" t="s">
        <v>1273</v>
      </c>
      <c r="E581" s="20"/>
      <c r="F581" s="6">
        <f>F582</f>
        <v>0</v>
      </c>
      <c r="G581" s="6">
        <f>G582</f>
        <v>0</v>
      </c>
    </row>
    <row r="582" spans="1:7" ht="47.25" hidden="1" x14ac:dyDescent="0.25">
      <c r="A582" s="25" t="s">
        <v>279</v>
      </c>
      <c r="B582" s="20" t="s">
        <v>271</v>
      </c>
      <c r="C582" s="20" t="s">
        <v>220</v>
      </c>
      <c r="D582" s="20" t="s">
        <v>1273</v>
      </c>
      <c r="E582" s="20" t="s">
        <v>280</v>
      </c>
      <c r="F582" s="6">
        <f>F583</f>
        <v>0</v>
      </c>
      <c r="G582" s="6">
        <f>G583</f>
        <v>0</v>
      </c>
    </row>
    <row r="583" spans="1:7" ht="18.75" hidden="1" customHeight="1" x14ac:dyDescent="0.25">
      <c r="A583" s="25" t="s">
        <v>281</v>
      </c>
      <c r="B583" s="20" t="s">
        <v>271</v>
      </c>
      <c r="C583" s="20" t="s">
        <v>220</v>
      </c>
      <c r="D583" s="20" t="s">
        <v>1273</v>
      </c>
      <c r="E583" s="20" t="s">
        <v>282</v>
      </c>
      <c r="F583" s="6">
        <f>'пр.6.1.ведом.22-23'!G650</f>
        <v>0</v>
      </c>
      <c r="G583" s="6">
        <f>'пр.6.1.ведом.22-23'!H650</f>
        <v>0</v>
      </c>
    </row>
    <row r="584" spans="1:7" ht="47.25" x14ac:dyDescent="0.25">
      <c r="A584" s="60" t="s">
        <v>774</v>
      </c>
      <c r="B584" s="20" t="s">
        <v>271</v>
      </c>
      <c r="C584" s="20" t="s">
        <v>220</v>
      </c>
      <c r="D584" s="20" t="s">
        <v>1256</v>
      </c>
      <c r="E584" s="20"/>
      <c r="F584" s="6">
        <f>F585</f>
        <v>2888</v>
      </c>
      <c r="G584" s="6">
        <f>G585</f>
        <v>2888</v>
      </c>
    </row>
    <row r="585" spans="1:7" ht="47.25" x14ac:dyDescent="0.25">
      <c r="A585" s="29" t="s">
        <v>279</v>
      </c>
      <c r="B585" s="20" t="s">
        <v>271</v>
      </c>
      <c r="C585" s="20" t="s">
        <v>220</v>
      </c>
      <c r="D585" s="20" t="s">
        <v>1256</v>
      </c>
      <c r="E585" s="20" t="s">
        <v>280</v>
      </c>
      <c r="F585" s="6">
        <f>F586</f>
        <v>2888</v>
      </c>
      <c r="G585" s="6">
        <f>G586</f>
        <v>2888</v>
      </c>
    </row>
    <row r="586" spans="1:7" ht="15.75" x14ac:dyDescent="0.25">
      <c r="A586" s="184" t="s">
        <v>281</v>
      </c>
      <c r="B586" s="20" t="s">
        <v>271</v>
      </c>
      <c r="C586" s="20" t="s">
        <v>220</v>
      </c>
      <c r="D586" s="20" t="s">
        <v>1256</v>
      </c>
      <c r="E586" s="20" t="s">
        <v>282</v>
      </c>
      <c r="F586" s="6">
        <f>'пр.6.1.ведом.22-23'!G653</f>
        <v>2888</v>
      </c>
      <c r="G586" s="6">
        <f>'пр.6.1.ведом.22-23'!H653</f>
        <v>2888</v>
      </c>
    </row>
    <row r="587" spans="1:7" ht="31.5" x14ac:dyDescent="0.25">
      <c r="A587" s="23" t="s">
        <v>948</v>
      </c>
      <c r="B587" s="24" t="s">
        <v>271</v>
      </c>
      <c r="C587" s="24" t="s">
        <v>220</v>
      </c>
      <c r="D587" s="24" t="s">
        <v>1269</v>
      </c>
      <c r="E587" s="24"/>
      <c r="F587" s="4">
        <f t="shared" ref="F587:G589" si="57">F588</f>
        <v>3931.8</v>
      </c>
      <c r="G587" s="4">
        <f t="shared" si="57"/>
        <v>3865.2</v>
      </c>
    </row>
    <row r="588" spans="1:7" ht="47.25" x14ac:dyDescent="0.25">
      <c r="A588" s="29" t="s">
        <v>610</v>
      </c>
      <c r="B588" s="20" t="s">
        <v>271</v>
      </c>
      <c r="C588" s="20" t="s">
        <v>220</v>
      </c>
      <c r="D588" s="20" t="s">
        <v>1270</v>
      </c>
      <c r="E588" s="20"/>
      <c r="F588" s="6">
        <f t="shared" si="57"/>
        <v>3931.8</v>
      </c>
      <c r="G588" s="6">
        <f t="shared" si="57"/>
        <v>3865.2</v>
      </c>
    </row>
    <row r="589" spans="1:7" ht="47.25" x14ac:dyDescent="0.25">
      <c r="A589" s="25" t="s">
        <v>279</v>
      </c>
      <c r="B589" s="20" t="s">
        <v>271</v>
      </c>
      <c r="C589" s="20" t="s">
        <v>220</v>
      </c>
      <c r="D589" s="20" t="s">
        <v>1270</v>
      </c>
      <c r="E589" s="20" t="s">
        <v>280</v>
      </c>
      <c r="F589" s="6">
        <f t="shared" si="57"/>
        <v>3931.8</v>
      </c>
      <c r="G589" s="6">
        <f t="shared" si="57"/>
        <v>3865.2</v>
      </c>
    </row>
    <row r="590" spans="1:7" ht="15.75" x14ac:dyDescent="0.25">
      <c r="A590" s="25" t="s">
        <v>281</v>
      </c>
      <c r="B590" s="20" t="s">
        <v>271</v>
      </c>
      <c r="C590" s="20" t="s">
        <v>220</v>
      </c>
      <c r="D590" s="20" t="s">
        <v>1270</v>
      </c>
      <c r="E590" s="20" t="s">
        <v>282</v>
      </c>
      <c r="F590" s="6">
        <f>'пр.6.1.ведом.22-23'!G657</f>
        <v>3931.8</v>
      </c>
      <c r="G590" s="6">
        <f>'пр.6.1.ведом.22-23'!H657</f>
        <v>3865.2</v>
      </c>
    </row>
    <row r="591" spans="1:7" ht="31.5" x14ac:dyDescent="0.25">
      <c r="A591" s="23" t="s">
        <v>949</v>
      </c>
      <c r="B591" s="24" t="s">
        <v>271</v>
      </c>
      <c r="C591" s="24" t="s">
        <v>220</v>
      </c>
      <c r="D591" s="24" t="s">
        <v>1271</v>
      </c>
      <c r="E591" s="24"/>
      <c r="F591" s="4">
        <f t="shared" ref="F591:G593" si="58">F592</f>
        <v>1384.6</v>
      </c>
      <c r="G591" s="4">
        <f t="shared" si="58"/>
        <v>1384.6</v>
      </c>
    </row>
    <row r="592" spans="1:7" ht="63" x14ac:dyDescent="0.25">
      <c r="A592" s="25" t="s">
        <v>445</v>
      </c>
      <c r="B592" s="20" t="s">
        <v>271</v>
      </c>
      <c r="C592" s="20" t="s">
        <v>220</v>
      </c>
      <c r="D592" s="20" t="s">
        <v>1272</v>
      </c>
      <c r="E592" s="20"/>
      <c r="F592" s="6">
        <f t="shared" si="58"/>
        <v>1384.6</v>
      </c>
      <c r="G592" s="6">
        <f t="shared" si="58"/>
        <v>1384.6</v>
      </c>
    </row>
    <row r="593" spans="1:7" ht="47.25" x14ac:dyDescent="0.25">
      <c r="A593" s="25" t="s">
        <v>279</v>
      </c>
      <c r="B593" s="20" t="s">
        <v>271</v>
      </c>
      <c r="C593" s="20" t="s">
        <v>220</v>
      </c>
      <c r="D593" s="20" t="s">
        <v>1272</v>
      </c>
      <c r="E593" s="20" t="s">
        <v>280</v>
      </c>
      <c r="F593" s="6">
        <f t="shared" si="58"/>
        <v>1384.6</v>
      </c>
      <c r="G593" s="6">
        <f t="shared" si="58"/>
        <v>1384.6</v>
      </c>
    </row>
    <row r="594" spans="1:7" ht="15.75" x14ac:dyDescent="0.25">
      <c r="A594" s="25" t="s">
        <v>281</v>
      </c>
      <c r="B594" s="20" t="s">
        <v>271</v>
      </c>
      <c r="C594" s="20" t="s">
        <v>220</v>
      </c>
      <c r="D594" s="20" t="s">
        <v>1272</v>
      </c>
      <c r="E594" s="20" t="s">
        <v>282</v>
      </c>
      <c r="F594" s="6">
        <f>'пр.6.1.ведом.22-23'!G661</f>
        <v>1384.6</v>
      </c>
      <c r="G594" s="6">
        <f>'пр.6.1.ведом.22-23'!H661</f>
        <v>1384.6</v>
      </c>
    </row>
    <row r="595" spans="1:7" ht="31.5" x14ac:dyDescent="0.25">
      <c r="A595" s="212" t="s">
        <v>950</v>
      </c>
      <c r="B595" s="24" t="s">
        <v>271</v>
      </c>
      <c r="C595" s="24" t="s">
        <v>220</v>
      </c>
      <c r="D595" s="24" t="s">
        <v>1274</v>
      </c>
      <c r="E595" s="24"/>
      <c r="F595" s="4">
        <f>F596+F599</f>
        <v>755.8</v>
      </c>
      <c r="G595" s="4">
        <f>G596+G599</f>
        <v>759</v>
      </c>
    </row>
    <row r="596" spans="1:7" ht="63" x14ac:dyDescent="0.25">
      <c r="A596" s="184" t="s">
        <v>838</v>
      </c>
      <c r="B596" s="20" t="s">
        <v>271</v>
      </c>
      <c r="C596" s="20" t="s">
        <v>220</v>
      </c>
      <c r="D596" s="20" t="s">
        <v>1444</v>
      </c>
      <c r="E596" s="20"/>
      <c r="F596" s="6">
        <f t="shared" ref="F596:G596" si="59">F597</f>
        <v>755.8</v>
      </c>
      <c r="G596" s="6">
        <f t="shared" si="59"/>
        <v>759</v>
      </c>
    </row>
    <row r="597" spans="1:7" ht="47.25" x14ac:dyDescent="0.25">
      <c r="A597" s="31" t="s">
        <v>279</v>
      </c>
      <c r="B597" s="20" t="s">
        <v>271</v>
      </c>
      <c r="C597" s="20" t="s">
        <v>220</v>
      </c>
      <c r="D597" s="20" t="s">
        <v>1444</v>
      </c>
      <c r="E597" s="20" t="s">
        <v>280</v>
      </c>
      <c r="F597" s="6">
        <f>F598</f>
        <v>755.8</v>
      </c>
      <c r="G597" s="6">
        <f>G598</f>
        <v>759</v>
      </c>
    </row>
    <row r="598" spans="1:7" ht="15.75" x14ac:dyDescent="0.25">
      <c r="A598" s="31" t="s">
        <v>281</v>
      </c>
      <c r="B598" s="20" t="s">
        <v>271</v>
      </c>
      <c r="C598" s="20" t="s">
        <v>220</v>
      </c>
      <c r="D598" s="20" t="s">
        <v>1444</v>
      </c>
      <c r="E598" s="20" t="s">
        <v>282</v>
      </c>
      <c r="F598" s="6">
        <f>'пр.6.1.ведом.22-23'!G665</f>
        <v>755.8</v>
      </c>
      <c r="G598" s="6">
        <f>'пр.6.1.ведом.22-23'!H665</f>
        <v>759</v>
      </c>
    </row>
    <row r="599" spans="1:7" s="202" customFormat="1" ht="31.5" hidden="1" x14ac:dyDescent="0.25">
      <c r="A599" s="331" t="s">
        <v>1443</v>
      </c>
      <c r="B599" s="20" t="s">
        <v>271</v>
      </c>
      <c r="C599" s="20" t="s">
        <v>220</v>
      </c>
      <c r="D599" s="20" t="s">
        <v>1445</v>
      </c>
      <c r="E599" s="20"/>
      <c r="F599" s="26">
        <f>F600</f>
        <v>0</v>
      </c>
      <c r="G599" s="6">
        <f>G600</f>
        <v>0</v>
      </c>
    </row>
    <row r="600" spans="1:7" s="202" customFormat="1" ht="47.25" hidden="1" x14ac:dyDescent="0.25">
      <c r="A600" s="31" t="s">
        <v>279</v>
      </c>
      <c r="B600" s="20" t="s">
        <v>271</v>
      </c>
      <c r="C600" s="20" t="s">
        <v>220</v>
      </c>
      <c r="D600" s="20" t="s">
        <v>1445</v>
      </c>
      <c r="E600" s="20" t="s">
        <v>280</v>
      </c>
      <c r="F600" s="26">
        <f>F601</f>
        <v>0</v>
      </c>
      <c r="G600" s="6">
        <f>G601</f>
        <v>0</v>
      </c>
    </row>
    <row r="601" spans="1:7" s="202" customFormat="1" ht="15.75" hidden="1" x14ac:dyDescent="0.25">
      <c r="A601" s="31" t="s">
        <v>281</v>
      </c>
      <c r="B601" s="20" t="s">
        <v>271</v>
      </c>
      <c r="C601" s="20" t="s">
        <v>220</v>
      </c>
      <c r="D601" s="20" t="s">
        <v>1445</v>
      </c>
      <c r="E601" s="20" t="s">
        <v>282</v>
      </c>
      <c r="F601" s="26">
        <v>0</v>
      </c>
      <c r="G601" s="6">
        <v>0</v>
      </c>
    </row>
    <row r="602" spans="1:7" s="202" customFormat="1" ht="47.25" x14ac:dyDescent="0.25">
      <c r="A602" s="289" t="s">
        <v>1422</v>
      </c>
      <c r="B602" s="24" t="s">
        <v>271</v>
      </c>
      <c r="C602" s="24" t="s">
        <v>220</v>
      </c>
      <c r="D602" s="24" t="s">
        <v>1421</v>
      </c>
      <c r="E602" s="24"/>
      <c r="F602" s="21">
        <f t="shared" ref="F602:G604" si="60">F603</f>
        <v>5415.6500000000005</v>
      </c>
      <c r="G602" s="21">
        <f t="shared" si="60"/>
        <v>5142.4500000000007</v>
      </c>
    </row>
    <row r="603" spans="1:7" s="202" customFormat="1" ht="78.75" x14ac:dyDescent="0.25">
      <c r="A603" s="288" t="s">
        <v>1408</v>
      </c>
      <c r="B603" s="20" t="s">
        <v>271</v>
      </c>
      <c r="C603" s="20" t="s">
        <v>220</v>
      </c>
      <c r="D603" s="20" t="s">
        <v>1475</v>
      </c>
      <c r="E603" s="20"/>
      <c r="F603" s="26">
        <f t="shared" si="60"/>
        <v>5415.6500000000005</v>
      </c>
      <c r="G603" s="26">
        <f t="shared" si="60"/>
        <v>5142.4500000000007</v>
      </c>
    </row>
    <row r="604" spans="1:7" s="202" customFormat="1" ht="47.25" x14ac:dyDescent="0.25">
      <c r="A604" s="31" t="s">
        <v>279</v>
      </c>
      <c r="B604" s="20" t="s">
        <v>271</v>
      </c>
      <c r="C604" s="20" t="s">
        <v>220</v>
      </c>
      <c r="D604" s="20" t="s">
        <v>1475</v>
      </c>
      <c r="E604" s="20" t="s">
        <v>280</v>
      </c>
      <c r="F604" s="26">
        <f t="shared" si="60"/>
        <v>5415.6500000000005</v>
      </c>
      <c r="G604" s="26">
        <f t="shared" si="60"/>
        <v>5142.4500000000007</v>
      </c>
    </row>
    <row r="605" spans="1:7" s="202" customFormat="1" ht="15.75" x14ac:dyDescent="0.25">
      <c r="A605" s="31" t="s">
        <v>281</v>
      </c>
      <c r="B605" s="20" t="s">
        <v>271</v>
      </c>
      <c r="C605" s="20" t="s">
        <v>220</v>
      </c>
      <c r="D605" s="20" t="s">
        <v>1475</v>
      </c>
      <c r="E605" s="20" t="s">
        <v>282</v>
      </c>
      <c r="F605" s="26">
        <f>'пр.6.1.ведом.22-23'!G672</f>
        <v>5415.6500000000005</v>
      </c>
      <c r="G605" s="6">
        <f>'пр.6.1.ведом.22-23'!H672</f>
        <v>5142.4500000000007</v>
      </c>
    </row>
    <row r="606" spans="1:7" s="202" customFormat="1" ht="31.5" x14ac:dyDescent="0.25">
      <c r="A606" s="34" t="s">
        <v>1516</v>
      </c>
      <c r="B606" s="24" t="s">
        <v>271</v>
      </c>
      <c r="C606" s="24" t="s">
        <v>220</v>
      </c>
      <c r="D606" s="24" t="s">
        <v>1514</v>
      </c>
      <c r="E606" s="24"/>
      <c r="F606" s="21">
        <f t="shared" ref="F606:G608" si="61">F607</f>
        <v>1749.4499999999998</v>
      </c>
      <c r="G606" s="21">
        <f t="shared" si="61"/>
        <v>2341</v>
      </c>
    </row>
    <row r="607" spans="1:7" s="202" customFormat="1" ht="47.25" x14ac:dyDescent="0.25">
      <c r="A607" s="31" t="s">
        <v>1569</v>
      </c>
      <c r="B607" s="20" t="s">
        <v>271</v>
      </c>
      <c r="C607" s="20" t="s">
        <v>220</v>
      </c>
      <c r="D607" s="20" t="s">
        <v>1515</v>
      </c>
      <c r="E607" s="20"/>
      <c r="F607" s="26">
        <f t="shared" si="61"/>
        <v>1749.4499999999998</v>
      </c>
      <c r="G607" s="26">
        <f t="shared" si="61"/>
        <v>2341</v>
      </c>
    </row>
    <row r="608" spans="1:7" s="202" customFormat="1" ht="47.25" x14ac:dyDescent="0.25">
      <c r="A608" s="31" t="s">
        <v>279</v>
      </c>
      <c r="B608" s="20" t="s">
        <v>271</v>
      </c>
      <c r="C608" s="20" t="s">
        <v>220</v>
      </c>
      <c r="D608" s="20" t="s">
        <v>1515</v>
      </c>
      <c r="E608" s="20" t="s">
        <v>280</v>
      </c>
      <c r="F608" s="26">
        <f t="shared" si="61"/>
        <v>1749.4499999999998</v>
      </c>
      <c r="G608" s="26">
        <f t="shared" si="61"/>
        <v>2341</v>
      </c>
    </row>
    <row r="609" spans="1:7" s="202" customFormat="1" ht="15.75" x14ac:dyDescent="0.25">
      <c r="A609" s="31" t="s">
        <v>281</v>
      </c>
      <c r="B609" s="20" t="s">
        <v>271</v>
      </c>
      <c r="C609" s="20" t="s">
        <v>220</v>
      </c>
      <c r="D609" s="20" t="s">
        <v>1515</v>
      </c>
      <c r="E609" s="20" t="s">
        <v>282</v>
      </c>
      <c r="F609" s="26">
        <f>'пр.6.1.ведом.22-23'!G680</f>
        <v>1749.4499999999998</v>
      </c>
      <c r="G609" s="26">
        <f>'пр.6.1.ведом.22-23'!H680</f>
        <v>2341</v>
      </c>
    </row>
    <row r="610" spans="1:7" ht="63" x14ac:dyDescent="0.25">
      <c r="A610" s="34" t="s">
        <v>1374</v>
      </c>
      <c r="B610" s="24" t="s">
        <v>271</v>
      </c>
      <c r="C610" s="24" t="s">
        <v>220</v>
      </c>
      <c r="D610" s="24" t="s">
        <v>331</v>
      </c>
      <c r="E610" s="24"/>
      <c r="F610" s="4">
        <f t="shared" ref="F610:G613" si="62">F611</f>
        <v>60</v>
      </c>
      <c r="G610" s="4">
        <f t="shared" si="62"/>
        <v>70</v>
      </c>
    </row>
    <row r="611" spans="1:7" ht="63" x14ac:dyDescent="0.25">
      <c r="A611" s="34" t="s">
        <v>1034</v>
      </c>
      <c r="B611" s="24" t="s">
        <v>271</v>
      </c>
      <c r="C611" s="24" t="s">
        <v>220</v>
      </c>
      <c r="D611" s="24" t="s">
        <v>944</v>
      </c>
      <c r="E611" s="24"/>
      <c r="F611" s="4">
        <f t="shared" si="62"/>
        <v>60</v>
      </c>
      <c r="G611" s="4">
        <f t="shared" si="62"/>
        <v>70</v>
      </c>
    </row>
    <row r="612" spans="1:7" ht="47.25" x14ac:dyDescent="0.25">
      <c r="A612" s="31" t="s">
        <v>1018</v>
      </c>
      <c r="B612" s="20" t="s">
        <v>271</v>
      </c>
      <c r="C612" s="20" t="s">
        <v>220</v>
      </c>
      <c r="D612" s="20" t="s">
        <v>945</v>
      </c>
      <c r="E612" s="20"/>
      <c r="F612" s="6">
        <f t="shared" si="62"/>
        <v>60</v>
      </c>
      <c r="G612" s="6">
        <f t="shared" si="62"/>
        <v>70</v>
      </c>
    </row>
    <row r="613" spans="1:7" ht="47.25" x14ac:dyDescent="0.25">
      <c r="A613" s="31" t="s">
        <v>279</v>
      </c>
      <c r="B613" s="20" t="s">
        <v>271</v>
      </c>
      <c r="C613" s="20" t="s">
        <v>220</v>
      </c>
      <c r="D613" s="20" t="s">
        <v>945</v>
      </c>
      <c r="E613" s="20" t="s">
        <v>280</v>
      </c>
      <c r="F613" s="6">
        <f t="shared" si="62"/>
        <v>60</v>
      </c>
      <c r="G613" s="6">
        <f t="shared" si="62"/>
        <v>70</v>
      </c>
    </row>
    <row r="614" spans="1:7" ht="15.75" x14ac:dyDescent="0.25">
      <c r="A614" s="31" t="s">
        <v>281</v>
      </c>
      <c r="B614" s="20" t="s">
        <v>271</v>
      </c>
      <c r="C614" s="20" t="s">
        <v>220</v>
      </c>
      <c r="D614" s="20" t="s">
        <v>945</v>
      </c>
      <c r="E614" s="20" t="s">
        <v>282</v>
      </c>
      <c r="F614" s="6">
        <f>'пр.7.1.МП 22-23'!G621</f>
        <v>60</v>
      </c>
      <c r="G614" s="6">
        <f>'пр.7.1.МП 22-23'!H621</f>
        <v>70</v>
      </c>
    </row>
    <row r="615" spans="1:7" ht="63" x14ac:dyDescent="0.25">
      <c r="A615" s="41" t="s">
        <v>1369</v>
      </c>
      <c r="B615" s="24" t="s">
        <v>271</v>
      </c>
      <c r="C615" s="24" t="s">
        <v>220</v>
      </c>
      <c r="D615" s="24" t="s">
        <v>715</v>
      </c>
      <c r="E615" s="217"/>
      <c r="F615" s="4">
        <f t="shared" ref="F615:G616" si="63">F616</f>
        <v>870.5</v>
      </c>
      <c r="G615" s="4">
        <f t="shared" si="63"/>
        <v>905.3</v>
      </c>
    </row>
    <row r="616" spans="1:7" ht="63" x14ac:dyDescent="0.25">
      <c r="A616" s="41" t="s">
        <v>900</v>
      </c>
      <c r="B616" s="24" t="s">
        <v>271</v>
      </c>
      <c r="C616" s="24" t="s">
        <v>220</v>
      </c>
      <c r="D616" s="24" t="s">
        <v>898</v>
      </c>
      <c r="E616" s="217"/>
      <c r="F616" s="4">
        <f t="shared" si="63"/>
        <v>870.5</v>
      </c>
      <c r="G616" s="4">
        <f t="shared" si="63"/>
        <v>905.3</v>
      </c>
    </row>
    <row r="617" spans="1:7" ht="47.25" x14ac:dyDescent="0.25">
      <c r="A617" s="98" t="s">
        <v>790</v>
      </c>
      <c r="B617" s="20" t="s">
        <v>271</v>
      </c>
      <c r="C617" s="20" t="s">
        <v>220</v>
      </c>
      <c r="D617" s="20" t="s">
        <v>946</v>
      </c>
      <c r="E617" s="32"/>
      <c r="F617" s="6">
        <f>F618</f>
        <v>870.5</v>
      </c>
      <c r="G617" s="6">
        <f>G618</f>
        <v>905.3</v>
      </c>
    </row>
    <row r="618" spans="1:7" ht="47.25" x14ac:dyDescent="0.25">
      <c r="A618" s="29" t="s">
        <v>279</v>
      </c>
      <c r="B618" s="20" t="s">
        <v>271</v>
      </c>
      <c r="C618" s="20" t="s">
        <v>220</v>
      </c>
      <c r="D618" s="20" t="s">
        <v>946</v>
      </c>
      <c r="E618" s="32" t="s">
        <v>280</v>
      </c>
      <c r="F618" s="6">
        <f>F619</f>
        <v>870.5</v>
      </c>
      <c r="G618" s="6">
        <f>G619</f>
        <v>905.3</v>
      </c>
    </row>
    <row r="619" spans="1:7" ht="15.75" x14ac:dyDescent="0.25">
      <c r="A619" s="184" t="s">
        <v>281</v>
      </c>
      <c r="B619" s="20" t="s">
        <v>271</v>
      </c>
      <c r="C619" s="20" t="s">
        <v>220</v>
      </c>
      <c r="D619" s="20" t="s">
        <v>946</v>
      </c>
      <c r="E619" s="32" t="s">
        <v>282</v>
      </c>
      <c r="F619" s="6">
        <f>'пр.6.1.ведом.22-23'!G690</f>
        <v>870.5</v>
      </c>
      <c r="G619" s="6">
        <f>'пр.6.1.ведом.22-23'!H690</f>
        <v>905.3</v>
      </c>
    </row>
    <row r="620" spans="1:7" ht="15.75" x14ac:dyDescent="0.25">
      <c r="A620" s="41" t="s">
        <v>272</v>
      </c>
      <c r="B620" s="7" t="s">
        <v>271</v>
      </c>
      <c r="C620" s="7" t="s">
        <v>222</v>
      </c>
      <c r="D620" s="24"/>
      <c r="E620" s="7"/>
      <c r="F620" s="4">
        <f>F621+F644+F681+F676</f>
        <v>60278.110000000008</v>
      </c>
      <c r="G620" s="4">
        <f>G621+G644+G681+G676</f>
        <v>60303.91</v>
      </c>
    </row>
    <row r="621" spans="1:7" ht="47.25" x14ac:dyDescent="0.25">
      <c r="A621" s="23" t="s">
        <v>1375</v>
      </c>
      <c r="B621" s="24" t="s">
        <v>271</v>
      </c>
      <c r="C621" s="24" t="s">
        <v>222</v>
      </c>
      <c r="D621" s="24" t="s">
        <v>413</v>
      </c>
      <c r="E621" s="24"/>
      <c r="F621" s="4">
        <f>F622+F626+F640</f>
        <v>40748.800000000003</v>
      </c>
      <c r="G621" s="4">
        <f>G622+G626+G640</f>
        <v>40748.800000000003</v>
      </c>
    </row>
    <row r="622" spans="1:7" ht="47.25" x14ac:dyDescent="0.25">
      <c r="A622" s="23" t="s">
        <v>947</v>
      </c>
      <c r="B622" s="24" t="s">
        <v>271</v>
      </c>
      <c r="C622" s="24" t="s">
        <v>222</v>
      </c>
      <c r="D622" s="24" t="s">
        <v>1245</v>
      </c>
      <c r="E622" s="24"/>
      <c r="F622" s="4">
        <f t="shared" ref="F622:G622" si="64">F623</f>
        <v>37056.300000000003</v>
      </c>
      <c r="G622" s="4">
        <f t="shared" si="64"/>
        <v>37056.300000000003</v>
      </c>
    </row>
    <row r="623" spans="1:7" ht="47.25" x14ac:dyDescent="0.25">
      <c r="A623" s="25" t="s">
        <v>277</v>
      </c>
      <c r="B623" s="20" t="s">
        <v>271</v>
      </c>
      <c r="C623" s="20" t="s">
        <v>222</v>
      </c>
      <c r="D623" s="20" t="s">
        <v>1275</v>
      </c>
      <c r="E623" s="20"/>
      <c r="F623" s="6">
        <f>F624</f>
        <v>37056.300000000003</v>
      </c>
      <c r="G623" s="6">
        <f>G624</f>
        <v>37056.300000000003</v>
      </c>
    </row>
    <row r="624" spans="1:7" ht="47.25" x14ac:dyDescent="0.25">
      <c r="A624" s="25" t="s">
        <v>279</v>
      </c>
      <c r="B624" s="20" t="s">
        <v>271</v>
      </c>
      <c r="C624" s="20" t="s">
        <v>222</v>
      </c>
      <c r="D624" s="20" t="s">
        <v>1275</v>
      </c>
      <c r="E624" s="20" t="s">
        <v>280</v>
      </c>
      <c r="F624" s="6">
        <f>F625</f>
        <v>37056.300000000003</v>
      </c>
      <c r="G624" s="6">
        <f>G625</f>
        <v>37056.300000000003</v>
      </c>
    </row>
    <row r="625" spans="1:7" ht="15.75" x14ac:dyDescent="0.25">
      <c r="A625" s="25" t="s">
        <v>281</v>
      </c>
      <c r="B625" s="20" t="s">
        <v>271</v>
      </c>
      <c r="C625" s="20" t="s">
        <v>222</v>
      </c>
      <c r="D625" s="20" t="s">
        <v>1275</v>
      </c>
      <c r="E625" s="20" t="s">
        <v>282</v>
      </c>
      <c r="F625" s="6">
        <f>'пр.6.1.ведом.22-23'!G696</f>
        <v>37056.300000000003</v>
      </c>
      <c r="G625" s="6">
        <f>'пр.6.1.ведом.22-23'!H696</f>
        <v>37056.300000000003</v>
      </c>
    </row>
    <row r="626" spans="1:7" ht="47.25" x14ac:dyDescent="0.25">
      <c r="A626" s="23" t="s">
        <v>910</v>
      </c>
      <c r="B626" s="24" t="s">
        <v>271</v>
      </c>
      <c r="C626" s="24" t="s">
        <v>222</v>
      </c>
      <c r="D626" s="24" t="s">
        <v>1247</v>
      </c>
      <c r="E626" s="24"/>
      <c r="F626" s="4">
        <f>F630+F633+F627</f>
        <v>2128.5</v>
      </c>
      <c r="G626" s="4">
        <f>G630+G633+G627</f>
        <v>2128.5</v>
      </c>
    </row>
    <row r="627" spans="1:7" s="202" customFormat="1" ht="110.25" x14ac:dyDescent="0.25">
      <c r="A627" s="31" t="s">
        <v>300</v>
      </c>
      <c r="B627" s="20" t="s">
        <v>271</v>
      </c>
      <c r="C627" s="20" t="s">
        <v>222</v>
      </c>
      <c r="D627" s="20" t="s">
        <v>1407</v>
      </c>
      <c r="E627" s="20"/>
      <c r="F627" s="6">
        <f>F628</f>
        <v>1400</v>
      </c>
      <c r="G627" s="6">
        <f>G628</f>
        <v>1400</v>
      </c>
    </row>
    <row r="628" spans="1:7" s="202" customFormat="1" ht="47.25" x14ac:dyDescent="0.25">
      <c r="A628" s="25" t="s">
        <v>279</v>
      </c>
      <c r="B628" s="20" t="s">
        <v>271</v>
      </c>
      <c r="C628" s="20" t="s">
        <v>222</v>
      </c>
      <c r="D628" s="20" t="s">
        <v>1407</v>
      </c>
      <c r="E628" s="20" t="s">
        <v>280</v>
      </c>
      <c r="F628" s="6">
        <f>F629</f>
        <v>1400</v>
      </c>
      <c r="G628" s="6">
        <f>G629</f>
        <v>1400</v>
      </c>
    </row>
    <row r="629" spans="1:7" s="202" customFormat="1" ht="15.75" x14ac:dyDescent="0.25">
      <c r="A629" s="25" t="s">
        <v>281</v>
      </c>
      <c r="B629" s="20" t="s">
        <v>271</v>
      </c>
      <c r="C629" s="20" t="s">
        <v>222</v>
      </c>
      <c r="D629" s="20" t="s">
        <v>1407</v>
      </c>
      <c r="E629" s="20" t="s">
        <v>282</v>
      </c>
      <c r="F629" s="6">
        <f>'пр.6.1.ведом.22-23'!G700</f>
        <v>1400</v>
      </c>
      <c r="G629" s="6">
        <f>'пр.6.1.ведом.22-23'!H700</f>
        <v>1400</v>
      </c>
    </row>
    <row r="630" spans="1:7" ht="63" x14ac:dyDescent="0.25">
      <c r="A630" s="31" t="s">
        <v>296</v>
      </c>
      <c r="B630" s="20" t="s">
        <v>271</v>
      </c>
      <c r="C630" s="20" t="s">
        <v>222</v>
      </c>
      <c r="D630" s="20" t="s">
        <v>1248</v>
      </c>
      <c r="E630" s="20"/>
      <c r="F630" s="6">
        <f>F631</f>
        <v>179</v>
      </c>
      <c r="G630" s="6">
        <f>G631</f>
        <v>179</v>
      </c>
    </row>
    <row r="631" spans="1:7" ht="47.25" x14ac:dyDescent="0.25">
      <c r="A631" s="25" t="s">
        <v>279</v>
      </c>
      <c r="B631" s="20" t="s">
        <v>271</v>
      </c>
      <c r="C631" s="20" t="s">
        <v>222</v>
      </c>
      <c r="D631" s="20" t="s">
        <v>1248</v>
      </c>
      <c r="E631" s="20" t="s">
        <v>280</v>
      </c>
      <c r="F631" s="6">
        <f>F632</f>
        <v>179</v>
      </c>
      <c r="G631" s="6">
        <f>G632</f>
        <v>179</v>
      </c>
    </row>
    <row r="632" spans="1:7" ht="15.75" x14ac:dyDescent="0.25">
      <c r="A632" s="25" t="s">
        <v>281</v>
      </c>
      <c r="B632" s="20" t="s">
        <v>271</v>
      </c>
      <c r="C632" s="20" t="s">
        <v>222</v>
      </c>
      <c r="D632" s="20" t="s">
        <v>1248</v>
      </c>
      <c r="E632" s="20" t="s">
        <v>282</v>
      </c>
      <c r="F632" s="6">
        <f>'пр.6.1.ведом.22-23'!G703</f>
        <v>179</v>
      </c>
      <c r="G632" s="6">
        <f>'пр.6.1.ведом.22-23'!H703</f>
        <v>179</v>
      </c>
    </row>
    <row r="633" spans="1:7" ht="78.75" x14ac:dyDescent="0.25">
      <c r="A633" s="31" t="s">
        <v>298</v>
      </c>
      <c r="B633" s="20" t="s">
        <v>271</v>
      </c>
      <c r="C633" s="20" t="s">
        <v>222</v>
      </c>
      <c r="D633" s="20" t="s">
        <v>1249</v>
      </c>
      <c r="E633" s="20"/>
      <c r="F633" s="6">
        <f>F634</f>
        <v>549.5</v>
      </c>
      <c r="G633" s="6">
        <f>G634</f>
        <v>549.5</v>
      </c>
    </row>
    <row r="634" spans="1:7" ht="47.25" x14ac:dyDescent="0.25">
      <c r="A634" s="25" t="s">
        <v>279</v>
      </c>
      <c r="B634" s="20" t="s">
        <v>271</v>
      </c>
      <c r="C634" s="20" t="s">
        <v>222</v>
      </c>
      <c r="D634" s="20" t="s">
        <v>1249</v>
      </c>
      <c r="E634" s="20" t="s">
        <v>280</v>
      </c>
      <c r="F634" s="6">
        <f>F635</f>
        <v>549.5</v>
      </c>
      <c r="G634" s="6">
        <f>G635</f>
        <v>549.5</v>
      </c>
    </row>
    <row r="635" spans="1:7" ht="15.75" x14ac:dyDescent="0.25">
      <c r="A635" s="25" t="s">
        <v>281</v>
      </c>
      <c r="B635" s="20" t="s">
        <v>271</v>
      </c>
      <c r="C635" s="20" t="s">
        <v>222</v>
      </c>
      <c r="D635" s="20" t="s">
        <v>1249</v>
      </c>
      <c r="E635" s="20" t="s">
        <v>282</v>
      </c>
      <c r="F635" s="6">
        <f>'пр.6.1.ведом.22-23'!G706</f>
        <v>549.5</v>
      </c>
      <c r="G635" s="6">
        <f>'пр.6.1.ведом.22-23'!H706</f>
        <v>549.5</v>
      </c>
    </row>
    <row r="636" spans="1:7" ht="31.5" hidden="1" x14ac:dyDescent="0.25">
      <c r="A636" s="23" t="s">
        <v>1307</v>
      </c>
      <c r="B636" s="24" t="s">
        <v>271</v>
      </c>
      <c r="C636" s="24" t="s">
        <v>222</v>
      </c>
      <c r="D636" s="24" t="s">
        <v>1252</v>
      </c>
      <c r="E636" s="24"/>
      <c r="F636" s="4">
        <f>F637</f>
        <v>0</v>
      </c>
      <c r="G636" s="4">
        <f>G637</f>
        <v>0</v>
      </c>
    </row>
    <row r="637" spans="1:7" ht="31.5" hidden="1" x14ac:dyDescent="0.25">
      <c r="A637" s="45" t="s">
        <v>776</v>
      </c>
      <c r="B637" s="20" t="s">
        <v>271</v>
      </c>
      <c r="C637" s="20" t="s">
        <v>222</v>
      </c>
      <c r="D637" s="20" t="s">
        <v>1344</v>
      </c>
      <c r="E637" s="20"/>
      <c r="F637" s="6">
        <f>'Пр.3 Рд,пр, ЦС,ВР 21'!F632</f>
        <v>0</v>
      </c>
      <c r="G637" s="6">
        <f t="shared" ref="G637:G661" si="65">F637</f>
        <v>0</v>
      </c>
    </row>
    <row r="638" spans="1:7" ht="47.25" hidden="1" x14ac:dyDescent="0.25">
      <c r="A638" s="31" t="s">
        <v>279</v>
      </c>
      <c r="B638" s="20" t="s">
        <v>271</v>
      </c>
      <c r="C638" s="20" t="s">
        <v>222</v>
      </c>
      <c r="D638" s="20" t="s">
        <v>1344</v>
      </c>
      <c r="E638" s="20" t="s">
        <v>280</v>
      </c>
      <c r="F638" s="6">
        <f>'Пр.3 Рд,пр, ЦС,ВР 21'!F633</f>
        <v>0</v>
      </c>
      <c r="G638" s="6">
        <f t="shared" si="65"/>
        <v>0</v>
      </c>
    </row>
    <row r="639" spans="1:7" ht="15.75" hidden="1" x14ac:dyDescent="0.25">
      <c r="A639" s="31" t="s">
        <v>281</v>
      </c>
      <c r="B639" s="20" t="s">
        <v>271</v>
      </c>
      <c r="C639" s="20" t="s">
        <v>222</v>
      </c>
      <c r="D639" s="20" t="s">
        <v>1344</v>
      </c>
      <c r="E639" s="20" t="s">
        <v>282</v>
      </c>
      <c r="F639" s="6">
        <f>'Пр.3 Рд,пр, ЦС,ВР 21'!F634</f>
        <v>0</v>
      </c>
      <c r="G639" s="6">
        <f t="shared" si="65"/>
        <v>0</v>
      </c>
    </row>
    <row r="640" spans="1:7" ht="47.25" x14ac:dyDescent="0.25">
      <c r="A640" s="214" t="s">
        <v>958</v>
      </c>
      <c r="B640" s="24" t="s">
        <v>271</v>
      </c>
      <c r="C640" s="24" t="s">
        <v>222</v>
      </c>
      <c r="D640" s="24" t="s">
        <v>1255</v>
      </c>
      <c r="E640" s="24"/>
      <c r="F640" s="4">
        <f t="shared" ref="F640:G642" si="66">F641</f>
        <v>1564</v>
      </c>
      <c r="G640" s="4">
        <f t="shared" si="66"/>
        <v>1564</v>
      </c>
    </row>
    <row r="641" spans="1:7" ht="47.25" x14ac:dyDescent="0.25">
      <c r="A641" s="45" t="s">
        <v>774</v>
      </c>
      <c r="B641" s="20" t="s">
        <v>271</v>
      </c>
      <c r="C641" s="20" t="s">
        <v>222</v>
      </c>
      <c r="D641" s="20" t="s">
        <v>1256</v>
      </c>
      <c r="E641" s="20"/>
      <c r="F641" s="6">
        <f t="shared" si="66"/>
        <v>1564</v>
      </c>
      <c r="G641" s="6">
        <f t="shared" si="66"/>
        <v>1564</v>
      </c>
    </row>
    <row r="642" spans="1:7" ht="47.25" x14ac:dyDescent="0.25">
      <c r="A642" s="25" t="s">
        <v>279</v>
      </c>
      <c r="B642" s="20" t="s">
        <v>271</v>
      </c>
      <c r="C642" s="20" t="s">
        <v>222</v>
      </c>
      <c r="D642" s="20" t="s">
        <v>1256</v>
      </c>
      <c r="E642" s="20" t="s">
        <v>280</v>
      </c>
      <c r="F642" s="6">
        <f t="shared" si="66"/>
        <v>1564</v>
      </c>
      <c r="G642" s="6">
        <f t="shared" si="66"/>
        <v>1564</v>
      </c>
    </row>
    <row r="643" spans="1:7" ht="15.75" x14ac:dyDescent="0.25">
      <c r="A643" s="31" t="s">
        <v>281</v>
      </c>
      <c r="B643" s="20" t="s">
        <v>271</v>
      </c>
      <c r="C643" s="20" t="s">
        <v>222</v>
      </c>
      <c r="D643" s="20" t="s">
        <v>1256</v>
      </c>
      <c r="E643" s="20" t="s">
        <v>282</v>
      </c>
      <c r="F643" s="6">
        <f>'пр.6.1.ведом.22-23'!G714</f>
        <v>1564</v>
      </c>
      <c r="G643" s="6">
        <f>'пр.6.1.ведом.22-23'!H714</f>
        <v>1564</v>
      </c>
    </row>
    <row r="644" spans="1:7" ht="47.25" x14ac:dyDescent="0.25">
      <c r="A644" s="23" t="s">
        <v>1368</v>
      </c>
      <c r="B644" s="24" t="s">
        <v>271</v>
      </c>
      <c r="C644" s="24" t="s">
        <v>222</v>
      </c>
      <c r="D644" s="24" t="s">
        <v>274</v>
      </c>
      <c r="E644" s="24"/>
      <c r="F644" s="4">
        <f>F645+F653+F662+F666</f>
        <v>18730.410000000003</v>
      </c>
      <c r="G644" s="4">
        <f>G645+G653+G662+G666</f>
        <v>18730.410000000003</v>
      </c>
    </row>
    <row r="645" spans="1:7" ht="47.25" x14ac:dyDescent="0.25">
      <c r="A645" s="23" t="s">
        <v>1314</v>
      </c>
      <c r="B645" s="24" t="s">
        <v>271</v>
      </c>
      <c r="C645" s="24" t="s">
        <v>222</v>
      </c>
      <c r="D645" s="24" t="s">
        <v>1218</v>
      </c>
      <c r="E645" s="24"/>
      <c r="F645" s="4">
        <f>F646</f>
        <v>15854.01</v>
      </c>
      <c r="G645" s="4">
        <f>G646</f>
        <v>15854.01</v>
      </c>
    </row>
    <row r="646" spans="1:7" ht="31.5" x14ac:dyDescent="0.25">
      <c r="A646" s="25" t="s">
        <v>810</v>
      </c>
      <c r="B646" s="20" t="s">
        <v>271</v>
      </c>
      <c r="C646" s="20" t="s">
        <v>222</v>
      </c>
      <c r="D646" s="20" t="s">
        <v>1219</v>
      </c>
      <c r="E646" s="20"/>
      <c r="F646" s="6">
        <f>F647+F649+F651</f>
        <v>15854.01</v>
      </c>
      <c r="G646" s="6">
        <f>G647+G649+G651</f>
        <v>15854.01</v>
      </c>
    </row>
    <row r="647" spans="1:7" ht="94.5" x14ac:dyDescent="0.25">
      <c r="A647" s="25" t="s">
        <v>134</v>
      </c>
      <c r="B647" s="20" t="s">
        <v>271</v>
      </c>
      <c r="C647" s="20" t="s">
        <v>222</v>
      </c>
      <c r="D647" s="20" t="s">
        <v>1219</v>
      </c>
      <c r="E647" s="20" t="s">
        <v>135</v>
      </c>
      <c r="F647" s="6">
        <f>F648</f>
        <v>14172.31</v>
      </c>
      <c r="G647" s="6">
        <f>G648</f>
        <v>14172.31</v>
      </c>
    </row>
    <row r="648" spans="1:7" ht="31.5" x14ac:dyDescent="0.25">
      <c r="A648" s="46" t="s">
        <v>349</v>
      </c>
      <c r="B648" s="20" t="s">
        <v>271</v>
      </c>
      <c r="C648" s="20" t="s">
        <v>222</v>
      </c>
      <c r="D648" s="20" t="s">
        <v>1219</v>
      </c>
      <c r="E648" s="20" t="s">
        <v>216</v>
      </c>
      <c r="F648" s="6">
        <f>'пр.6.1.ведом.22-23'!G299</f>
        <v>14172.31</v>
      </c>
      <c r="G648" s="6">
        <f>'пр.6.1.ведом.22-23'!H299</f>
        <v>14172.31</v>
      </c>
    </row>
    <row r="649" spans="1:7" ht="31.5" x14ac:dyDescent="0.25">
      <c r="A649" s="25" t="s">
        <v>138</v>
      </c>
      <c r="B649" s="20" t="s">
        <v>271</v>
      </c>
      <c r="C649" s="20" t="s">
        <v>222</v>
      </c>
      <c r="D649" s="20" t="s">
        <v>1219</v>
      </c>
      <c r="E649" s="20" t="s">
        <v>139</v>
      </c>
      <c r="F649" s="6">
        <f>F650</f>
        <v>1603.7</v>
      </c>
      <c r="G649" s="6">
        <f>G650</f>
        <v>1603.7</v>
      </c>
    </row>
    <row r="650" spans="1:7" ht="47.25" x14ac:dyDescent="0.25">
      <c r="A650" s="25" t="s">
        <v>140</v>
      </c>
      <c r="B650" s="20" t="s">
        <v>271</v>
      </c>
      <c r="C650" s="20" t="s">
        <v>222</v>
      </c>
      <c r="D650" s="20" t="s">
        <v>1219</v>
      </c>
      <c r="E650" s="20" t="s">
        <v>141</v>
      </c>
      <c r="F650" s="6">
        <f>'пр.6.1.ведом.22-23'!G301</f>
        <v>1603.7</v>
      </c>
      <c r="G650" s="6">
        <f>'пр.6.1.ведом.22-23'!H301</f>
        <v>1603.7</v>
      </c>
    </row>
    <row r="651" spans="1:7" ht="15.75" x14ac:dyDescent="0.25">
      <c r="A651" s="25" t="s">
        <v>142</v>
      </c>
      <c r="B651" s="20" t="s">
        <v>271</v>
      </c>
      <c r="C651" s="20" t="s">
        <v>222</v>
      </c>
      <c r="D651" s="20" t="s">
        <v>1219</v>
      </c>
      <c r="E651" s="20" t="s">
        <v>152</v>
      </c>
      <c r="F651" s="6">
        <f>F652</f>
        <v>78</v>
      </c>
      <c r="G651" s="6">
        <f>G652</f>
        <v>78</v>
      </c>
    </row>
    <row r="652" spans="1:7" ht="15.75" x14ac:dyDescent="0.25">
      <c r="A652" s="25" t="s">
        <v>714</v>
      </c>
      <c r="B652" s="20" t="s">
        <v>271</v>
      </c>
      <c r="C652" s="20" t="s">
        <v>222</v>
      </c>
      <c r="D652" s="20" t="s">
        <v>1219</v>
      </c>
      <c r="E652" s="20" t="s">
        <v>145</v>
      </c>
      <c r="F652" s="6">
        <f>'пр.6.1.ведом.22-23'!G303</f>
        <v>78</v>
      </c>
      <c r="G652" s="6">
        <f>'пр.6.1.ведом.22-23'!H303</f>
        <v>78</v>
      </c>
    </row>
    <row r="653" spans="1:7" ht="31.5" x14ac:dyDescent="0.25">
      <c r="A653" s="211" t="s">
        <v>1316</v>
      </c>
      <c r="B653" s="24" t="s">
        <v>271</v>
      </c>
      <c r="C653" s="24" t="s">
        <v>222</v>
      </c>
      <c r="D653" s="24" t="s">
        <v>1220</v>
      </c>
      <c r="E653" s="24"/>
      <c r="F653" s="4">
        <f>F654+F657</f>
        <v>1295</v>
      </c>
      <c r="G653" s="4">
        <f>G654+G657</f>
        <v>1295</v>
      </c>
    </row>
    <row r="654" spans="1:7" ht="31.5" x14ac:dyDescent="0.25">
      <c r="A654" s="197" t="s">
        <v>809</v>
      </c>
      <c r="B654" s="20" t="s">
        <v>271</v>
      </c>
      <c r="C654" s="20" t="s">
        <v>222</v>
      </c>
      <c r="D654" s="20" t="s">
        <v>1221</v>
      </c>
      <c r="E654" s="20"/>
      <c r="F654" s="6">
        <f t="shared" ref="F654:G655" si="67">F655</f>
        <v>45</v>
      </c>
      <c r="G654" s="6">
        <f t="shared" si="67"/>
        <v>45</v>
      </c>
    </row>
    <row r="655" spans="1:7" ht="31.5" x14ac:dyDescent="0.25">
      <c r="A655" s="25" t="s">
        <v>255</v>
      </c>
      <c r="B655" s="20" t="s">
        <v>271</v>
      </c>
      <c r="C655" s="20" t="s">
        <v>222</v>
      </c>
      <c r="D655" s="20" t="s">
        <v>1221</v>
      </c>
      <c r="E655" s="20" t="s">
        <v>256</v>
      </c>
      <c r="F655" s="6">
        <f t="shared" si="67"/>
        <v>45</v>
      </c>
      <c r="G655" s="6">
        <f t="shared" si="67"/>
        <v>45</v>
      </c>
    </row>
    <row r="656" spans="1:7" ht="15.75" x14ac:dyDescent="0.25">
      <c r="A656" s="25" t="s">
        <v>830</v>
      </c>
      <c r="B656" s="20" t="s">
        <v>271</v>
      </c>
      <c r="C656" s="20" t="s">
        <v>222</v>
      </c>
      <c r="D656" s="20" t="s">
        <v>1221</v>
      </c>
      <c r="E656" s="20" t="s">
        <v>829</v>
      </c>
      <c r="F656" s="6">
        <f>'пр.6.1.ведом.22-23'!G307</f>
        <v>45</v>
      </c>
      <c r="G656" s="6">
        <f>'пр.6.1.ведом.22-23'!H307</f>
        <v>45</v>
      </c>
    </row>
    <row r="657" spans="1:7" ht="31.5" x14ac:dyDescent="0.25">
      <c r="A657" s="31" t="s">
        <v>826</v>
      </c>
      <c r="B657" s="20" t="s">
        <v>271</v>
      </c>
      <c r="C657" s="20" t="s">
        <v>222</v>
      </c>
      <c r="D657" s="20" t="s">
        <v>1222</v>
      </c>
      <c r="E657" s="20"/>
      <c r="F657" s="6">
        <f t="shared" ref="F657:G658" si="68">F658</f>
        <v>1250</v>
      </c>
      <c r="G657" s="6">
        <f t="shared" si="68"/>
        <v>1250</v>
      </c>
    </row>
    <row r="658" spans="1:7" ht="94.5" x14ac:dyDescent="0.25">
      <c r="A658" s="25" t="s">
        <v>134</v>
      </c>
      <c r="B658" s="20" t="s">
        <v>271</v>
      </c>
      <c r="C658" s="20" t="s">
        <v>222</v>
      </c>
      <c r="D658" s="20" t="s">
        <v>1222</v>
      </c>
      <c r="E658" s="20" t="s">
        <v>135</v>
      </c>
      <c r="F658" s="6">
        <f t="shared" si="68"/>
        <v>1250</v>
      </c>
      <c r="G658" s="6">
        <f t="shared" si="68"/>
        <v>1250</v>
      </c>
    </row>
    <row r="659" spans="1:7" ht="31.5" x14ac:dyDescent="0.25">
      <c r="A659" s="46" t="s">
        <v>349</v>
      </c>
      <c r="B659" s="20" t="s">
        <v>271</v>
      </c>
      <c r="C659" s="20" t="s">
        <v>222</v>
      </c>
      <c r="D659" s="20" t="s">
        <v>1222</v>
      </c>
      <c r="E659" s="20" t="s">
        <v>216</v>
      </c>
      <c r="F659" s="6">
        <f>'пр.6.1.ведом.22-23'!G310</f>
        <v>1250</v>
      </c>
      <c r="G659" s="6">
        <f>'пр.6.1.ведом.22-23'!H310</f>
        <v>1250</v>
      </c>
    </row>
    <row r="660" spans="1:7" ht="31.5" hidden="1" x14ac:dyDescent="0.25">
      <c r="A660" s="25" t="s">
        <v>138</v>
      </c>
      <c r="B660" s="20" t="s">
        <v>271</v>
      </c>
      <c r="C660" s="20" t="s">
        <v>222</v>
      </c>
      <c r="D660" s="20" t="s">
        <v>1222</v>
      </c>
      <c r="E660" s="20" t="s">
        <v>139</v>
      </c>
      <c r="F660" s="6">
        <f>'Пр.3 Рд,пр, ЦС,ВР 21'!F658</f>
        <v>0</v>
      </c>
      <c r="G660" s="6">
        <f t="shared" si="65"/>
        <v>0</v>
      </c>
    </row>
    <row r="661" spans="1:7" ht="47.25" hidden="1" x14ac:dyDescent="0.25">
      <c r="A661" s="25" t="s">
        <v>140</v>
      </c>
      <c r="B661" s="20" t="s">
        <v>271</v>
      </c>
      <c r="C661" s="20" t="s">
        <v>222</v>
      </c>
      <c r="D661" s="20" t="s">
        <v>1222</v>
      </c>
      <c r="E661" s="20" t="s">
        <v>141</v>
      </c>
      <c r="F661" s="6">
        <f>'Пр.3 Рд,пр, ЦС,ВР 21'!F659</f>
        <v>0</v>
      </c>
      <c r="G661" s="6">
        <f t="shared" si="65"/>
        <v>0</v>
      </c>
    </row>
    <row r="662" spans="1:7" ht="47.25" x14ac:dyDescent="0.25">
      <c r="A662" s="23" t="s">
        <v>957</v>
      </c>
      <c r="B662" s="24" t="s">
        <v>271</v>
      </c>
      <c r="C662" s="24" t="s">
        <v>222</v>
      </c>
      <c r="D662" s="24" t="s">
        <v>1223</v>
      </c>
      <c r="E662" s="24"/>
      <c r="F662" s="4">
        <f t="shared" ref="F662:G664" si="69">F663</f>
        <v>506</v>
      </c>
      <c r="G662" s="4">
        <f t="shared" si="69"/>
        <v>506</v>
      </c>
    </row>
    <row r="663" spans="1:7" ht="47.25" x14ac:dyDescent="0.25">
      <c r="A663" s="25" t="s">
        <v>849</v>
      </c>
      <c r="B663" s="20" t="s">
        <v>271</v>
      </c>
      <c r="C663" s="20" t="s">
        <v>222</v>
      </c>
      <c r="D663" s="20" t="s">
        <v>1224</v>
      </c>
      <c r="E663" s="20"/>
      <c r="F663" s="6">
        <f t="shared" si="69"/>
        <v>506</v>
      </c>
      <c r="G663" s="6">
        <f t="shared" si="69"/>
        <v>506</v>
      </c>
    </row>
    <row r="664" spans="1:7" ht="94.5" x14ac:dyDescent="0.25">
      <c r="A664" s="25" t="s">
        <v>134</v>
      </c>
      <c r="B664" s="20" t="s">
        <v>271</v>
      </c>
      <c r="C664" s="20" t="s">
        <v>222</v>
      </c>
      <c r="D664" s="20" t="s">
        <v>1224</v>
      </c>
      <c r="E664" s="20" t="s">
        <v>135</v>
      </c>
      <c r="F664" s="6">
        <f t="shared" si="69"/>
        <v>506</v>
      </c>
      <c r="G664" s="6">
        <f t="shared" si="69"/>
        <v>506</v>
      </c>
    </row>
    <row r="665" spans="1:7" ht="31.5" x14ac:dyDescent="0.25">
      <c r="A665" s="25" t="s">
        <v>136</v>
      </c>
      <c r="B665" s="20" t="s">
        <v>271</v>
      </c>
      <c r="C665" s="20" t="s">
        <v>222</v>
      </c>
      <c r="D665" s="20" t="s">
        <v>1224</v>
      </c>
      <c r="E665" s="20" t="s">
        <v>216</v>
      </c>
      <c r="F665" s="6">
        <f>'пр.6.1.ведом.22-23'!G316</f>
        <v>506</v>
      </c>
      <c r="G665" s="6">
        <f>'пр.6.1.ведом.22-23'!H316</f>
        <v>506</v>
      </c>
    </row>
    <row r="666" spans="1:7" ht="56.25" customHeight="1" x14ac:dyDescent="0.25">
      <c r="A666" s="23" t="s">
        <v>910</v>
      </c>
      <c r="B666" s="24" t="s">
        <v>271</v>
      </c>
      <c r="C666" s="24" t="s">
        <v>222</v>
      </c>
      <c r="D666" s="24" t="s">
        <v>1225</v>
      </c>
      <c r="E666" s="24"/>
      <c r="F666" s="4">
        <f>F670+F673+F667</f>
        <v>1075.4000000000001</v>
      </c>
      <c r="G666" s="4">
        <f>G670+G673+G667</f>
        <v>1075.4000000000001</v>
      </c>
    </row>
    <row r="667" spans="1:7" s="202" customFormat="1" ht="120.95" customHeight="1" x14ac:dyDescent="0.25">
      <c r="A667" s="31" t="s">
        <v>300</v>
      </c>
      <c r="B667" s="20" t="s">
        <v>271</v>
      </c>
      <c r="C667" s="20" t="s">
        <v>222</v>
      </c>
      <c r="D667" s="20" t="s">
        <v>1420</v>
      </c>
      <c r="E667" s="20"/>
      <c r="F667" s="6">
        <f>F668</f>
        <v>671</v>
      </c>
      <c r="G667" s="6">
        <f>G668</f>
        <v>671</v>
      </c>
    </row>
    <row r="668" spans="1:7" s="202" customFormat="1" ht="93.75" customHeight="1" x14ac:dyDescent="0.25">
      <c r="A668" s="25" t="s">
        <v>134</v>
      </c>
      <c r="B668" s="20" t="s">
        <v>271</v>
      </c>
      <c r="C668" s="20" t="s">
        <v>222</v>
      </c>
      <c r="D668" s="20" t="s">
        <v>1420</v>
      </c>
      <c r="E668" s="20" t="s">
        <v>135</v>
      </c>
      <c r="F668" s="6">
        <f>F669</f>
        <v>671</v>
      </c>
      <c r="G668" s="6">
        <f>G669</f>
        <v>671</v>
      </c>
    </row>
    <row r="669" spans="1:7" s="202" customFormat="1" ht="39.4" customHeight="1" x14ac:dyDescent="0.25">
      <c r="A669" s="46" t="s">
        <v>349</v>
      </c>
      <c r="B669" s="20" t="s">
        <v>271</v>
      </c>
      <c r="C669" s="20" t="s">
        <v>222</v>
      </c>
      <c r="D669" s="20" t="s">
        <v>1420</v>
      </c>
      <c r="E669" s="20" t="s">
        <v>216</v>
      </c>
      <c r="F669" s="6">
        <f>'пр.6.1.ведом.22-23'!G320</f>
        <v>671</v>
      </c>
      <c r="G669" s="6">
        <f>'пр.6.1.ведом.22-23'!H320</f>
        <v>671</v>
      </c>
    </row>
    <row r="670" spans="1:7" ht="63" x14ac:dyDescent="0.25">
      <c r="A670" s="31" t="s">
        <v>296</v>
      </c>
      <c r="B670" s="20" t="s">
        <v>271</v>
      </c>
      <c r="C670" s="20" t="s">
        <v>222</v>
      </c>
      <c r="D670" s="20" t="s">
        <v>1226</v>
      </c>
      <c r="E670" s="20"/>
      <c r="F670" s="6">
        <f>F671</f>
        <v>106</v>
      </c>
      <c r="G670" s="6">
        <f>G671</f>
        <v>106</v>
      </c>
    </row>
    <row r="671" spans="1:7" ht="94.5" x14ac:dyDescent="0.25">
      <c r="A671" s="25" t="s">
        <v>134</v>
      </c>
      <c r="B671" s="20" t="s">
        <v>271</v>
      </c>
      <c r="C671" s="20" t="s">
        <v>222</v>
      </c>
      <c r="D671" s="20" t="s">
        <v>1226</v>
      </c>
      <c r="E671" s="20" t="s">
        <v>135</v>
      </c>
      <c r="F671" s="6">
        <f>F672</f>
        <v>106</v>
      </c>
      <c r="G671" s="6">
        <f>G672</f>
        <v>106</v>
      </c>
    </row>
    <row r="672" spans="1:7" ht="31.5" x14ac:dyDescent="0.25">
      <c r="A672" s="46" t="s">
        <v>349</v>
      </c>
      <c r="B672" s="20" t="s">
        <v>271</v>
      </c>
      <c r="C672" s="20" t="s">
        <v>222</v>
      </c>
      <c r="D672" s="20" t="s">
        <v>1226</v>
      </c>
      <c r="E672" s="20" t="s">
        <v>216</v>
      </c>
      <c r="F672" s="6">
        <f>'пр.6.1.ведом.22-23'!G323</f>
        <v>106</v>
      </c>
      <c r="G672" s="6">
        <f>'пр.6.1.ведом.22-23'!H323</f>
        <v>106</v>
      </c>
    </row>
    <row r="673" spans="1:7" ht="78.75" x14ac:dyDescent="0.25">
      <c r="A673" s="31" t="s">
        <v>298</v>
      </c>
      <c r="B673" s="20" t="s">
        <v>271</v>
      </c>
      <c r="C673" s="20" t="s">
        <v>222</v>
      </c>
      <c r="D673" s="20" t="s">
        <v>1227</v>
      </c>
      <c r="E673" s="20"/>
      <c r="F673" s="6">
        <f>F674</f>
        <v>298.39999999999998</v>
      </c>
      <c r="G673" s="6">
        <f>G674</f>
        <v>298.39999999999998</v>
      </c>
    </row>
    <row r="674" spans="1:7" ht="94.5" x14ac:dyDescent="0.25">
      <c r="A674" s="25" t="s">
        <v>134</v>
      </c>
      <c r="B674" s="20" t="s">
        <v>271</v>
      </c>
      <c r="C674" s="20" t="s">
        <v>222</v>
      </c>
      <c r="D674" s="20" t="s">
        <v>1227</v>
      </c>
      <c r="E674" s="20" t="s">
        <v>135</v>
      </c>
      <c r="F674" s="6">
        <f>F675</f>
        <v>298.39999999999998</v>
      </c>
      <c r="G674" s="6">
        <f>G675</f>
        <v>298.39999999999998</v>
      </c>
    </row>
    <row r="675" spans="1:7" ht="31.5" x14ac:dyDescent="0.25">
      <c r="A675" s="46" t="s">
        <v>349</v>
      </c>
      <c r="B675" s="20" t="s">
        <v>271</v>
      </c>
      <c r="C675" s="20" t="s">
        <v>222</v>
      </c>
      <c r="D675" s="20" t="s">
        <v>1227</v>
      </c>
      <c r="E675" s="20" t="s">
        <v>216</v>
      </c>
      <c r="F675" s="6">
        <f>'пр.6.1.ведом.22-23'!G326</f>
        <v>298.39999999999998</v>
      </c>
      <c r="G675" s="6">
        <f>'пр.6.1.ведом.22-23'!H326</f>
        <v>298.39999999999998</v>
      </c>
    </row>
    <row r="676" spans="1:7" s="202" customFormat="1" ht="63" x14ac:dyDescent="0.25">
      <c r="A676" s="34" t="s">
        <v>1235</v>
      </c>
      <c r="B676" s="24" t="s">
        <v>271</v>
      </c>
      <c r="C676" s="24" t="s">
        <v>222</v>
      </c>
      <c r="D676" s="24" t="s">
        <v>331</v>
      </c>
      <c r="E676" s="24"/>
      <c r="F676" s="21">
        <f>F678</f>
        <v>6</v>
      </c>
      <c r="G676" s="21">
        <f>G678</f>
        <v>0</v>
      </c>
    </row>
    <row r="677" spans="1:7" s="202" customFormat="1" ht="63" x14ac:dyDescent="0.25">
      <c r="A677" s="34" t="s">
        <v>1035</v>
      </c>
      <c r="B677" s="24" t="s">
        <v>271</v>
      </c>
      <c r="C677" s="24" t="s">
        <v>222</v>
      </c>
      <c r="D677" s="24" t="s">
        <v>944</v>
      </c>
      <c r="E677" s="24"/>
      <c r="F677" s="21">
        <f>F680</f>
        <v>6</v>
      </c>
      <c r="G677" s="21">
        <f>G680</f>
        <v>0</v>
      </c>
    </row>
    <row r="678" spans="1:7" s="202" customFormat="1" ht="47.25" x14ac:dyDescent="0.25">
      <c r="A678" s="31" t="s">
        <v>1091</v>
      </c>
      <c r="B678" s="20" t="s">
        <v>271</v>
      </c>
      <c r="C678" s="20" t="s">
        <v>222</v>
      </c>
      <c r="D678" s="20" t="s">
        <v>1036</v>
      </c>
      <c r="E678" s="20"/>
      <c r="F678" s="26">
        <f>F679</f>
        <v>6</v>
      </c>
      <c r="G678" s="26">
        <f>G679</f>
        <v>0</v>
      </c>
    </row>
    <row r="679" spans="1:7" s="202" customFormat="1" ht="31.5" x14ac:dyDescent="0.25">
      <c r="A679" s="25" t="s">
        <v>138</v>
      </c>
      <c r="B679" s="20" t="s">
        <v>271</v>
      </c>
      <c r="C679" s="20" t="s">
        <v>222</v>
      </c>
      <c r="D679" s="20" t="s">
        <v>1036</v>
      </c>
      <c r="E679" s="20" t="s">
        <v>139</v>
      </c>
      <c r="F679" s="26">
        <f>F680</f>
        <v>6</v>
      </c>
      <c r="G679" s="26">
        <f>G680</f>
        <v>0</v>
      </c>
    </row>
    <row r="680" spans="1:7" s="202" customFormat="1" ht="47.25" x14ac:dyDescent="0.25">
      <c r="A680" s="25" t="s">
        <v>140</v>
      </c>
      <c r="B680" s="20" t="s">
        <v>271</v>
      </c>
      <c r="C680" s="20" t="s">
        <v>222</v>
      </c>
      <c r="D680" s="20" t="s">
        <v>1036</v>
      </c>
      <c r="E680" s="20" t="s">
        <v>141</v>
      </c>
      <c r="F680" s="26">
        <f>'пр.6.1.ведом.22-23'!G331</f>
        <v>6</v>
      </c>
      <c r="G680" s="26">
        <f>'пр.6.1.ведом.22-23'!H331</f>
        <v>0</v>
      </c>
    </row>
    <row r="681" spans="1:7" ht="63" x14ac:dyDescent="0.25">
      <c r="A681" s="41" t="s">
        <v>1369</v>
      </c>
      <c r="B681" s="24" t="s">
        <v>271</v>
      </c>
      <c r="C681" s="24" t="s">
        <v>222</v>
      </c>
      <c r="D681" s="24" t="s">
        <v>715</v>
      </c>
      <c r="E681" s="24"/>
      <c r="F681" s="4">
        <f>F682</f>
        <v>792.9</v>
      </c>
      <c r="G681" s="4">
        <f>G682</f>
        <v>824.7</v>
      </c>
    </row>
    <row r="682" spans="1:7" ht="63" x14ac:dyDescent="0.25">
      <c r="A682" s="41" t="s">
        <v>900</v>
      </c>
      <c r="B682" s="24" t="s">
        <v>271</v>
      </c>
      <c r="C682" s="24" t="s">
        <v>222</v>
      </c>
      <c r="D682" s="24" t="s">
        <v>898</v>
      </c>
      <c r="E682" s="24"/>
      <c r="F682" s="4">
        <f>F683+F686</f>
        <v>792.9</v>
      </c>
      <c r="G682" s="4">
        <f>G683+G686</f>
        <v>824.7</v>
      </c>
    </row>
    <row r="683" spans="1:7" ht="47.25" x14ac:dyDescent="0.25">
      <c r="A683" s="98" t="s">
        <v>1014</v>
      </c>
      <c r="B683" s="20" t="s">
        <v>271</v>
      </c>
      <c r="C683" s="20" t="s">
        <v>222</v>
      </c>
      <c r="D683" s="20" t="s">
        <v>899</v>
      </c>
      <c r="E683" s="32"/>
      <c r="F683" s="6">
        <f>F684</f>
        <v>490.2</v>
      </c>
      <c r="G683" s="6">
        <f>G684</f>
        <v>509.8</v>
      </c>
    </row>
    <row r="684" spans="1:7" ht="31.5" x14ac:dyDescent="0.25">
      <c r="A684" s="25" t="s">
        <v>138</v>
      </c>
      <c r="B684" s="20" t="s">
        <v>271</v>
      </c>
      <c r="C684" s="20" t="s">
        <v>222</v>
      </c>
      <c r="D684" s="20" t="s">
        <v>899</v>
      </c>
      <c r="E684" s="32" t="s">
        <v>139</v>
      </c>
      <c r="F684" s="6">
        <f>F685</f>
        <v>490.2</v>
      </c>
      <c r="G684" s="6">
        <f>G685</f>
        <v>509.8</v>
      </c>
    </row>
    <row r="685" spans="1:7" ht="47.25" x14ac:dyDescent="0.25">
      <c r="A685" s="25" t="s">
        <v>140</v>
      </c>
      <c r="B685" s="20" t="s">
        <v>271</v>
      </c>
      <c r="C685" s="20" t="s">
        <v>222</v>
      </c>
      <c r="D685" s="20" t="s">
        <v>899</v>
      </c>
      <c r="E685" s="32" t="s">
        <v>141</v>
      </c>
      <c r="F685" s="6">
        <f>'пр.6.1.ведом.22-23'!G336</f>
        <v>490.2</v>
      </c>
      <c r="G685" s="6">
        <f>'пр.6.1.ведом.22-23'!H336</f>
        <v>509.8</v>
      </c>
    </row>
    <row r="686" spans="1:7" ht="47.25" x14ac:dyDescent="0.25">
      <c r="A686" s="98" t="s">
        <v>790</v>
      </c>
      <c r="B686" s="20" t="s">
        <v>271</v>
      </c>
      <c r="C686" s="20" t="s">
        <v>222</v>
      </c>
      <c r="D686" s="20" t="s">
        <v>946</v>
      </c>
      <c r="E686" s="32"/>
      <c r="F686" s="6">
        <f>F687</f>
        <v>302.7</v>
      </c>
      <c r="G686" s="6">
        <f>G687</f>
        <v>314.89999999999998</v>
      </c>
    </row>
    <row r="687" spans="1:7" ht="47.25" x14ac:dyDescent="0.25">
      <c r="A687" s="29" t="s">
        <v>279</v>
      </c>
      <c r="B687" s="20" t="s">
        <v>271</v>
      </c>
      <c r="C687" s="20" t="s">
        <v>222</v>
      </c>
      <c r="D687" s="20" t="s">
        <v>946</v>
      </c>
      <c r="E687" s="32" t="s">
        <v>280</v>
      </c>
      <c r="F687" s="6">
        <f>F688</f>
        <v>302.7</v>
      </c>
      <c r="G687" s="6">
        <f>G688</f>
        <v>314.89999999999998</v>
      </c>
    </row>
    <row r="688" spans="1:7" ht="15.75" x14ac:dyDescent="0.25">
      <c r="A688" s="184" t="s">
        <v>281</v>
      </c>
      <c r="B688" s="20" t="s">
        <v>271</v>
      </c>
      <c r="C688" s="20" t="s">
        <v>222</v>
      </c>
      <c r="D688" s="20" t="s">
        <v>946</v>
      </c>
      <c r="E688" s="32" t="s">
        <v>282</v>
      </c>
      <c r="F688" s="6">
        <f>'пр.6.1.ведом.22-23'!G719</f>
        <v>302.7</v>
      </c>
      <c r="G688" s="6">
        <f>'пр.6.1.ведом.22-23'!H719</f>
        <v>314.89999999999998</v>
      </c>
    </row>
    <row r="689" spans="1:7" ht="21.2" customHeight="1" x14ac:dyDescent="0.25">
      <c r="A689" s="23" t="s">
        <v>473</v>
      </c>
      <c r="B689" s="24" t="s">
        <v>271</v>
      </c>
      <c r="C689" s="24" t="s">
        <v>271</v>
      </c>
      <c r="D689" s="24"/>
      <c r="E689" s="217"/>
      <c r="F689" s="4">
        <f>F690+F709</f>
        <v>6505.1</v>
      </c>
      <c r="G689" s="4">
        <f>G690+G709</f>
        <v>6570.1</v>
      </c>
    </row>
    <row r="690" spans="1:7" ht="47.25" x14ac:dyDescent="0.25">
      <c r="A690" s="23" t="s">
        <v>1389</v>
      </c>
      <c r="B690" s="24" t="s">
        <v>271</v>
      </c>
      <c r="C690" s="24" t="s">
        <v>271</v>
      </c>
      <c r="D690" s="24" t="s">
        <v>351</v>
      </c>
      <c r="E690" s="24"/>
      <c r="F690" s="4">
        <f>F691</f>
        <v>760</v>
      </c>
      <c r="G690" s="4">
        <f>G691</f>
        <v>825</v>
      </c>
    </row>
    <row r="691" spans="1:7" ht="31.5" x14ac:dyDescent="0.25">
      <c r="A691" s="23" t="s">
        <v>352</v>
      </c>
      <c r="B691" s="24" t="s">
        <v>271</v>
      </c>
      <c r="C691" s="24" t="s">
        <v>271</v>
      </c>
      <c r="D691" s="24" t="s">
        <v>353</v>
      </c>
      <c r="E691" s="24"/>
      <c r="F691" s="4">
        <f>F692+F699+F705</f>
        <v>760</v>
      </c>
      <c r="G691" s="4">
        <f>G692+G699+G705</f>
        <v>825</v>
      </c>
    </row>
    <row r="692" spans="1:7" ht="63" x14ac:dyDescent="0.25">
      <c r="A692" s="206" t="s">
        <v>1039</v>
      </c>
      <c r="B692" s="24" t="s">
        <v>271</v>
      </c>
      <c r="C692" s="24" t="s">
        <v>271</v>
      </c>
      <c r="D692" s="24" t="s">
        <v>902</v>
      </c>
      <c r="E692" s="24"/>
      <c r="F692" s="4">
        <f>F693+F696</f>
        <v>280</v>
      </c>
      <c r="G692" s="4">
        <f>G693+G696</f>
        <v>280</v>
      </c>
    </row>
    <row r="693" spans="1:7" ht="31.5" x14ac:dyDescent="0.25">
      <c r="A693" s="98" t="s">
        <v>1045</v>
      </c>
      <c r="B693" s="20" t="s">
        <v>271</v>
      </c>
      <c r="C693" s="20" t="s">
        <v>271</v>
      </c>
      <c r="D693" s="20" t="s">
        <v>903</v>
      </c>
      <c r="E693" s="20"/>
      <c r="F693" s="6">
        <f>F694</f>
        <v>280</v>
      </c>
      <c r="G693" s="6">
        <f>G694</f>
        <v>280</v>
      </c>
    </row>
    <row r="694" spans="1:7" ht="94.5" x14ac:dyDescent="0.25">
      <c r="A694" s="25" t="s">
        <v>134</v>
      </c>
      <c r="B694" s="20" t="s">
        <v>271</v>
      </c>
      <c r="C694" s="20" t="s">
        <v>271</v>
      </c>
      <c r="D694" s="20" t="s">
        <v>903</v>
      </c>
      <c r="E694" s="20" t="s">
        <v>135</v>
      </c>
      <c r="F694" s="6">
        <f>F695</f>
        <v>280</v>
      </c>
      <c r="G694" s="6">
        <f>G695</f>
        <v>280</v>
      </c>
    </row>
    <row r="695" spans="1:7" ht="31.5" x14ac:dyDescent="0.25">
      <c r="A695" s="25" t="s">
        <v>349</v>
      </c>
      <c r="B695" s="20" t="s">
        <v>271</v>
      </c>
      <c r="C695" s="20" t="s">
        <v>271</v>
      </c>
      <c r="D695" s="20" t="s">
        <v>903</v>
      </c>
      <c r="E695" s="20" t="s">
        <v>216</v>
      </c>
      <c r="F695" s="6">
        <f>'пр.6.1.ведом.22-23'!G343</f>
        <v>280</v>
      </c>
      <c r="G695" s="6">
        <f>'пр.6.1.ведом.22-23'!H343</f>
        <v>280</v>
      </c>
    </row>
    <row r="696" spans="1:7" ht="31.5" hidden="1" x14ac:dyDescent="0.25">
      <c r="A696" s="25" t="s">
        <v>1040</v>
      </c>
      <c r="B696" s="20" t="s">
        <v>271</v>
      </c>
      <c r="C696" s="20" t="s">
        <v>271</v>
      </c>
      <c r="D696" s="20" t="s">
        <v>1057</v>
      </c>
      <c r="E696" s="20"/>
      <c r="F696" s="6">
        <f>'Пр.3 Рд,пр, ЦС,ВР 21'!F694</f>
        <v>0</v>
      </c>
      <c r="G696" s="6">
        <f t="shared" ref="G696:G698" si="70">F696</f>
        <v>0</v>
      </c>
    </row>
    <row r="697" spans="1:7" ht="31.5" hidden="1" x14ac:dyDescent="0.25">
      <c r="A697" s="25" t="s">
        <v>138</v>
      </c>
      <c r="B697" s="20" t="s">
        <v>271</v>
      </c>
      <c r="C697" s="20" t="s">
        <v>271</v>
      </c>
      <c r="D697" s="20" t="s">
        <v>1057</v>
      </c>
      <c r="E697" s="20" t="s">
        <v>139</v>
      </c>
      <c r="F697" s="6">
        <f>'Пр.3 Рд,пр, ЦС,ВР 21'!F695</f>
        <v>0</v>
      </c>
      <c r="G697" s="6">
        <f t="shared" si="70"/>
        <v>0</v>
      </c>
    </row>
    <row r="698" spans="1:7" ht="47.25" hidden="1" x14ac:dyDescent="0.25">
      <c r="A698" s="25" t="s">
        <v>140</v>
      </c>
      <c r="B698" s="20" t="s">
        <v>271</v>
      </c>
      <c r="C698" s="20" t="s">
        <v>271</v>
      </c>
      <c r="D698" s="20" t="s">
        <v>1057</v>
      </c>
      <c r="E698" s="20" t="s">
        <v>141</v>
      </c>
      <c r="F698" s="6">
        <f>'Пр.3 Рд,пр, ЦС,ВР 21'!F696</f>
        <v>0</v>
      </c>
      <c r="G698" s="6">
        <f t="shared" si="70"/>
        <v>0</v>
      </c>
    </row>
    <row r="699" spans="1:7" ht="78.75" x14ac:dyDescent="0.25">
      <c r="A699" s="23" t="s">
        <v>1041</v>
      </c>
      <c r="B699" s="24" t="s">
        <v>271</v>
      </c>
      <c r="C699" s="24" t="s">
        <v>271</v>
      </c>
      <c r="D699" s="24" t="s">
        <v>904</v>
      </c>
      <c r="E699" s="24"/>
      <c r="F699" s="4">
        <f>F700</f>
        <v>455</v>
      </c>
      <c r="G699" s="4">
        <f>G700</f>
        <v>520</v>
      </c>
    </row>
    <row r="700" spans="1:7" ht="31.5" x14ac:dyDescent="0.25">
      <c r="A700" s="25" t="s">
        <v>1042</v>
      </c>
      <c r="B700" s="20" t="s">
        <v>271</v>
      </c>
      <c r="C700" s="20" t="s">
        <v>271</v>
      </c>
      <c r="D700" s="20" t="s">
        <v>911</v>
      </c>
      <c r="E700" s="20"/>
      <c r="F700" s="6">
        <f>F701+F704</f>
        <v>455</v>
      </c>
      <c r="G700" s="6">
        <f>G701+G704</f>
        <v>520</v>
      </c>
    </row>
    <row r="701" spans="1:7" ht="94.5" x14ac:dyDescent="0.25">
      <c r="A701" s="25" t="s">
        <v>134</v>
      </c>
      <c r="B701" s="20" t="s">
        <v>271</v>
      </c>
      <c r="C701" s="20" t="s">
        <v>271</v>
      </c>
      <c r="D701" s="20" t="s">
        <v>911</v>
      </c>
      <c r="E701" s="20" t="s">
        <v>135</v>
      </c>
      <c r="F701" s="6">
        <f>F702</f>
        <v>40</v>
      </c>
      <c r="G701" s="6">
        <f>G702</f>
        <v>40</v>
      </c>
    </row>
    <row r="702" spans="1:7" ht="31.5" x14ac:dyDescent="0.25">
      <c r="A702" s="25" t="s">
        <v>349</v>
      </c>
      <c r="B702" s="20" t="s">
        <v>271</v>
      </c>
      <c r="C702" s="20" t="s">
        <v>271</v>
      </c>
      <c r="D702" s="20" t="s">
        <v>911</v>
      </c>
      <c r="E702" s="20" t="s">
        <v>216</v>
      </c>
      <c r="F702" s="6">
        <f>'пр.6.1.ведом.22-23'!G350</f>
        <v>40</v>
      </c>
      <c r="G702" s="6">
        <f>'пр.6.1.ведом.22-23'!H350</f>
        <v>40</v>
      </c>
    </row>
    <row r="703" spans="1:7" ht="31.5" x14ac:dyDescent="0.25">
      <c r="A703" s="25" t="s">
        <v>138</v>
      </c>
      <c r="B703" s="20" t="s">
        <v>271</v>
      </c>
      <c r="C703" s="20" t="s">
        <v>271</v>
      </c>
      <c r="D703" s="20" t="s">
        <v>911</v>
      </c>
      <c r="E703" s="20" t="s">
        <v>139</v>
      </c>
      <c r="F703" s="6">
        <f>F704</f>
        <v>415</v>
      </c>
      <c r="G703" s="6">
        <f>G704</f>
        <v>480</v>
      </c>
    </row>
    <row r="704" spans="1:7" ht="47.25" x14ac:dyDescent="0.25">
      <c r="A704" s="25" t="s">
        <v>140</v>
      </c>
      <c r="B704" s="20" t="s">
        <v>271</v>
      </c>
      <c r="C704" s="20" t="s">
        <v>271</v>
      </c>
      <c r="D704" s="20" t="s">
        <v>911</v>
      </c>
      <c r="E704" s="20" t="s">
        <v>141</v>
      </c>
      <c r="F704" s="6">
        <f>'пр.6.1.ведом.22-23'!G352</f>
        <v>415</v>
      </c>
      <c r="G704" s="6">
        <f>'пр.6.1.ведом.22-23'!H352</f>
        <v>480</v>
      </c>
    </row>
    <row r="705" spans="1:7" ht="47.25" x14ac:dyDescent="0.25">
      <c r="A705" s="23" t="s">
        <v>1047</v>
      </c>
      <c r="B705" s="24" t="s">
        <v>271</v>
      </c>
      <c r="C705" s="24" t="s">
        <v>271</v>
      </c>
      <c r="D705" s="24" t="s">
        <v>1043</v>
      </c>
      <c r="E705" s="24"/>
      <c r="F705" s="4">
        <f t="shared" ref="F705:G707" si="71">F706</f>
        <v>25</v>
      </c>
      <c r="G705" s="4">
        <f t="shared" si="71"/>
        <v>25</v>
      </c>
    </row>
    <row r="706" spans="1:7" ht="47.25" x14ac:dyDescent="0.25">
      <c r="A706" s="226" t="s">
        <v>1044</v>
      </c>
      <c r="B706" s="20" t="s">
        <v>271</v>
      </c>
      <c r="C706" s="20" t="s">
        <v>271</v>
      </c>
      <c r="D706" s="20" t="s">
        <v>1058</v>
      </c>
      <c r="E706" s="20"/>
      <c r="F706" s="6">
        <f t="shared" si="71"/>
        <v>25</v>
      </c>
      <c r="G706" s="6">
        <f t="shared" si="71"/>
        <v>25</v>
      </c>
    </row>
    <row r="707" spans="1:7" ht="31.5" x14ac:dyDescent="0.25">
      <c r="A707" s="25" t="s">
        <v>255</v>
      </c>
      <c r="B707" s="20" t="s">
        <v>271</v>
      </c>
      <c r="C707" s="20" t="s">
        <v>271</v>
      </c>
      <c r="D707" s="20" t="s">
        <v>1058</v>
      </c>
      <c r="E707" s="20" t="s">
        <v>256</v>
      </c>
      <c r="F707" s="6">
        <f t="shared" si="71"/>
        <v>25</v>
      </c>
      <c r="G707" s="6">
        <f t="shared" si="71"/>
        <v>25</v>
      </c>
    </row>
    <row r="708" spans="1:7" ht="37.5" customHeight="1" x14ac:dyDescent="0.25">
      <c r="A708" s="25" t="s">
        <v>1211</v>
      </c>
      <c r="B708" s="20" t="s">
        <v>271</v>
      </c>
      <c r="C708" s="20" t="s">
        <v>271</v>
      </c>
      <c r="D708" s="20" t="s">
        <v>1058</v>
      </c>
      <c r="E708" s="20" t="s">
        <v>1210</v>
      </c>
      <c r="F708" s="6">
        <f>'пр.6.1.ведом.22-23'!G356</f>
        <v>25</v>
      </c>
      <c r="G708" s="6">
        <f>'пр.6.1.ведом.22-23'!H356</f>
        <v>25</v>
      </c>
    </row>
    <row r="709" spans="1:7" ht="47.25" x14ac:dyDescent="0.25">
      <c r="A709" s="23" t="s">
        <v>1375</v>
      </c>
      <c r="B709" s="24" t="s">
        <v>271</v>
      </c>
      <c r="C709" s="24" t="s">
        <v>271</v>
      </c>
      <c r="D709" s="24" t="s">
        <v>413</v>
      </c>
      <c r="E709" s="24"/>
      <c r="F709" s="4">
        <f t="shared" ref="F709:G712" si="72">F710</f>
        <v>5745.1</v>
      </c>
      <c r="G709" s="4">
        <f t="shared" si="72"/>
        <v>5745.1</v>
      </c>
    </row>
    <row r="710" spans="1:7" ht="31.5" x14ac:dyDescent="0.25">
      <c r="A710" s="23" t="s">
        <v>953</v>
      </c>
      <c r="B710" s="24" t="s">
        <v>271</v>
      </c>
      <c r="C710" s="24" t="s">
        <v>271</v>
      </c>
      <c r="D710" s="24" t="s">
        <v>1254</v>
      </c>
      <c r="E710" s="24"/>
      <c r="F710" s="4">
        <f t="shared" si="72"/>
        <v>5745.1</v>
      </c>
      <c r="G710" s="4">
        <f t="shared" si="72"/>
        <v>5745.1</v>
      </c>
    </row>
    <row r="711" spans="1:7" ht="47.25" x14ac:dyDescent="0.25">
      <c r="A711" s="31" t="s">
        <v>1070</v>
      </c>
      <c r="B711" s="20" t="s">
        <v>271</v>
      </c>
      <c r="C711" s="20" t="s">
        <v>271</v>
      </c>
      <c r="D711" s="20" t="s">
        <v>1276</v>
      </c>
      <c r="E711" s="20"/>
      <c r="F711" s="6">
        <f t="shared" si="72"/>
        <v>5745.1</v>
      </c>
      <c r="G711" s="6">
        <f t="shared" si="72"/>
        <v>5745.1</v>
      </c>
    </row>
    <row r="712" spans="1:7" ht="47.25" x14ac:dyDescent="0.25">
      <c r="A712" s="25" t="s">
        <v>279</v>
      </c>
      <c r="B712" s="20" t="s">
        <v>271</v>
      </c>
      <c r="C712" s="20" t="s">
        <v>271</v>
      </c>
      <c r="D712" s="20" t="s">
        <v>1276</v>
      </c>
      <c r="E712" s="20" t="s">
        <v>280</v>
      </c>
      <c r="F712" s="6">
        <f t="shared" si="72"/>
        <v>5745.1</v>
      </c>
      <c r="G712" s="6">
        <f t="shared" si="72"/>
        <v>5745.1</v>
      </c>
    </row>
    <row r="713" spans="1:7" ht="15.75" x14ac:dyDescent="0.25">
      <c r="A713" s="25" t="s">
        <v>281</v>
      </c>
      <c r="B713" s="20" t="s">
        <v>271</v>
      </c>
      <c r="C713" s="20" t="s">
        <v>271</v>
      </c>
      <c r="D713" s="20" t="s">
        <v>1276</v>
      </c>
      <c r="E713" s="20" t="s">
        <v>282</v>
      </c>
      <c r="F713" s="6">
        <f>'пр.6.1.ведом.22-23'!G725</f>
        <v>5745.1</v>
      </c>
      <c r="G713" s="6">
        <f>'пр.6.1.ведом.22-23'!H725</f>
        <v>5745.1</v>
      </c>
    </row>
    <row r="714" spans="1:7" ht="15.75" x14ac:dyDescent="0.25">
      <c r="A714" s="23" t="s">
        <v>302</v>
      </c>
      <c r="B714" s="24" t="s">
        <v>271</v>
      </c>
      <c r="C714" s="24" t="s">
        <v>226</v>
      </c>
      <c r="D714" s="24"/>
      <c r="E714" s="24"/>
      <c r="F714" s="4">
        <f>F715+F725</f>
        <v>19831.8</v>
      </c>
      <c r="G714" s="4">
        <f>G715+G725</f>
        <v>19831.8</v>
      </c>
    </row>
    <row r="715" spans="1:7" ht="31.5" x14ac:dyDescent="0.25">
      <c r="A715" s="23" t="s">
        <v>927</v>
      </c>
      <c r="B715" s="24" t="s">
        <v>271</v>
      </c>
      <c r="C715" s="24" t="s">
        <v>226</v>
      </c>
      <c r="D715" s="24" t="s">
        <v>868</v>
      </c>
      <c r="E715" s="24"/>
      <c r="F715" s="4">
        <f>F716</f>
        <v>6048.7</v>
      </c>
      <c r="G715" s="4">
        <f>G716</f>
        <v>6048.7</v>
      </c>
    </row>
    <row r="716" spans="1:7" ht="15.75" x14ac:dyDescent="0.25">
      <c r="A716" s="23" t="s">
        <v>928</v>
      </c>
      <c r="B716" s="24" t="s">
        <v>271</v>
      </c>
      <c r="C716" s="24" t="s">
        <v>226</v>
      </c>
      <c r="D716" s="24" t="s">
        <v>869</v>
      </c>
      <c r="E716" s="24"/>
      <c r="F716" s="4">
        <f>F717+F722</f>
        <v>6048.7</v>
      </c>
      <c r="G716" s="4">
        <f>G717+G722</f>
        <v>6048.7</v>
      </c>
    </row>
    <row r="717" spans="1:7" ht="31.5" x14ac:dyDescent="0.25">
      <c r="A717" s="25" t="s">
        <v>907</v>
      </c>
      <c r="B717" s="20" t="s">
        <v>271</v>
      </c>
      <c r="C717" s="20" t="s">
        <v>226</v>
      </c>
      <c r="D717" s="20" t="s">
        <v>870</v>
      </c>
      <c r="E717" s="20"/>
      <c r="F717" s="6">
        <f>F718+F720</f>
        <v>5922.7</v>
      </c>
      <c r="G717" s="6">
        <f>G718+G720</f>
        <v>5922.7</v>
      </c>
    </row>
    <row r="718" spans="1:7" ht="94.5" x14ac:dyDescent="0.25">
      <c r="A718" s="25" t="s">
        <v>134</v>
      </c>
      <c r="B718" s="20" t="s">
        <v>271</v>
      </c>
      <c r="C718" s="20" t="s">
        <v>226</v>
      </c>
      <c r="D718" s="20" t="s">
        <v>870</v>
      </c>
      <c r="E718" s="20" t="s">
        <v>135</v>
      </c>
      <c r="F718" s="6">
        <f>F719</f>
        <v>5710.7</v>
      </c>
      <c r="G718" s="6">
        <f>G719</f>
        <v>5710.7</v>
      </c>
    </row>
    <row r="719" spans="1:7" ht="31.5" x14ac:dyDescent="0.25">
      <c r="A719" s="25" t="s">
        <v>136</v>
      </c>
      <c r="B719" s="20" t="s">
        <v>271</v>
      </c>
      <c r="C719" s="20" t="s">
        <v>226</v>
      </c>
      <c r="D719" s="20" t="s">
        <v>870</v>
      </c>
      <c r="E719" s="20" t="s">
        <v>137</v>
      </c>
      <c r="F719" s="6">
        <f>'пр.6.1.ведом.22-23'!G734</f>
        <v>5710.7</v>
      </c>
      <c r="G719" s="6">
        <f>'пр.6.1.ведом.22-23'!H734</f>
        <v>5710.7</v>
      </c>
    </row>
    <row r="720" spans="1:7" ht="31.5" x14ac:dyDescent="0.25">
      <c r="A720" s="25" t="s">
        <v>138</v>
      </c>
      <c r="B720" s="20" t="s">
        <v>271</v>
      </c>
      <c r="C720" s="20" t="s">
        <v>226</v>
      </c>
      <c r="D720" s="20" t="s">
        <v>870</v>
      </c>
      <c r="E720" s="20" t="s">
        <v>139</v>
      </c>
      <c r="F720" s="6">
        <f>F721</f>
        <v>212</v>
      </c>
      <c r="G720" s="6">
        <f>G721</f>
        <v>212</v>
      </c>
    </row>
    <row r="721" spans="1:7" ht="47.25" x14ac:dyDescent="0.25">
      <c r="A721" s="25" t="s">
        <v>140</v>
      </c>
      <c r="B721" s="20" t="s">
        <v>271</v>
      </c>
      <c r="C721" s="20" t="s">
        <v>226</v>
      </c>
      <c r="D721" s="20" t="s">
        <v>870</v>
      </c>
      <c r="E721" s="20" t="s">
        <v>141</v>
      </c>
      <c r="F721" s="6">
        <f>'пр.6.1.ведом.22-23'!G736</f>
        <v>212</v>
      </c>
      <c r="G721" s="6">
        <f>'пр.6.1.ведом.22-23'!H736</f>
        <v>212</v>
      </c>
    </row>
    <row r="722" spans="1:7" ht="47.25" x14ac:dyDescent="0.25">
      <c r="A722" s="25" t="s">
        <v>849</v>
      </c>
      <c r="B722" s="20" t="s">
        <v>271</v>
      </c>
      <c r="C722" s="20" t="s">
        <v>226</v>
      </c>
      <c r="D722" s="20" t="s">
        <v>872</v>
      </c>
      <c r="E722" s="20"/>
      <c r="F722" s="6">
        <f>F723</f>
        <v>126</v>
      </c>
      <c r="G722" s="6">
        <f>G723</f>
        <v>126</v>
      </c>
    </row>
    <row r="723" spans="1:7" ht="94.5" x14ac:dyDescent="0.25">
      <c r="A723" s="25" t="s">
        <v>134</v>
      </c>
      <c r="B723" s="20" t="s">
        <v>271</v>
      </c>
      <c r="C723" s="20" t="s">
        <v>226</v>
      </c>
      <c r="D723" s="20" t="s">
        <v>872</v>
      </c>
      <c r="E723" s="20" t="s">
        <v>135</v>
      </c>
      <c r="F723" s="6">
        <f>F724</f>
        <v>126</v>
      </c>
      <c r="G723" s="6">
        <f>G724</f>
        <v>126</v>
      </c>
    </row>
    <row r="724" spans="1:7" ht="31.5" x14ac:dyDescent="0.25">
      <c r="A724" s="25" t="s">
        <v>136</v>
      </c>
      <c r="B724" s="20" t="s">
        <v>271</v>
      </c>
      <c r="C724" s="20" t="s">
        <v>226</v>
      </c>
      <c r="D724" s="20" t="s">
        <v>872</v>
      </c>
      <c r="E724" s="20" t="s">
        <v>137</v>
      </c>
      <c r="F724" s="6">
        <f>'пр.6.1.ведом.22-23'!G739</f>
        <v>126</v>
      </c>
      <c r="G724" s="6">
        <f>'пр.6.1.ведом.22-23'!H739</f>
        <v>126</v>
      </c>
    </row>
    <row r="725" spans="1:7" ht="15.75" x14ac:dyDescent="0.25">
      <c r="A725" s="23" t="s">
        <v>148</v>
      </c>
      <c r="B725" s="24" t="s">
        <v>271</v>
      </c>
      <c r="C725" s="24" t="s">
        <v>226</v>
      </c>
      <c r="D725" s="24" t="s">
        <v>876</v>
      </c>
      <c r="E725" s="24"/>
      <c r="F725" s="4">
        <f>F726+F730</f>
        <v>13783.1</v>
      </c>
      <c r="G725" s="4">
        <f>G726+G730</f>
        <v>13783.1</v>
      </c>
    </row>
    <row r="726" spans="1:7" ht="31.5" x14ac:dyDescent="0.25">
      <c r="A726" s="23" t="s">
        <v>880</v>
      </c>
      <c r="B726" s="24" t="s">
        <v>271</v>
      </c>
      <c r="C726" s="24" t="s">
        <v>226</v>
      </c>
      <c r="D726" s="24" t="s">
        <v>875</v>
      </c>
      <c r="E726" s="24"/>
      <c r="F726" s="4">
        <f t="shared" ref="F726:G728" si="73">F727</f>
        <v>300</v>
      </c>
      <c r="G726" s="4">
        <f t="shared" si="73"/>
        <v>300</v>
      </c>
    </row>
    <row r="727" spans="1:7" ht="21.2" customHeight="1" x14ac:dyDescent="0.25">
      <c r="A727" s="25" t="s">
        <v>485</v>
      </c>
      <c r="B727" s="20" t="s">
        <v>271</v>
      </c>
      <c r="C727" s="20" t="s">
        <v>226</v>
      </c>
      <c r="D727" s="20" t="s">
        <v>954</v>
      </c>
      <c r="E727" s="20"/>
      <c r="F727" s="6">
        <f t="shared" si="73"/>
        <v>300</v>
      </c>
      <c r="G727" s="6">
        <f t="shared" si="73"/>
        <v>300</v>
      </c>
    </row>
    <row r="728" spans="1:7" ht="31.5" x14ac:dyDescent="0.25">
      <c r="A728" s="25" t="s">
        <v>138</v>
      </c>
      <c r="B728" s="20" t="s">
        <v>271</v>
      </c>
      <c r="C728" s="20" t="s">
        <v>226</v>
      </c>
      <c r="D728" s="20" t="s">
        <v>954</v>
      </c>
      <c r="E728" s="20" t="s">
        <v>139</v>
      </c>
      <c r="F728" s="6">
        <f t="shared" si="73"/>
        <v>300</v>
      </c>
      <c r="G728" s="6">
        <f t="shared" si="73"/>
        <v>300</v>
      </c>
    </row>
    <row r="729" spans="1:7" ht="47.25" x14ac:dyDescent="0.25">
      <c r="A729" s="25" t="s">
        <v>140</v>
      </c>
      <c r="B729" s="20" t="s">
        <v>271</v>
      </c>
      <c r="C729" s="20" t="s">
        <v>226</v>
      </c>
      <c r="D729" s="20" t="s">
        <v>954</v>
      </c>
      <c r="E729" s="20" t="s">
        <v>141</v>
      </c>
      <c r="F729" s="6">
        <f>'пр.6.1.ведом.22-23'!G744</f>
        <v>300</v>
      </c>
      <c r="G729" s="6">
        <f>'пр.6.1.ведом.22-23'!H744</f>
        <v>300</v>
      </c>
    </row>
    <row r="730" spans="1:7" ht="36" customHeight="1" x14ac:dyDescent="0.25">
      <c r="A730" s="23" t="s">
        <v>939</v>
      </c>
      <c r="B730" s="24" t="s">
        <v>271</v>
      </c>
      <c r="C730" s="24" t="s">
        <v>226</v>
      </c>
      <c r="D730" s="24" t="s">
        <v>924</v>
      </c>
      <c r="E730" s="24"/>
      <c r="F730" s="4">
        <f>F731+F738</f>
        <v>13483.1</v>
      </c>
      <c r="G730" s="4">
        <f>G731+G738</f>
        <v>13483.1</v>
      </c>
    </row>
    <row r="731" spans="1:7" ht="31.5" x14ac:dyDescent="0.25">
      <c r="A731" s="25" t="s">
        <v>913</v>
      </c>
      <c r="B731" s="20" t="s">
        <v>271</v>
      </c>
      <c r="C731" s="20" t="s">
        <v>226</v>
      </c>
      <c r="D731" s="20" t="s">
        <v>925</v>
      </c>
      <c r="E731" s="20"/>
      <c r="F731" s="6">
        <f>F732+F734+F736</f>
        <v>12977.1</v>
      </c>
      <c r="G731" s="6">
        <f>G732+G734+G736</f>
        <v>12977.1</v>
      </c>
    </row>
    <row r="732" spans="1:7" ht="94.5" x14ac:dyDescent="0.25">
      <c r="A732" s="25" t="s">
        <v>134</v>
      </c>
      <c r="B732" s="20" t="s">
        <v>271</v>
      </c>
      <c r="C732" s="20" t="s">
        <v>226</v>
      </c>
      <c r="D732" s="20" t="s">
        <v>925</v>
      </c>
      <c r="E732" s="20" t="s">
        <v>135</v>
      </c>
      <c r="F732" s="6">
        <f>F733</f>
        <v>11885.1</v>
      </c>
      <c r="G732" s="6">
        <f>G733</f>
        <v>11885.1</v>
      </c>
    </row>
    <row r="733" spans="1:7" ht="31.5" x14ac:dyDescent="0.25">
      <c r="A733" s="25" t="s">
        <v>349</v>
      </c>
      <c r="B733" s="20" t="s">
        <v>271</v>
      </c>
      <c r="C733" s="20" t="s">
        <v>226</v>
      </c>
      <c r="D733" s="20" t="s">
        <v>925</v>
      </c>
      <c r="E733" s="20" t="s">
        <v>216</v>
      </c>
      <c r="F733" s="6">
        <f>'пр.6.1.ведом.22-23'!G748</f>
        <v>11885.1</v>
      </c>
      <c r="G733" s="6">
        <f>'пр.6.1.ведом.22-23'!H748</f>
        <v>11885.1</v>
      </c>
    </row>
    <row r="734" spans="1:7" ht="31.5" x14ac:dyDescent="0.25">
      <c r="A734" s="25" t="s">
        <v>138</v>
      </c>
      <c r="B734" s="20" t="s">
        <v>271</v>
      </c>
      <c r="C734" s="20" t="s">
        <v>226</v>
      </c>
      <c r="D734" s="20" t="s">
        <v>925</v>
      </c>
      <c r="E734" s="20" t="s">
        <v>139</v>
      </c>
      <c r="F734" s="6">
        <f>F735</f>
        <v>1077</v>
      </c>
      <c r="G734" s="6">
        <f>G735</f>
        <v>1077</v>
      </c>
    </row>
    <row r="735" spans="1:7" ht="47.25" x14ac:dyDescent="0.25">
      <c r="A735" s="25" t="s">
        <v>140</v>
      </c>
      <c r="B735" s="20" t="s">
        <v>271</v>
      </c>
      <c r="C735" s="20" t="s">
        <v>226</v>
      </c>
      <c r="D735" s="20" t="s">
        <v>925</v>
      </c>
      <c r="E735" s="20" t="s">
        <v>141</v>
      </c>
      <c r="F735" s="6">
        <f>'пр.6.1.ведом.22-23'!G750</f>
        <v>1077</v>
      </c>
      <c r="G735" s="6">
        <f>'пр.6.1.ведом.22-23'!H750</f>
        <v>1077</v>
      </c>
    </row>
    <row r="736" spans="1:7" ht="15.75" x14ac:dyDescent="0.25">
      <c r="A736" s="25" t="s">
        <v>142</v>
      </c>
      <c r="B736" s="20" t="s">
        <v>271</v>
      </c>
      <c r="C736" s="20" t="s">
        <v>226</v>
      </c>
      <c r="D736" s="20" t="s">
        <v>925</v>
      </c>
      <c r="E736" s="20" t="s">
        <v>152</v>
      </c>
      <c r="F736" s="6">
        <f>F737</f>
        <v>15</v>
      </c>
      <c r="G736" s="6">
        <f>G737</f>
        <v>15</v>
      </c>
    </row>
    <row r="737" spans="1:9" ht="15.75" customHeight="1" x14ac:dyDescent="0.25">
      <c r="A737" s="25" t="s">
        <v>575</v>
      </c>
      <c r="B737" s="20" t="s">
        <v>271</v>
      </c>
      <c r="C737" s="20" t="s">
        <v>226</v>
      </c>
      <c r="D737" s="20" t="s">
        <v>925</v>
      </c>
      <c r="E737" s="20" t="s">
        <v>145</v>
      </c>
      <c r="F737" s="6">
        <f>'пр.6.1.ведом.22-23'!G752</f>
        <v>15</v>
      </c>
      <c r="G737" s="6">
        <f>'пр.6.1.ведом.22-23'!H752</f>
        <v>15</v>
      </c>
    </row>
    <row r="738" spans="1:9" ht="47.25" x14ac:dyDescent="0.25">
      <c r="A738" s="25" t="s">
        <v>849</v>
      </c>
      <c r="B738" s="20" t="s">
        <v>271</v>
      </c>
      <c r="C738" s="20" t="s">
        <v>226</v>
      </c>
      <c r="D738" s="20" t="s">
        <v>926</v>
      </c>
      <c r="E738" s="20"/>
      <c r="F738" s="6">
        <f>F739</f>
        <v>506</v>
      </c>
      <c r="G738" s="6">
        <f>G739</f>
        <v>506</v>
      </c>
    </row>
    <row r="739" spans="1:9" ht="94.5" x14ac:dyDescent="0.25">
      <c r="A739" s="25" t="s">
        <v>134</v>
      </c>
      <c r="B739" s="20" t="s">
        <v>271</v>
      </c>
      <c r="C739" s="20" t="s">
        <v>226</v>
      </c>
      <c r="D739" s="20" t="s">
        <v>926</v>
      </c>
      <c r="E739" s="20" t="s">
        <v>135</v>
      </c>
      <c r="F739" s="6">
        <f>F740</f>
        <v>506</v>
      </c>
      <c r="G739" s="6">
        <f>G740</f>
        <v>506</v>
      </c>
    </row>
    <row r="740" spans="1:9" ht="31.5" x14ac:dyDescent="0.25">
      <c r="A740" s="25" t="s">
        <v>136</v>
      </c>
      <c r="B740" s="20" t="s">
        <v>271</v>
      </c>
      <c r="C740" s="20" t="s">
        <v>226</v>
      </c>
      <c r="D740" s="20" t="s">
        <v>926</v>
      </c>
      <c r="E740" s="20" t="s">
        <v>137</v>
      </c>
      <c r="F740" s="6">
        <f>'пр.6.1.ведом.22-23'!G755</f>
        <v>506</v>
      </c>
      <c r="G740" s="6">
        <f>'пр.6.1.ведом.22-23'!H755</f>
        <v>506</v>
      </c>
    </row>
    <row r="741" spans="1:9" ht="15.75" x14ac:dyDescent="0.25">
      <c r="A741" s="41" t="s">
        <v>305</v>
      </c>
      <c r="B741" s="7" t="s">
        <v>306</v>
      </c>
      <c r="C741" s="7"/>
      <c r="D741" s="7"/>
      <c r="E741" s="7"/>
      <c r="F741" s="4">
        <f>F742+F795</f>
        <v>76411.28</v>
      </c>
      <c r="G741" s="4">
        <f>G742+G795</f>
        <v>77665.48</v>
      </c>
      <c r="H741">
        <v>72370</v>
      </c>
      <c r="I741">
        <v>73630.2</v>
      </c>
    </row>
    <row r="742" spans="1:9" ht="15.75" x14ac:dyDescent="0.25">
      <c r="A742" s="41" t="s">
        <v>307</v>
      </c>
      <c r="B742" s="7" t="s">
        <v>306</v>
      </c>
      <c r="C742" s="7" t="s">
        <v>125</v>
      </c>
      <c r="D742" s="7"/>
      <c r="E742" s="7"/>
      <c r="F742" s="4">
        <f>F743+F785+F790</f>
        <v>57844.87999999999</v>
      </c>
      <c r="G742" s="4">
        <f>G743+G785+G790</f>
        <v>59070.079999999994</v>
      </c>
      <c r="H742" s="227">
        <f>H741-F741</f>
        <v>-4041.2799999999988</v>
      </c>
      <c r="I742" s="227">
        <f>I741-G741</f>
        <v>-4035.2799999999988</v>
      </c>
    </row>
    <row r="743" spans="1:9" ht="47.25" x14ac:dyDescent="0.25">
      <c r="A743" s="23" t="s">
        <v>1368</v>
      </c>
      <c r="B743" s="24" t="s">
        <v>306</v>
      </c>
      <c r="C743" s="24" t="s">
        <v>125</v>
      </c>
      <c r="D743" s="24" t="s">
        <v>274</v>
      </c>
      <c r="E743" s="24"/>
      <c r="F743" s="4">
        <f>F744+F752+F758+F762+F769+F773+F777+F781</f>
        <v>56956.179999999993</v>
      </c>
      <c r="G743" s="4">
        <f>G744+G752+G758+G762+G769+G773+G777+G781</f>
        <v>58156.179999999993</v>
      </c>
    </row>
    <row r="744" spans="1:9" ht="47.25" x14ac:dyDescent="0.25">
      <c r="A744" s="23" t="s">
        <v>1314</v>
      </c>
      <c r="B744" s="24" t="s">
        <v>306</v>
      </c>
      <c r="C744" s="24" t="s">
        <v>125</v>
      </c>
      <c r="D744" s="24" t="s">
        <v>1218</v>
      </c>
      <c r="E744" s="24"/>
      <c r="F744" s="4">
        <f>F745</f>
        <v>51840.479999999996</v>
      </c>
      <c r="G744" s="4">
        <f>G745</f>
        <v>51840.479999999996</v>
      </c>
    </row>
    <row r="745" spans="1:9" ht="31.5" x14ac:dyDescent="0.25">
      <c r="A745" s="25" t="s">
        <v>810</v>
      </c>
      <c r="B745" s="20" t="s">
        <v>306</v>
      </c>
      <c r="C745" s="20" t="s">
        <v>125</v>
      </c>
      <c r="D745" s="20" t="s">
        <v>1219</v>
      </c>
      <c r="E745" s="20"/>
      <c r="F745" s="6">
        <f>F746+F748+F750</f>
        <v>51840.479999999996</v>
      </c>
      <c r="G745" s="6">
        <f>G746+G748+G750</f>
        <v>51840.479999999996</v>
      </c>
    </row>
    <row r="746" spans="1:9" ht="94.5" x14ac:dyDescent="0.25">
      <c r="A746" s="25" t="s">
        <v>134</v>
      </c>
      <c r="B746" s="20" t="s">
        <v>306</v>
      </c>
      <c r="C746" s="20" t="s">
        <v>125</v>
      </c>
      <c r="D746" s="20" t="s">
        <v>1219</v>
      </c>
      <c r="E746" s="20" t="s">
        <v>135</v>
      </c>
      <c r="F746" s="6">
        <f>F747</f>
        <v>43271.28</v>
      </c>
      <c r="G746" s="6">
        <f>G747</f>
        <v>43271.28</v>
      </c>
    </row>
    <row r="747" spans="1:9" ht="31.5" x14ac:dyDescent="0.25">
      <c r="A747" s="25" t="s">
        <v>215</v>
      </c>
      <c r="B747" s="20" t="s">
        <v>306</v>
      </c>
      <c r="C747" s="20" t="s">
        <v>125</v>
      </c>
      <c r="D747" s="20" t="s">
        <v>1219</v>
      </c>
      <c r="E747" s="20" t="s">
        <v>216</v>
      </c>
      <c r="F747" s="6">
        <f>'пр.6.1.ведом.22-23'!G363</f>
        <v>43271.28</v>
      </c>
      <c r="G747" s="6">
        <f>'пр.6.1.ведом.22-23'!H363</f>
        <v>43271.28</v>
      </c>
    </row>
    <row r="748" spans="1:9" ht="31.5" x14ac:dyDescent="0.25">
      <c r="A748" s="25" t="s">
        <v>138</v>
      </c>
      <c r="B748" s="20" t="s">
        <v>306</v>
      </c>
      <c r="C748" s="20" t="s">
        <v>125</v>
      </c>
      <c r="D748" s="20" t="s">
        <v>1219</v>
      </c>
      <c r="E748" s="20" t="s">
        <v>139</v>
      </c>
      <c r="F748" s="6">
        <f>F749</f>
        <v>8506.2000000000007</v>
      </c>
      <c r="G748" s="6">
        <f>G749</f>
        <v>8506.2000000000007</v>
      </c>
    </row>
    <row r="749" spans="1:9" ht="47.25" x14ac:dyDescent="0.25">
      <c r="A749" s="25" t="s">
        <v>140</v>
      </c>
      <c r="B749" s="20" t="s">
        <v>306</v>
      </c>
      <c r="C749" s="20" t="s">
        <v>125</v>
      </c>
      <c r="D749" s="20" t="s">
        <v>1219</v>
      </c>
      <c r="E749" s="20" t="s">
        <v>141</v>
      </c>
      <c r="F749" s="6">
        <f>'пр.6.1.ведом.22-23'!G365</f>
        <v>8506.2000000000007</v>
      </c>
      <c r="G749" s="6">
        <f>'пр.6.1.ведом.22-23'!H365</f>
        <v>8506.2000000000007</v>
      </c>
    </row>
    <row r="750" spans="1:9" ht="15.75" x14ac:dyDescent="0.25">
      <c r="A750" s="25" t="s">
        <v>142</v>
      </c>
      <c r="B750" s="20" t="s">
        <v>306</v>
      </c>
      <c r="C750" s="20" t="s">
        <v>125</v>
      </c>
      <c r="D750" s="20" t="s">
        <v>1219</v>
      </c>
      <c r="E750" s="20" t="s">
        <v>152</v>
      </c>
      <c r="F750" s="6">
        <f>F751</f>
        <v>63</v>
      </c>
      <c r="G750" s="6">
        <f>G751</f>
        <v>63</v>
      </c>
    </row>
    <row r="751" spans="1:9" ht="15.75" x14ac:dyDescent="0.25">
      <c r="A751" s="25" t="s">
        <v>575</v>
      </c>
      <c r="B751" s="20" t="s">
        <v>306</v>
      </c>
      <c r="C751" s="20" t="s">
        <v>125</v>
      </c>
      <c r="D751" s="20" t="s">
        <v>1219</v>
      </c>
      <c r="E751" s="20" t="s">
        <v>145</v>
      </c>
      <c r="F751" s="6">
        <f>'пр.6.1.ведом.22-23'!G367</f>
        <v>63</v>
      </c>
      <c r="G751" s="6">
        <f>'пр.6.1.ведом.22-23'!H367</f>
        <v>63</v>
      </c>
    </row>
    <row r="752" spans="1:9" ht="31.5" x14ac:dyDescent="0.25">
      <c r="A752" s="212" t="s">
        <v>1316</v>
      </c>
      <c r="B752" s="24" t="s">
        <v>306</v>
      </c>
      <c r="C752" s="24" t="s">
        <v>125</v>
      </c>
      <c r="D752" s="24" t="s">
        <v>1220</v>
      </c>
      <c r="E752" s="24"/>
      <c r="F752" s="4">
        <f>F753</f>
        <v>1380</v>
      </c>
      <c r="G752" s="4">
        <f>G753</f>
        <v>1380</v>
      </c>
    </row>
    <row r="753" spans="1:7" ht="31.5" x14ac:dyDescent="0.25">
      <c r="A753" s="31" t="s">
        <v>826</v>
      </c>
      <c r="B753" s="20" t="s">
        <v>306</v>
      </c>
      <c r="C753" s="20" t="s">
        <v>125</v>
      </c>
      <c r="D753" s="20" t="s">
        <v>1222</v>
      </c>
      <c r="E753" s="20"/>
      <c r="F753" s="6">
        <f>F756</f>
        <v>1380</v>
      </c>
      <c r="G753" s="6">
        <f>G756</f>
        <v>1380</v>
      </c>
    </row>
    <row r="754" spans="1:7" ht="94.5" hidden="1" x14ac:dyDescent="0.25">
      <c r="A754" s="25" t="s">
        <v>134</v>
      </c>
      <c r="B754" s="20" t="s">
        <v>306</v>
      </c>
      <c r="C754" s="20" t="s">
        <v>125</v>
      </c>
      <c r="D754" s="20" t="s">
        <v>1222</v>
      </c>
      <c r="E754" s="20" t="s">
        <v>135</v>
      </c>
      <c r="F754" s="6">
        <f>'Пр.3 Рд,пр, ЦС,ВР 21'!F755</f>
        <v>924.9</v>
      </c>
      <c r="G754" s="6">
        <f>'Пр.3 Рд,пр, ЦС,ВР 21'!G755</f>
        <v>48.14</v>
      </c>
    </row>
    <row r="755" spans="1:7" ht="31.5" hidden="1" x14ac:dyDescent="0.25">
      <c r="A755" s="25" t="s">
        <v>215</v>
      </c>
      <c r="B755" s="20" t="s">
        <v>306</v>
      </c>
      <c r="C755" s="20" t="s">
        <v>125</v>
      </c>
      <c r="D755" s="20" t="s">
        <v>1222</v>
      </c>
      <c r="E755" s="20" t="s">
        <v>216</v>
      </c>
      <c r="F755" s="6">
        <f>'Пр.3 Рд,пр, ЦС,ВР 21'!F756</f>
        <v>924.9</v>
      </c>
      <c r="G755" s="6">
        <f>'Пр.3 Рд,пр, ЦС,ВР 21'!G756</f>
        <v>48.14</v>
      </c>
    </row>
    <row r="756" spans="1:7" ht="31.5" x14ac:dyDescent="0.25">
      <c r="A756" s="25" t="s">
        <v>138</v>
      </c>
      <c r="B756" s="20" t="s">
        <v>306</v>
      </c>
      <c r="C756" s="20" t="s">
        <v>125</v>
      </c>
      <c r="D756" s="20" t="s">
        <v>1222</v>
      </c>
      <c r="E756" s="20" t="s">
        <v>139</v>
      </c>
      <c r="F756" s="6">
        <f>F757</f>
        <v>1380</v>
      </c>
      <c r="G756" s="6">
        <f>G757</f>
        <v>1380</v>
      </c>
    </row>
    <row r="757" spans="1:7" ht="47.25" x14ac:dyDescent="0.25">
      <c r="A757" s="25" t="s">
        <v>140</v>
      </c>
      <c r="B757" s="20" t="s">
        <v>306</v>
      </c>
      <c r="C757" s="20" t="s">
        <v>125</v>
      </c>
      <c r="D757" s="20" t="s">
        <v>1222</v>
      </c>
      <c r="E757" s="20" t="s">
        <v>141</v>
      </c>
      <c r="F757" s="6">
        <f>'пр.6.1.ведом.22-23'!G373</f>
        <v>1380</v>
      </c>
      <c r="G757" s="6">
        <f>'пр.6.1.ведом.22-23'!H373</f>
        <v>1380</v>
      </c>
    </row>
    <row r="758" spans="1:7" ht="47.25" x14ac:dyDescent="0.25">
      <c r="A758" s="23" t="s">
        <v>957</v>
      </c>
      <c r="B758" s="24" t="s">
        <v>306</v>
      </c>
      <c r="C758" s="24" t="s">
        <v>125</v>
      </c>
      <c r="D758" s="24" t="s">
        <v>1223</v>
      </c>
      <c r="E758" s="24"/>
      <c r="F758" s="4">
        <f t="shared" ref="F758:G760" si="74">F759</f>
        <v>875</v>
      </c>
      <c r="G758" s="4">
        <f t="shared" si="74"/>
        <v>875</v>
      </c>
    </row>
    <row r="759" spans="1:7" ht="47.25" x14ac:dyDescent="0.25">
      <c r="A759" s="25" t="s">
        <v>849</v>
      </c>
      <c r="B759" s="20" t="s">
        <v>306</v>
      </c>
      <c r="C759" s="20" t="s">
        <v>125</v>
      </c>
      <c r="D759" s="20" t="s">
        <v>1224</v>
      </c>
      <c r="E759" s="20"/>
      <c r="F759" s="6">
        <f t="shared" si="74"/>
        <v>875</v>
      </c>
      <c r="G759" s="6">
        <f t="shared" si="74"/>
        <v>875</v>
      </c>
    </row>
    <row r="760" spans="1:7" ht="94.5" x14ac:dyDescent="0.25">
      <c r="A760" s="25" t="s">
        <v>134</v>
      </c>
      <c r="B760" s="20" t="s">
        <v>306</v>
      </c>
      <c r="C760" s="20" t="s">
        <v>125</v>
      </c>
      <c r="D760" s="20" t="s">
        <v>1224</v>
      </c>
      <c r="E760" s="20" t="s">
        <v>135</v>
      </c>
      <c r="F760" s="6">
        <f t="shared" si="74"/>
        <v>875</v>
      </c>
      <c r="G760" s="6">
        <f t="shared" si="74"/>
        <v>875</v>
      </c>
    </row>
    <row r="761" spans="1:7" ht="33.75" customHeight="1" x14ac:dyDescent="0.25">
      <c r="A761" s="25" t="s">
        <v>136</v>
      </c>
      <c r="B761" s="20" t="s">
        <v>306</v>
      </c>
      <c r="C761" s="20" t="s">
        <v>125</v>
      </c>
      <c r="D761" s="20" t="s">
        <v>1224</v>
      </c>
      <c r="E761" s="20" t="s">
        <v>216</v>
      </c>
      <c r="F761" s="6">
        <f>'пр.6.1.ведом.22-23'!G377</f>
        <v>875</v>
      </c>
      <c r="G761" s="6">
        <f>'пр.6.1.ведом.22-23'!H377</f>
        <v>875</v>
      </c>
    </row>
    <row r="762" spans="1:7" ht="50.25" customHeight="1" x14ac:dyDescent="0.25">
      <c r="A762" s="213" t="s">
        <v>910</v>
      </c>
      <c r="B762" s="24" t="s">
        <v>306</v>
      </c>
      <c r="C762" s="24" t="s">
        <v>125</v>
      </c>
      <c r="D762" s="24" t="s">
        <v>1225</v>
      </c>
      <c r="E762" s="24"/>
      <c r="F762" s="4">
        <f>F763+F766</f>
        <v>2442</v>
      </c>
      <c r="G762" s="4">
        <f>G763+G766</f>
        <v>2442</v>
      </c>
    </row>
    <row r="763" spans="1:7" s="202" customFormat="1" ht="110.85" customHeight="1" x14ac:dyDescent="0.25">
      <c r="A763" s="31" t="s">
        <v>300</v>
      </c>
      <c r="B763" s="20" t="s">
        <v>306</v>
      </c>
      <c r="C763" s="20" t="s">
        <v>125</v>
      </c>
      <c r="D763" s="20" t="s">
        <v>1420</v>
      </c>
      <c r="E763" s="20"/>
      <c r="F763" s="6">
        <f t="shared" ref="F763:G764" si="75">F764</f>
        <v>2100.6</v>
      </c>
      <c r="G763" s="6">
        <f t="shared" si="75"/>
        <v>2100.6</v>
      </c>
    </row>
    <row r="764" spans="1:7" s="202" customFormat="1" ht="100.15" customHeight="1" x14ac:dyDescent="0.25">
      <c r="A764" s="25" t="s">
        <v>134</v>
      </c>
      <c r="B764" s="20" t="s">
        <v>306</v>
      </c>
      <c r="C764" s="20" t="s">
        <v>125</v>
      </c>
      <c r="D764" s="20" t="s">
        <v>1420</v>
      </c>
      <c r="E764" s="20" t="s">
        <v>135</v>
      </c>
      <c r="F764" s="6">
        <f t="shared" si="75"/>
        <v>2100.6</v>
      </c>
      <c r="G764" s="6">
        <f t="shared" si="75"/>
        <v>2100.6</v>
      </c>
    </row>
    <row r="765" spans="1:7" s="202" customFormat="1" ht="40.15" customHeight="1" x14ac:dyDescent="0.25">
      <c r="A765" s="25" t="s">
        <v>215</v>
      </c>
      <c r="B765" s="20" t="s">
        <v>306</v>
      </c>
      <c r="C765" s="20" t="s">
        <v>125</v>
      </c>
      <c r="D765" s="20" t="s">
        <v>1420</v>
      </c>
      <c r="E765" s="20" t="s">
        <v>216</v>
      </c>
      <c r="F765" s="6">
        <f>'пр.6.1.ведом.22-23'!G381</f>
        <v>2100.6</v>
      </c>
      <c r="G765" s="6">
        <f>'пр.6.1.ведом.22-23'!H381</f>
        <v>2100.6</v>
      </c>
    </row>
    <row r="766" spans="1:7" s="202" customFormat="1" ht="78" customHeight="1" x14ac:dyDescent="0.25">
      <c r="A766" s="25" t="s">
        <v>338</v>
      </c>
      <c r="B766" s="20" t="s">
        <v>306</v>
      </c>
      <c r="C766" s="20" t="s">
        <v>125</v>
      </c>
      <c r="D766" s="20" t="s">
        <v>1306</v>
      </c>
      <c r="E766" s="20"/>
      <c r="F766" s="26">
        <f>F767</f>
        <v>341.4</v>
      </c>
      <c r="G766" s="26">
        <f>G767</f>
        <v>341.4</v>
      </c>
    </row>
    <row r="767" spans="1:7" s="202" customFormat="1" ht="98.45" customHeight="1" x14ac:dyDescent="0.25">
      <c r="A767" s="25" t="s">
        <v>134</v>
      </c>
      <c r="B767" s="20" t="s">
        <v>306</v>
      </c>
      <c r="C767" s="20" t="s">
        <v>125</v>
      </c>
      <c r="D767" s="20" t="s">
        <v>1306</v>
      </c>
      <c r="E767" s="20" t="s">
        <v>135</v>
      </c>
      <c r="F767" s="26">
        <f>F768</f>
        <v>341.4</v>
      </c>
      <c r="G767" s="26">
        <f>G768</f>
        <v>341.4</v>
      </c>
    </row>
    <row r="768" spans="1:7" s="202" customFormat="1" ht="50.25" customHeight="1" x14ac:dyDescent="0.25">
      <c r="A768" s="25" t="s">
        <v>215</v>
      </c>
      <c r="B768" s="20" t="s">
        <v>306</v>
      </c>
      <c r="C768" s="20" t="s">
        <v>125</v>
      </c>
      <c r="D768" s="20" t="s">
        <v>1306</v>
      </c>
      <c r="E768" s="20" t="s">
        <v>216</v>
      </c>
      <c r="F768" s="26">
        <f>'пр.6.1.ведом.22-23'!G384</f>
        <v>341.4</v>
      </c>
      <c r="G768" s="26">
        <f>'пр.6.1.ведом.22-23'!H384</f>
        <v>341.4</v>
      </c>
    </row>
    <row r="769" spans="1:7" s="202" customFormat="1" ht="31.5" x14ac:dyDescent="0.25">
      <c r="A769" s="23" t="s">
        <v>912</v>
      </c>
      <c r="B769" s="24" t="s">
        <v>306</v>
      </c>
      <c r="C769" s="24" t="s">
        <v>125</v>
      </c>
      <c r="D769" s="24" t="s">
        <v>1230</v>
      </c>
      <c r="E769" s="24"/>
      <c r="F769" s="21">
        <f t="shared" ref="F769:G771" si="76">F770</f>
        <v>50</v>
      </c>
      <c r="G769" s="21">
        <f t="shared" si="76"/>
        <v>50</v>
      </c>
    </row>
    <row r="770" spans="1:7" s="202" customFormat="1" ht="31.5" x14ac:dyDescent="0.25">
      <c r="A770" s="25" t="s">
        <v>831</v>
      </c>
      <c r="B770" s="20" t="s">
        <v>306</v>
      </c>
      <c r="C770" s="20" t="s">
        <v>125</v>
      </c>
      <c r="D770" s="20" t="s">
        <v>1231</v>
      </c>
      <c r="E770" s="20"/>
      <c r="F770" s="26">
        <f t="shared" si="76"/>
        <v>50</v>
      </c>
      <c r="G770" s="26">
        <f t="shared" si="76"/>
        <v>50</v>
      </c>
    </row>
    <row r="771" spans="1:7" s="202" customFormat="1" ht="31.5" x14ac:dyDescent="0.25">
      <c r="A771" s="25" t="s">
        <v>138</v>
      </c>
      <c r="B771" s="20" t="s">
        <v>306</v>
      </c>
      <c r="C771" s="20" t="s">
        <v>125</v>
      </c>
      <c r="D771" s="20" t="s">
        <v>1231</v>
      </c>
      <c r="E771" s="20" t="s">
        <v>139</v>
      </c>
      <c r="F771" s="26">
        <f t="shared" si="76"/>
        <v>50</v>
      </c>
      <c r="G771" s="26">
        <f t="shared" si="76"/>
        <v>50</v>
      </c>
    </row>
    <row r="772" spans="1:7" s="202" customFormat="1" ht="47.25" x14ac:dyDescent="0.25">
      <c r="A772" s="25" t="s">
        <v>140</v>
      </c>
      <c r="B772" s="20" t="s">
        <v>306</v>
      </c>
      <c r="C772" s="20" t="s">
        <v>125</v>
      </c>
      <c r="D772" s="20" t="s">
        <v>1231</v>
      </c>
      <c r="E772" s="20" t="s">
        <v>141</v>
      </c>
      <c r="F772" s="26">
        <f>'пр.6.1.ведом.22-23'!G388</f>
        <v>50</v>
      </c>
      <c r="G772" s="26">
        <f>'пр.6.1.ведом.22-23'!H388</f>
        <v>50</v>
      </c>
    </row>
    <row r="773" spans="1:7" s="202" customFormat="1" ht="31.5" x14ac:dyDescent="0.25">
      <c r="A773" s="23" t="s">
        <v>1020</v>
      </c>
      <c r="B773" s="24" t="s">
        <v>306</v>
      </c>
      <c r="C773" s="24" t="s">
        <v>125</v>
      </c>
      <c r="D773" s="24" t="s">
        <v>1232</v>
      </c>
      <c r="E773" s="24"/>
      <c r="F773" s="21">
        <f t="shared" ref="F773:G775" si="77">F774</f>
        <v>68.7</v>
      </c>
      <c r="G773" s="21">
        <f t="shared" si="77"/>
        <v>68.7</v>
      </c>
    </row>
    <row r="774" spans="1:7" s="202" customFormat="1" ht="47.25" x14ac:dyDescent="0.25">
      <c r="A774" s="25" t="s">
        <v>1529</v>
      </c>
      <c r="B774" s="20" t="s">
        <v>306</v>
      </c>
      <c r="C774" s="20" t="s">
        <v>125</v>
      </c>
      <c r="D774" s="20" t="s">
        <v>1233</v>
      </c>
      <c r="E774" s="20"/>
      <c r="F774" s="26">
        <f t="shared" si="77"/>
        <v>68.7</v>
      </c>
      <c r="G774" s="26">
        <f t="shared" si="77"/>
        <v>68.7</v>
      </c>
    </row>
    <row r="775" spans="1:7" s="202" customFormat="1" ht="31.5" x14ac:dyDescent="0.25">
      <c r="A775" s="25" t="s">
        <v>138</v>
      </c>
      <c r="B775" s="20" t="s">
        <v>306</v>
      </c>
      <c r="C775" s="20" t="s">
        <v>125</v>
      </c>
      <c r="D775" s="20" t="s">
        <v>1233</v>
      </c>
      <c r="E775" s="20" t="s">
        <v>139</v>
      </c>
      <c r="F775" s="26">
        <f t="shared" si="77"/>
        <v>68.7</v>
      </c>
      <c r="G775" s="26">
        <f t="shared" si="77"/>
        <v>68.7</v>
      </c>
    </row>
    <row r="776" spans="1:7" s="202" customFormat="1" ht="47.25" x14ac:dyDescent="0.25">
      <c r="A776" s="25" t="s">
        <v>140</v>
      </c>
      <c r="B776" s="20" t="s">
        <v>306</v>
      </c>
      <c r="C776" s="20" t="s">
        <v>125</v>
      </c>
      <c r="D776" s="20" t="s">
        <v>1233</v>
      </c>
      <c r="E776" s="20" t="s">
        <v>141</v>
      </c>
      <c r="F776" s="26">
        <f>'пр.6.1.ведом.22-23'!G392</f>
        <v>68.7</v>
      </c>
      <c r="G776" s="26">
        <f>'пр.6.1.ведом.22-23'!H392</f>
        <v>68.7</v>
      </c>
    </row>
    <row r="777" spans="1:7" s="202" customFormat="1" ht="31.5" x14ac:dyDescent="0.25">
      <c r="A777" s="206" t="s">
        <v>1193</v>
      </c>
      <c r="B777" s="24" t="s">
        <v>306</v>
      </c>
      <c r="C777" s="24" t="s">
        <v>125</v>
      </c>
      <c r="D777" s="24" t="s">
        <v>1326</v>
      </c>
      <c r="E777" s="24"/>
      <c r="F777" s="21">
        <f t="shared" ref="F777:G777" si="78">F778</f>
        <v>300</v>
      </c>
      <c r="G777" s="21">
        <f t="shared" si="78"/>
        <v>1500</v>
      </c>
    </row>
    <row r="778" spans="1:7" s="202" customFormat="1" ht="63" x14ac:dyDescent="0.25">
      <c r="A778" s="98" t="s">
        <v>1181</v>
      </c>
      <c r="B778" s="20" t="s">
        <v>306</v>
      </c>
      <c r="C778" s="20" t="s">
        <v>125</v>
      </c>
      <c r="D778" s="20" t="s">
        <v>1229</v>
      </c>
      <c r="E778" s="20"/>
      <c r="F778" s="26">
        <f>F779</f>
        <v>300</v>
      </c>
      <c r="G778" s="26">
        <f>G779</f>
        <v>1500</v>
      </c>
    </row>
    <row r="779" spans="1:7" s="202" customFormat="1" ht="31.5" x14ac:dyDescent="0.25">
      <c r="A779" s="25" t="s">
        <v>138</v>
      </c>
      <c r="B779" s="20" t="s">
        <v>306</v>
      </c>
      <c r="C779" s="20" t="s">
        <v>125</v>
      </c>
      <c r="D779" s="20" t="s">
        <v>1229</v>
      </c>
      <c r="E779" s="20" t="s">
        <v>139</v>
      </c>
      <c r="F779" s="26">
        <f>F780</f>
        <v>300</v>
      </c>
      <c r="G779" s="26">
        <f>G780</f>
        <v>1500</v>
      </c>
    </row>
    <row r="780" spans="1:7" s="202" customFormat="1" ht="47.25" x14ac:dyDescent="0.25">
      <c r="A780" s="25" t="s">
        <v>140</v>
      </c>
      <c r="B780" s="20" t="s">
        <v>306</v>
      </c>
      <c r="C780" s="20" t="s">
        <v>125</v>
      </c>
      <c r="D780" s="20" t="s">
        <v>1229</v>
      </c>
      <c r="E780" s="20" t="s">
        <v>141</v>
      </c>
      <c r="F780" s="26">
        <f>'пр.6.1.ведом.22-23'!G396</f>
        <v>300</v>
      </c>
      <c r="G780" s="26">
        <f>'пр.6.1.ведом.22-23'!H396</f>
        <v>1500</v>
      </c>
    </row>
    <row r="781" spans="1:7" s="202" customFormat="1" ht="31.5" hidden="1" x14ac:dyDescent="0.25">
      <c r="A781" s="332" t="s">
        <v>1348</v>
      </c>
      <c r="B781" s="24" t="s">
        <v>306</v>
      </c>
      <c r="C781" s="24" t="s">
        <v>125</v>
      </c>
      <c r="D781" s="24"/>
      <c r="E781" s="24"/>
      <c r="F781" s="21">
        <f t="shared" ref="F781:G783" si="79">F782</f>
        <v>0</v>
      </c>
      <c r="G781" s="21">
        <f t="shared" si="79"/>
        <v>0</v>
      </c>
    </row>
    <row r="782" spans="1:7" s="202" customFormat="1" ht="15.75" hidden="1" x14ac:dyDescent="0.25">
      <c r="A782" s="25"/>
      <c r="B782" s="20" t="s">
        <v>306</v>
      </c>
      <c r="C782" s="20" t="s">
        <v>125</v>
      </c>
      <c r="D782" s="20"/>
      <c r="E782" s="20"/>
      <c r="F782" s="26">
        <f t="shared" si="79"/>
        <v>0</v>
      </c>
      <c r="G782" s="26">
        <f t="shared" si="79"/>
        <v>0</v>
      </c>
    </row>
    <row r="783" spans="1:7" s="202" customFormat="1" ht="15.75" hidden="1" x14ac:dyDescent="0.25">
      <c r="A783" s="25"/>
      <c r="B783" s="20" t="s">
        <v>306</v>
      </c>
      <c r="C783" s="20" t="s">
        <v>125</v>
      </c>
      <c r="D783" s="20"/>
      <c r="E783" s="20" t="s">
        <v>139</v>
      </c>
      <c r="F783" s="26">
        <f t="shared" si="79"/>
        <v>0</v>
      </c>
      <c r="G783" s="26">
        <f t="shared" si="79"/>
        <v>0</v>
      </c>
    </row>
    <row r="784" spans="1:7" s="202" customFormat="1" ht="15.75" hidden="1" x14ac:dyDescent="0.25">
      <c r="A784" s="25"/>
      <c r="B784" s="20" t="s">
        <v>306</v>
      </c>
      <c r="C784" s="20" t="s">
        <v>125</v>
      </c>
      <c r="D784" s="20"/>
      <c r="E784" s="20" t="s">
        <v>141</v>
      </c>
      <c r="F784" s="26">
        <f>'пр.6.1.ведом.22-23'!G400</f>
        <v>0</v>
      </c>
      <c r="G784" s="26">
        <f>'пр.6.1.ведом.22-23'!H400</f>
        <v>0</v>
      </c>
    </row>
    <row r="785" spans="1:7" ht="63" x14ac:dyDescent="0.25">
      <c r="A785" s="34" t="s">
        <v>1374</v>
      </c>
      <c r="B785" s="24" t="s">
        <v>306</v>
      </c>
      <c r="C785" s="24" t="s">
        <v>125</v>
      </c>
      <c r="D785" s="24" t="s">
        <v>331</v>
      </c>
      <c r="E785" s="24"/>
      <c r="F785" s="368">
        <f t="shared" ref="F785:G788" si="80">F786</f>
        <v>10</v>
      </c>
      <c r="G785" s="368">
        <f t="shared" si="80"/>
        <v>0</v>
      </c>
    </row>
    <row r="786" spans="1:7" ht="63" x14ac:dyDescent="0.25">
      <c r="A786" s="34" t="s">
        <v>1035</v>
      </c>
      <c r="B786" s="24" t="s">
        <v>306</v>
      </c>
      <c r="C786" s="24" t="s">
        <v>125</v>
      </c>
      <c r="D786" s="24" t="s">
        <v>944</v>
      </c>
      <c r="E786" s="24"/>
      <c r="F786" s="4">
        <f t="shared" si="80"/>
        <v>10</v>
      </c>
      <c r="G786" s="4">
        <f t="shared" si="80"/>
        <v>0</v>
      </c>
    </row>
    <row r="787" spans="1:7" ht="47.25" x14ac:dyDescent="0.25">
      <c r="A787" s="31" t="s">
        <v>1090</v>
      </c>
      <c r="B787" s="20" t="s">
        <v>306</v>
      </c>
      <c r="C787" s="20" t="s">
        <v>125</v>
      </c>
      <c r="D787" s="20" t="s">
        <v>1036</v>
      </c>
      <c r="E787" s="20"/>
      <c r="F787" s="6">
        <f t="shared" si="80"/>
        <v>10</v>
      </c>
      <c r="G787" s="6">
        <f t="shared" si="80"/>
        <v>0</v>
      </c>
    </row>
    <row r="788" spans="1:7" ht="31.5" x14ac:dyDescent="0.25">
      <c r="A788" s="25" t="s">
        <v>138</v>
      </c>
      <c r="B788" s="20" t="s">
        <v>306</v>
      </c>
      <c r="C788" s="20" t="s">
        <v>125</v>
      </c>
      <c r="D788" s="20" t="s">
        <v>1036</v>
      </c>
      <c r="E788" s="20" t="s">
        <v>139</v>
      </c>
      <c r="F788" s="6">
        <f t="shared" si="80"/>
        <v>10</v>
      </c>
      <c r="G788" s="6">
        <f t="shared" si="80"/>
        <v>0</v>
      </c>
    </row>
    <row r="789" spans="1:7" ht="47.25" x14ac:dyDescent="0.25">
      <c r="A789" s="25" t="s">
        <v>140</v>
      </c>
      <c r="B789" s="20" t="s">
        <v>306</v>
      </c>
      <c r="C789" s="20" t="s">
        <v>125</v>
      </c>
      <c r="D789" s="20" t="s">
        <v>1036</v>
      </c>
      <c r="E789" s="20" t="s">
        <v>141</v>
      </c>
      <c r="F789" s="6">
        <f>'пр.6.1.ведом.22-23'!G405</f>
        <v>10</v>
      </c>
      <c r="G789" s="6">
        <f>'пр.6.1.ведом.22-23'!H405</f>
        <v>0</v>
      </c>
    </row>
    <row r="790" spans="1:7" ht="63" x14ac:dyDescent="0.25">
      <c r="A790" s="41" t="s">
        <v>1369</v>
      </c>
      <c r="B790" s="24" t="s">
        <v>306</v>
      </c>
      <c r="C790" s="24" t="s">
        <v>125</v>
      </c>
      <c r="D790" s="24" t="s">
        <v>715</v>
      </c>
      <c r="E790" s="217"/>
      <c r="F790" s="4">
        <f t="shared" ref="F790:G790" si="81">F791</f>
        <v>878.7</v>
      </c>
      <c r="G790" s="4">
        <f t="shared" si="81"/>
        <v>913.9</v>
      </c>
    </row>
    <row r="791" spans="1:7" ht="63" x14ac:dyDescent="0.25">
      <c r="A791" s="41" t="s">
        <v>900</v>
      </c>
      <c r="B791" s="24" t="s">
        <v>306</v>
      </c>
      <c r="C791" s="24" t="s">
        <v>125</v>
      </c>
      <c r="D791" s="24" t="s">
        <v>898</v>
      </c>
      <c r="E791" s="217"/>
      <c r="F791" s="4">
        <f t="shared" ref="F791:G793" si="82">F792</f>
        <v>878.7</v>
      </c>
      <c r="G791" s="4">
        <f t="shared" si="82"/>
        <v>913.9</v>
      </c>
    </row>
    <row r="792" spans="1:7" ht="47.25" x14ac:dyDescent="0.25">
      <c r="A792" s="98" t="s">
        <v>1032</v>
      </c>
      <c r="B792" s="20" t="s">
        <v>306</v>
      </c>
      <c r="C792" s="20" t="s">
        <v>125</v>
      </c>
      <c r="D792" s="20" t="s">
        <v>899</v>
      </c>
      <c r="E792" s="32"/>
      <c r="F792" s="6">
        <f t="shared" si="82"/>
        <v>878.7</v>
      </c>
      <c r="G792" s="6">
        <f t="shared" si="82"/>
        <v>913.9</v>
      </c>
    </row>
    <row r="793" spans="1:7" ht="31.5" x14ac:dyDescent="0.25">
      <c r="A793" s="25" t="s">
        <v>138</v>
      </c>
      <c r="B793" s="20" t="s">
        <v>306</v>
      </c>
      <c r="C793" s="20" t="s">
        <v>125</v>
      </c>
      <c r="D793" s="20" t="s">
        <v>899</v>
      </c>
      <c r="E793" s="32" t="s">
        <v>139</v>
      </c>
      <c r="F793" s="6">
        <f t="shared" si="82"/>
        <v>878.7</v>
      </c>
      <c r="G793" s="6">
        <f t="shared" si="82"/>
        <v>913.9</v>
      </c>
    </row>
    <row r="794" spans="1:7" ht="47.25" x14ac:dyDescent="0.25">
      <c r="A794" s="25" t="s">
        <v>140</v>
      </c>
      <c r="B794" s="20" t="s">
        <v>306</v>
      </c>
      <c r="C794" s="20" t="s">
        <v>125</v>
      </c>
      <c r="D794" s="20" t="s">
        <v>899</v>
      </c>
      <c r="E794" s="32" t="s">
        <v>141</v>
      </c>
      <c r="F794" s="6">
        <f>'пр.6.1.ведом.22-23'!G410</f>
        <v>878.7</v>
      </c>
      <c r="G794" s="6">
        <f>'пр.6.1.ведом.22-23'!H410</f>
        <v>913.9</v>
      </c>
    </row>
    <row r="795" spans="1:7" ht="31.5" x14ac:dyDescent="0.25">
      <c r="A795" s="23" t="s">
        <v>340</v>
      </c>
      <c r="B795" s="24" t="s">
        <v>306</v>
      </c>
      <c r="C795" s="24" t="s">
        <v>157</v>
      </c>
      <c r="D795" s="24"/>
      <c r="E795" s="32"/>
      <c r="F795" s="4">
        <f>F796+F806+F818+F824</f>
        <v>18566.400000000001</v>
      </c>
      <c r="G795" s="4">
        <f>G796+G806+G818+G824</f>
        <v>18595.400000000001</v>
      </c>
    </row>
    <row r="796" spans="1:7" ht="31.5" x14ac:dyDescent="0.25">
      <c r="A796" s="23" t="s">
        <v>927</v>
      </c>
      <c r="B796" s="24" t="s">
        <v>306</v>
      </c>
      <c r="C796" s="24" t="s">
        <v>157</v>
      </c>
      <c r="D796" s="24" t="s">
        <v>868</v>
      </c>
      <c r="E796" s="32"/>
      <c r="F796" s="4">
        <f>F797</f>
        <v>7291.6</v>
      </c>
      <c r="G796" s="4">
        <f>G797</f>
        <v>7291.6</v>
      </c>
    </row>
    <row r="797" spans="1:7" ht="15.75" x14ac:dyDescent="0.25">
      <c r="A797" s="23" t="s">
        <v>928</v>
      </c>
      <c r="B797" s="24" t="s">
        <v>306</v>
      </c>
      <c r="C797" s="24" t="s">
        <v>157</v>
      </c>
      <c r="D797" s="24" t="s">
        <v>869</v>
      </c>
      <c r="E797" s="32"/>
      <c r="F797" s="4">
        <f>F798+F803</f>
        <v>7291.6</v>
      </c>
      <c r="G797" s="4">
        <f>G798+G803</f>
        <v>7291.6</v>
      </c>
    </row>
    <row r="798" spans="1:7" ht="31.5" x14ac:dyDescent="0.25">
      <c r="A798" s="25" t="s">
        <v>907</v>
      </c>
      <c r="B798" s="20" t="s">
        <v>306</v>
      </c>
      <c r="C798" s="20" t="s">
        <v>157</v>
      </c>
      <c r="D798" s="20" t="s">
        <v>870</v>
      </c>
      <c r="E798" s="32"/>
      <c r="F798" s="6">
        <f>F799</f>
        <v>7015.6</v>
      </c>
      <c r="G798" s="6">
        <f>G799</f>
        <v>7015.6</v>
      </c>
    </row>
    <row r="799" spans="1:7" ht="94.5" x14ac:dyDescent="0.25">
      <c r="A799" s="25" t="s">
        <v>134</v>
      </c>
      <c r="B799" s="20" t="s">
        <v>306</v>
      </c>
      <c r="C799" s="20" t="s">
        <v>157</v>
      </c>
      <c r="D799" s="20" t="s">
        <v>870</v>
      </c>
      <c r="E799" s="32" t="s">
        <v>135</v>
      </c>
      <c r="F799" s="6">
        <f>F800</f>
        <v>7015.6</v>
      </c>
      <c r="G799" s="6">
        <f>G800</f>
        <v>7015.6</v>
      </c>
    </row>
    <row r="800" spans="1:7" ht="31.5" x14ac:dyDescent="0.25">
      <c r="A800" s="25" t="s">
        <v>136</v>
      </c>
      <c r="B800" s="20" t="s">
        <v>306</v>
      </c>
      <c r="C800" s="20" t="s">
        <v>157</v>
      </c>
      <c r="D800" s="20" t="s">
        <v>870</v>
      </c>
      <c r="E800" s="40" t="s">
        <v>137</v>
      </c>
      <c r="F800" s="6">
        <f>'пр.6.1.ведом.22-23'!G416</f>
        <v>7015.6</v>
      </c>
      <c r="G800" s="6">
        <f>'пр.6.1.ведом.22-23'!H416</f>
        <v>7015.6</v>
      </c>
    </row>
    <row r="801" spans="1:7" ht="31.5" hidden="1" x14ac:dyDescent="0.25">
      <c r="A801" s="25" t="s">
        <v>138</v>
      </c>
      <c r="B801" s="20" t="s">
        <v>306</v>
      </c>
      <c r="C801" s="20" t="s">
        <v>157</v>
      </c>
      <c r="D801" s="20" t="s">
        <v>870</v>
      </c>
      <c r="E801" s="40" t="s">
        <v>139</v>
      </c>
      <c r="F801" s="6">
        <f>'Пр.3 Рд,пр, ЦС,ВР 21'!F802</f>
        <v>0</v>
      </c>
      <c r="G801" s="6">
        <f>'Пр.3 Рд,пр, ЦС,ВР 21'!G802</f>
        <v>0</v>
      </c>
    </row>
    <row r="802" spans="1:7" ht="47.25" hidden="1" x14ac:dyDescent="0.25">
      <c r="A802" s="25" t="s">
        <v>140</v>
      </c>
      <c r="B802" s="20" t="s">
        <v>306</v>
      </c>
      <c r="C802" s="20" t="s">
        <v>157</v>
      </c>
      <c r="D802" s="20" t="s">
        <v>870</v>
      </c>
      <c r="E802" s="40" t="s">
        <v>141</v>
      </c>
      <c r="F802" s="6">
        <f>'Пр.3 Рд,пр, ЦС,ВР 21'!F803</f>
        <v>0</v>
      </c>
      <c r="G802" s="6">
        <f>'Пр.3 Рд,пр, ЦС,ВР 21'!G803</f>
        <v>0</v>
      </c>
    </row>
    <row r="803" spans="1:7" ht="47.25" x14ac:dyDescent="0.25">
      <c r="A803" s="25" t="s">
        <v>849</v>
      </c>
      <c r="B803" s="20" t="s">
        <v>306</v>
      </c>
      <c r="C803" s="20" t="s">
        <v>157</v>
      </c>
      <c r="D803" s="20" t="s">
        <v>872</v>
      </c>
      <c r="E803" s="40"/>
      <c r="F803" s="6">
        <f>F804</f>
        <v>276</v>
      </c>
      <c r="G803" s="6">
        <f>G804</f>
        <v>276</v>
      </c>
    </row>
    <row r="804" spans="1:7" ht="94.5" x14ac:dyDescent="0.25">
      <c r="A804" s="25" t="s">
        <v>134</v>
      </c>
      <c r="B804" s="20" t="s">
        <v>306</v>
      </c>
      <c r="C804" s="20" t="s">
        <v>157</v>
      </c>
      <c r="D804" s="20" t="s">
        <v>872</v>
      </c>
      <c r="E804" s="40" t="s">
        <v>135</v>
      </c>
      <c r="F804" s="6">
        <f>F805</f>
        <v>276</v>
      </c>
      <c r="G804" s="6">
        <f>G805</f>
        <v>276</v>
      </c>
    </row>
    <row r="805" spans="1:7" ht="31.5" x14ac:dyDescent="0.25">
      <c r="A805" s="25" t="s">
        <v>136</v>
      </c>
      <c r="B805" s="20" t="s">
        <v>306</v>
      </c>
      <c r="C805" s="20" t="s">
        <v>157</v>
      </c>
      <c r="D805" s="20" t="s">
        <v>872</v>
      </c>
      <c r="E805" s="40" t="s">
        <v>137</v>
      </c>
      <c r="F805" s="6">
        <f>'пр.6.1.ведом.22-23'!G421</f>
        <v>276</v>
      </c>
      <c r="G805" s="6">
        <f>'пр.6.1.ведом.22-23'!H421</f>
        <v>276</v>
      </c>
    </row>
    <row r="806" spans="1:7" ht="15.75" x14ac:dyDescent="0.25">
      <c r="A806" s="23" t="s">
        <v>936</v>
      </c>
      <c r="B806" s="24" t="s">
        <v>306</v>
      </c>
      <c r="C806" s="24" t="s">
        <v>157</v>
      </c>
      <c r="D806" s="24" t="s">
        <v>876</v>
      </c>
      <c r="E806" s="40"/>
      <c r="F806" s="4">
        <f t="shared" ref="F806:G806" si="83">F807</f>
        <v>11014.8</v>
      </c>
      <c r="G806" s="4">
        <f t="shared" si="83"/>
        <v>11014.8</v>
      </c>
    </row>
    <row r="807" spans="1:7" ht="36.75" customHeight="1" x14ac:dyDescent="0.25">
      <c r="A807" s="23" t="s">
        <v>939</v>
      </c>
      <c r="B807" s="24" t="s">
        <v>306</v>
      </c>
      <c r="C807" s="24" t="s">
        <v>157</v>
      </c>
      <c r="D807" s="24" t="s">
        <v>924</v>
      </c>
      <c r="E807" s="40"/>
      <c r="F807" s="4">
        <f>F808+F815</f>
        <v>11014.8</v>
      </c>
      <c r="G807" s="4">
        <f>G808+G815</f>
        <v>11014.8</v>
      </c>
    </row>
    <row r="808" spans="1:7" ht="31.5" x14ac:dyDescent="0.25">
      <c r="A808" s="25" t="s">
        <v>913</v>
      </c>
      <c r="B808" s="20" t="s">
        <v>306</v>
      </c>
      <c r="C808" s="20" t="s">
        <v>157</v>
      </c>
      <c r="D808" s="20" t="s">
        <v>925</v>
      </c>
      <c r="E808" s="40"/>
      <c r="F808" s="6">
        <f>F809+F811+F813</f>
        <v>10804.8</v>
      </c>
      <c r="G808" s="6">
        <f>G809+G811+G813</f>
        <v>10804.8</v>
      </c>
    </row>
    <row r="809" spans="1:7" ht="94.5" x14ac:dyDescent="0.25">
      <c r="A809" s="25" t="s">
        <v>134</v>
      </c>
      <c r="B809" s="20" t="s">
        <v>306</v>
      </c>
      <c r="C809" s="20" t="s">
        <v>157</v>
      </c>
      <c r="D809" s="20" t="s">
        <v>925</v>
      </c>
      <c r="E809" s="40" t="s">
        <v>135</v>
      </c>
      <c r="F809" s="6">
        <f>F810</f>
        <v>8853.7999999999993</v>
      </c>
      <c r="G809" s="6">
        <f>G810</f>
        <v>8853.7999999999993</v>
      </c>
    </row>
    <row r="810" spans="1:7" ht="31.5" x14ac:dyDescent="0.25">
      <c r="A810" s="25" t="s">
        <v>349</v>
      </c>
      <c r="B810" s="20" t="s">
        <v>306</v>
      </c>
      <c r="C810" s="20" t="s">
        <v>157</v>
      </c>
      <c r="D810" s="20" t="s">
        <v>925</v>
      </c>
      <c r="E810" s="40" t="s">
        <v>216</v>
      </c>
      <c r="F810" s="6">
        <f>'пр.6.1.ведом.22-23'!G426</f>
        <v>8853.7999999999993</v>
      </c>
      <c r="G810" s="6">
        <f>'пр.6.1.ведом.22-23'!H426</f>
        <v>8853.7999999999993</v>
      </c>
    </row>
    <row r="811" spans="1:7" ht="31.5" x14ac:dyDescent="0.25">
      <c r="A811" s="25" t="s">
        <v>138</v>
      </c>
      <c r="B811" s="20" t="s">
        <v>306</v>
      </c>
      <c r="C811" s="20" t="s">
        <v>157</v>
      </c>
      <c r="D811" s="20" t="s">
        <v>925</v>
      </c>
      <c r="E811" s="40" t="s">
        <v>139</v>
      </c>
      <c r="F811" s="6">
        <f>F812</f>
        <v>1937</v>
      </c>
      <c r="G811" s="6">
        <f>G812</f>
        <v>1937</v>
      </c>
    </row>
    <row r="812" spans="1:7" ht="47.25" x14ac:dyDescent="0.25">
      <c r="A812" s="25" t="s">
        <v>140</v>
      </c>
      <c r="B812" s="20" t="s">
        <v>306</v>
      </c>
      <c r="C812" s="20" t="s">
        <v>157</v>
      </c>
      <c r="D812" s="20" t="s">
        <v>925</v>
      </c>
      <c r="E812" s="40" t="s">
        <v>141</v>
      </c>
      <c r="F812" s="6">
        <f>'пр.6.1.ведом.22-23'!G428</f>
        <v>1937</v>
      </c>
      <c r="G812" s="6">
        <f>'пр.6.1.ведом.22-23'!H428</f>
        <v>1937</v>
      </c>
    </row>
    <row r="813" spans="1:7" ht="15.75" x14ac:dyDescent="0.25">
      <c r="A813" s="25" t="s">
        <v>142</v>
      </c>
      <c r="B813" s="20" t="s">
        <v>306</v>
      </c>
      <c r="C813" s="20" t="s">
        <v>157</v>
      </c>
      <c r="D813" s="20" t="s">
        <v>925</v>
      </c>
      <c r="E813" s="40" t="s">
        <v>152</v>
      </c>
      <c r="F813" s="6">
        <f>F814</f>
        <v>14</v>
      </c>
      <c r="G813" s="6">
        <f>G814</f>
        <v>14</v>
      </c>
    </row>
    <row r="814" spans="1:7" ht="15.75" x14ac:dyDescent="0.25">
      <c r="A814" s="25" t="s">
        <v>575</v>
      </c>
      <c r="B814" s="20" t="s">
        <v>306</v>
      </c>
      <c r="C814" s="20" t="s">
        <v>157</v>
      </c>
      <c r="D814" s="20" t="s">
        <v>925</v>
      </c>
      <c r="E814" s="40" t="s">
        <v>145</v>
      </c>
      <c r="F814" s="6">
        <f>'пр.6.1.ведом.22-23'!G430</f>
        <v>14</v>
      </c>
      <c r="G814" s="6">
        <f>'пр.6.1.ведом.22-23'!H430</f>
        <v>14</v>
      </c>
    </row>
    <row r="815" spans="1:7" ht="47.25" x14ac:dyDescent="0.25">
      <c r="A815" s="25" t="s">
        <v>849</v>
      </c>
      <c r="B815" s="20" t="s">
        <v>306</v>
      </c>
      <c r="C815" s="20" t="s">
        <v>157</v>
      </c>
      <c r="D815" s="20" t="s">
        <v>926</v>
      </c>
      <c r="E815" s="40"/>
      <c r="F815" s="6">
        <f>F816</f>
        <v>210</v>
      </c>
      <c r="G815" s="6">
        <f>G816</f>
        <v>210</v>
      </c>
    </row>
    <row r="816" spans="1:7" ht="94.5" x14ac:dyDescent="0.25">
      <c r="A816" s="25" t="s">
        <v>134</v>
      </c>
      <c r="B816" s="20" t="s">
        <v>306</v>
      </c>
      <c r="C816" s="20" t="s">
        <v>157</v>
      </c>
      <c r="D816" s="20" t="s">
        <v>926</v>
      </c>
      <c r="E816" s="40" t="s">
        <v>135</v>
      </c>
      <c r="F816" s="6">
        <f>F817</f>
        <v>210</v>
      </c>
      <c r="G816" s="6">
        <f>G817</f>
        <v>210</v>
      </c>
    </row>
    <row r="817" spans="1:9" ht="31.5" x14ac:dyDescent="0.25">
      <c r="A817" s="25" t="s">
        <v>136</v>
      </c>
      <c r="B817" s="20" t="s">
        <v>306</v>
      </c>
      <c r="C817" s="20" t="s">
        <v>157</v>
      </c>
      <c r="D817" s="20" t="s">
        <v>926</v>
      </c>
      <c r="E817" s="40" t="s">
        <v>216</v>
      </c>
      <c r="F817" s="6">
        <f>'пр.6.1.ведом.22-23'!G433</f>
        <v>210</v>
      </c>
      <c r="G817" s="6">
        <f>'пр.6.1.ведом.22-23'!H433</f>
        <v>210</v>
      </c>
    </row>
    <row r="818" spans="1:9" ht="50.25" customHeight="1" x14ac:dyDescent="0.25">
      <c r="A818" s="23" t="s">
        <v>1364</v>
      </c>
      <c r="B818" s="24" t="s">
        <v>306</v>
      </c>
      <c r="C818" s="24" t="s">
        <v>157</v>
      </c>
      <c r="D818" s="24" t="s">
        <v>351</v>
      </c>
      <c r="E818" s="40"/>
      <c r="F818" s="4">
        <f>F819</f>
        <v>260</v>
      </c>
      <c r="G818" s="4">
        <f>G819</f>
        <v>285</v>
      </c>
    </row>
    <row r="819" spans="1:9" ht="54" customHeight="1" x14ac:dyDescent="0.25">
      <c r="A819" s="23" t="s">
        <v>1370</v>
      </c>
      <c r="B819" s="24" t="s">
        <v>306</v>
      </c>
      <c r="C819" s="24" t="s">
        <v>157</v>
      </c>
      <c r="D819" s="24" t="s">
        <v>369</v>
      </c>
      <c r="E819" s="24"/>
      <c r="F819" s="21">
        <f t="shared" ref="F819:G820" si="84">F820</f>
        <v>260</v>
      </c>
      <c r="G819" s="21">
        <f t="shared" si="84"/>
        <v>285</v>
      </c>
    </row>
    <row r="820" spans="1:9" ht="31.5" x14ac:dyDescent="0.25">
      <c r="A820" s="23" t="s">
        <v>1007</v>
      </c>
      <c r="B820" s="24" t="s">
        <v>306</v>
      </c>
      <c r="C820" s="24" t="s">
        <v>157</v>
      </c>
      <c r="D820" s="24" t="s">
        <v>1236</v>
      </c>
      <c r="E820" s="24"/>
      <c r="F820" s="21">
        <f t="shared" si="84"/>
        <v>260</v>
      </c>
      <c r="G820" s="21">
        <f t="shared" si="84"/>
        <v>285</v>
      </c>
    </row>
    <row r="821" spans="1:9" ht="31.5" x14ac:dyDescent="0.25">
      <c r="A821" s="25" t="s">
        <v>1006</v>
      </c>
      <c r="B821" s="20" t="s">
        <v>306</v>
      </c>
      <c r="C821" s="20" t="s">
        <v>157</v>
      </c>
      <c r="D821" s="20" t="s">
        <v>1237</v>
      </c>
      <c r="E821" s="20"/>
      <c r="F821" s="26">
        <f>F822</f>
        <v>260</v>
      </c>
      <c r="G821" s="26">
        <f>G822</f>
        <v>285</v>
      </c>
    </row>
    <row r="822" spans="1:9" ht="31.5" x14ac:dyDescent="0.25">
      <c r="A822" s="25" t="s">
        <v>138</v>
      </c>
      <c r="B822" s="20" t="s">
        <v>306</v>
      </c>
      <c r="C822" s="20" t="s">
        <v>157</v>
      </c>
      <c r="D822" s="20" t="s">
        <v>1237</v>
      </c>
      <c r="E822" s="20" t="s">
        <v>139</v>
      </c>
      <c r="F822" s="26">
        <f>F823</f>
        <v>260</v>
      </c>
      <c r="G822" s="26">
        <f>G823</f>
        <v>285</v>
      </c>
    </row>
    <row r="823" spans="1:9" ht="47.25" x14ac:dyDescent="0.25">
      <c r="A823" s="25" t="s">
        <v>140</v>
      </c>
      <c r="B823" s="20" t="s">
        <v>306</v>
      </c>
      <c r="C823" s="20" t="s">
        <v>157</v>
      </c>
      <c r="D823" s="20" t="s">
        <v>1237</v>
      </c>
      <c r="E823" s="20" t="s">
        <v>141</v>
      </c>
      <c r="F823" s="26">
        <f>'пр.6.1.ведом.22-23'!G439</f>
        <v>260</v>
      </c>
      <c r="G823" s="26">
        <f>'пр.6.1.ведом.22-23'!H439</f>
        <v>285</v>
      </c>
    </row>
    <row r="824" spans="1:9" s="202" customFormat="1" ht="63" x14ac:dyDescent="0.25">
      <c r="A824" s="34" t="s">
        <v>1456</v>
      </c>
      <c r="B824" s="24" t="s">
        <v>306</v>
      </c>
      <c r="C824" s="24" t="s">
        <v>157</v>
      </c>
      <c r="D824" s="24" t="s">
        <v>331</v>
      </c>
      <c r="E824" s="24"/>
      <c r="F824" s="21">
        <f>F826</f>
        <v>0</v>
      </c>
      <c r="G824" s="21">
        <f>G825</f>
        <v>4</v>
      </c>
    </row>
    <row r="825" spans="1:9" s="202" customFormat="1" ht="63" x14ac:dyDescent="0.25">
      <c r="A825" s="34" t="s">
        <v>1035</v>
      </c>
      <c r="B825" s="24" t="s">
        <v>306</v>
      </c>
      <c r="C825" s="24" t="s">
        <v>157</v>
      </c>
      <c r="D825" s="24" t="s">
        <v>944</v>
      </c>
      <c r="E825" s="24"/>
      <c r="F825" s="21">
        <f>F828</f>
        <v>0</v>
      </c>
      <c r="G825" s="21">
        <f>G826</f>
        <v>4</v>
      </c>
    </row>
    <row r="826" spans="1:9" s="202" customFormat="1" ht="47.25" x14ac:dyDescent="0.25">
      <c r="A826" s="31" t="s">
        <v>1091</v>
      </c>
      <c r="B826" s="20" t="s">
        <v>306</v>
      </c>
      <c r="C826" s="20" t="s">
        <v>157</v>
      </c>
      <c r="D826" s="20" t="s">
        <v>1036</v>
      </c>
      <c r="E826" s="20"/>
      <c r="F826" s="26">
        <f>F827</f>
        <v>0</v>
      </c>
      <c r="G826" s="26">
        <f>G827</f>
        <v>4</v>
      </c>
    </row>
    <row r="827" spans="1:9" s="202" customFormat="1" ht="31.5" x14ac:dyDescent="0.25">
      <c r="A827" s="25" t="s">
        <v>138</v>
      </c>
      <c r="B827" s="20" t="s">
        <v>306</v>
      </c>
      <c r="C827" s="20" t="s">
        <v>157</v>
      </c>
      <c r="D827" s="20" t="s">
        <v>1036</v>
      </c>
      <c r="E827" s="20" t="s">
        <v>139</v>
      </c>
      <c r="F827" s="26">
        <f>F828</f>
        <v>0</v>
      </c>
      <c r="G827" s="26">
        <f>G828</f>
        <v>4</v>
      </c>
    </row>
    <row r="828" spans="1:9" s="202" customFormat="1" ht="47.25" x14ac:dyDescent="0.25">
      <c r="A828" s="25" t="s">
        <v>140</v>
      </c>
      <c r="B828" s="20" t="s">
        <v>306</v>
      </c>
      <c r="C828" s="20" t="s">
        <v>157</v>
      </c>
      <c r="D828" s="20" t="s">
        <v>1036</v>
      </c>
      <c r="E828" s="20" t="s">
        <v>141</v>
      </c>
      <c r="F828" s="26">
        <f>'пр.6.1.ведом.22-23'!G444</f>
        <v>0</v>
      </c>
      <c r="G828" s="26">
        <f>'пр.6.1.ведом.22-23'!H444</f>
        <v>4</v>
      </c>
    </row>
    <row r="829" spans="1:9" ht="15.75" x14ac:dyDescent="0.25">
      <c r="A829" s="23" t="s">
        <v>250</v>
      </c>
      <c r="B829" s="24" t="s">
        <v>251</v>
      </c>
      <c r="C829" s="24"/>
      <c r="D829" s="24"/>
      <c r="E829" s="203"/>
      <c r="F829" s="4">
        <f>F830+F836+F872+F866</f>
        <v>18033.41</v>
      </c>
      <c r="G829" s="4">
        <f>G830+G836+G872+G866</f>
        <v>26348.010000000002</v>
      </c>
      <c r="H829">
        <v>17738.8</v>
      </c>
      <c r="I829" s="22">
        <v>26058.9</v>
      </c>
    </row>
    <row r="830" spans="1:9" ht="15.75" x14ac:dyDescent="0.25">
      <c r="A830" s="23" t="s">
        <v>252</v>
      </c>
      <c r="B830" s="24" t="s">
        <v>251</v>
      </c>
      <c r="C830" s="24" t="s">
        <v>125</v>
      </c>
      <c r="D830" s="24"/>
      <c r="E830" s="24"/>
      <c r="F830" s="4">
        <f t="shared" ref="F830:G832" si="85">F831</f>
        <v>9815.2999999999993</v>
      </c>
      <c r="G830" s="4">
        <f t="shared" si="85"/>
        <v>9815.2999999999993</v>
      </c>
      <c r="H830" s="227">
        <f>H829-F829</f>
        <v>-294.61000000000058</v>
      </c>
      <c r="I830" s="227">
        <f>I829-G829</f>
        <v>-289.11000000000058</v>
      </c>
    </row>
    <row r="831" spans="1:9" ht="15.75" x14ac:dyDescent="0.25">
      <c r="A831" s="23" t="s">
        <v>148</v>
      </c>
      <c r="B831" s="24" t="s">
        <v>251</v>
      </c>
      <c r="C831" s="24" t="s">
        <v>125</v>
      </c>
      <c r="D831" s="24" t="s">
        <v>876</v>
      </c>
      <c r="E831" s="24"/>
      <c r="F831" s="4">
        <f t="shared" si="85"/>
        <v>9815.2999999999993</v>
      </c>
      <c r="G831" s="4">
        <f t="shared" si="85"/>
        <v>9815.2999999999993</v>
      </c>
    </row>
    <row r="832" spans="1:9" ht="31.5" x14ac:dyDescent="0.25">
      <c r="A832" s="23" t="s">
        <v>880</v>
      </c>
      <c r="B832" s="24" t="s">
        <v>251</v>
      </c>
      <c r="C832" s="24" t="s">
        <v>125</v>
      </c>
      <c r="D832" s="24" t="s">
        <v>875</v>
      </c>
      <c r="E832" s="24"/>
      <c r="F832" s="4">
        <f t="shared" si="85"/>
        <v>9815.2999999999993</v>
      </c>
      <c r="G832" s="4">
        <f t="shared" si="85"/>
        <v>9815.2999999999993</v>
      </c>
    </row>
    <row r="833" spans="1:7" ht="15.75" x14ac:dyDescent="0.25">
      <c r="A833" s="25" t="s">
        <v>253</v>
      </c>
      <c r="B833" s="20" t="s">
        <v>251</v>
      </c>
      <c r="C833" s="20" t="s">
        <v>125</v>
      </c>
      <c r="D833" s="20" t="s">
        <v>891</v>
      </c>
      <c r="E833" s="20"/>
      <c r="F833" s="6">
        <f>F834</f>
        <v>9815.2999999999993</v>
      </c>
      <c r="G833" s="6">
        <f>G834</f>
        <v>9815.2999999999993</v>
      </c>
    </row>
    <row r="834" spans="1:7" ht="31.5" x14ac:dyDescent="0.25">
      <c r="A834" s="25" t="s">
        <v>255</v>
      </c>
      <c r="B834" s="20" t="s">
        <v>251</v>
      </c>
      <c r="C834" s="20" t="s">
        <v>125</v>
      </c>
      <c r="D834" s="20" t="s">
        <v>891</v>
      </c>
      <c r="E834" s="20" t="s">
        <v>256</v>
      </c>
      <c r="F834" s="6">
        <f>F835</f>
        <v>9815.2999999999993</v>
      </c>
      <c r="G834" s="6">
        <f>G835</f>
        <v>9815.2999999999993</v>
      </c>
    </row>
    <row r="835" spans="1:7" ht="31.5" x14ac:dyDescent="0.25">
      <c r="A835" s="25" t="s">
        <v>257</v>
      </c>
      <c r="B835" s="20" t="s">
        <v>251</v>
      </c>
      <c r="C835" s="20" t="s">
        <v>125</v>
      </c>
      <c r="D835" s="20" t="s">
        <v>891</v>
      </c>
      <c r="E835" s="20" t="s">
        <v>258</v>
      </c>
      <c r="F835" s="6">
        <f>'пр.6.1.ведом.22-23'!G224</f>
        <v>9815.2999999999993</v>
      </c>
      <c r="G835" s="6">
        <f>'пр.6.1.ведом.22-23'!H224</f>
        <v>9815.2999999999993</v>
      </c>
    </row>
    <row r="836" spans="1:7" ht="15.75" x14ac:dyDescent="0.25">
      <c r="A836" s="23" t="s">
        <v>259</v>
      </c>
      <c r="B836" s="24" t="s">
        <v>251</v>
      </c>
      <c r="C836" s="24" t="s">
        <v>222</v>
      </c>
      <c r="D836" s="24"/>
      <c r="E836" s="24"/>
      <c r="F836" s="4">
        <f>F837+F858</f>
        <v>2011.6100000000001</v>
      </c>
      <c r="G836" s="4">
        <f>G837+G858</f>
        <v>2036.1100000000001</v>
      </c>
    </row>
    <row r="837" spans="1:7" ht="50.25" customHeight="1" x14ac:dyDescent="0.25">
      <c r="A837" s="23" t="s">
        <v>1395</v>
      </c>
      <c r="B837" s="24" t="s">
        <v>251</v>
      </c>
      <c r="C837" s="24" t="s">
        <v>222</v>
      </c>
      <c r="D837" s="24" t="s">
        <v>351</v>
      </c>
      <c r="E837" s="24"/>
      <c r="F837" s="4">
        <f>F838+F843</f>
        <v>2001.6100000000001</v>
      </c>
      <c r="G837" s="4">
        <f>G838+G843</f>
        <v>2026.1100000000001</v>
      </c>
    </row>
    <row r="838" spans="1:7" ht="31.5" x14ac:dyDescent="0.25">
      <c r="A838" s="23" t="s">
        <v>359</v>
      </c>
      <c r="B838" s="24" t="s">
        <v>251</v>
      </c>
      <c r="C838" s="24" t="s">
        <v>222</v>
      </c>
      <c r="D838" s="24" t="s">
        <v>360</v>
      </c>
      <c r="E838" s="24"/>
      <c r="F838" s="21">
        <f t="shared" ref="F838:G841" si="86">F839</f>
        <v>294.61</v>
      </c>
      <c r="G838" s="21">
        <f t="shared" si="86"/>
        <v>289.11</v>
      </c>
    </row>
    <row r="839" spans="1:7" ht="31.5" x14ac:dyDescent="0.25">
      <c r="A839" s="23" t="s">
        <v>915</v>
      </c>
      <c r="B839" s="24" t="s">
        <v>251</v>
      </c>
      <c r="C839" s="24" t="s">
        <v>222</v>
      </c>
      <c r="D839" s="24" t="s">
        <v>914</v>
      </c>
      <c r="E839" s="24"/>
      <c r="F839" s="21">
        <f t="shared" si="86"/>
        <v>294.61</v>
      </c>
      <c r="G839" s="21">
        <f t="shared" si="86"/>
        <v>289.11</v>
      </c>
    </row>
    <row r="840" spans="1:7" ht="31.5" x14ac:dyDescent="0.25">
      <c r="A840" s="25" t="s">
        <v>834</v>
      </c>
      <c r="B840" s="20" t="s">
        <v>251</v>
      </c>
      <c r="C840" s="20" t="s">
        <v>222</v>
      </c>
      <c r="D840" s="20" t="s">
        <v>916</v>
      </c>
      <c r="E840" s="20"/>
      <c r="F840" s="26">
        <f t="shared" si="86"/>
        <v>294.61</v>
      </c>
      <c r="G840" s="26">
        <f t="shared" si="86"/>
        <v>289.11</v>
      </c>
    </row>
    <row r="841" spans="1:7" ht="31.5" x14ac:dyDescent="0.25">
      <c r="A841" s="25" t="s">
        <v>255</v>
      </c>
      <c r="B841" s="20" t="s">
        <v>251</v>
      </c>
      <c r="C841" s="20" t="s">
        <v>222</v>
      </c>
      <c r="D841" s="20" t="s">
        <v>916</v>
      </c>
      <c r="E841" s="20" t="s">
        <v>256</v>
      </c>
      <c r="F841" s="26">
        <f>F842</f>
        <v>294.61</v>
      </c>
      <c r="G841" s="26">
        <f t="shared" si="86"/>
        <v>289.11</v>
      </c>
    </row>
    <row r="842" spans="1:7" ht="31.5" x14ac:dyDescent="0.25">
      <c r="A842" s="25" t="s">
        <v>257</v>
      </c>
      <c r="B842" s="20" t="s">
        <v>251</v>
      </c>
      <c r="C842" s="20" t="s">
        <v>222</v>
      </c>
      <c r="D842" s="20" t="s">
        <v>916</v>
      </c>
      <c r="E842" s="20" t="s">
        <v>258</v>
      </c>
      <c r="F842" s="26">
        <f>'пр.6.1.ведом.22-23'!G452</f>
        <v>294.61</v>
      </c>
      <c r="G842" s="26">
        <f>'пр.6.1.ведом.22-23'!H452</f>
        <v>289.11</v>
      </c>
    </row>
    <row r="843" spans="1:7" ht="47.25" x14ac:dyDescent="0.25">
      <c r="A843" s="23" t="s">
        <v>362</v>
      </c>
      <c r="B843" s="19">
        <v>10</v>
      </c>
      <c r="C843" s="24" t="s">
        <v>222</v>
      </c>
      <c r="D843" s="24" t="s">
        <v>369</v>
      </c>
      <c r="E843" s="24"/>
      <c r="F843" s="21">
        <f>F845+F848+F854</f>
        <v>1707</v>
      </c>
      <c r="G843" s="21">
        <f>G845+G848+G854</f>
        <v>1737</v>
      </c>
    </row>
    <row r="844" spans="1:7" ht="31.5" x14ac:dyDescent="0.25">
      <c r="A844" s="23" t="s">
        <v>1048</v>
      </c>
      <c r="B844" s="19">
        <v>10</v>
      </c>
      <c r="C844" s="24" t="s">
        <v>222</v>
      </c>
      <c r="D844" s="24" t="s">
        <v>923</v>
      </c>
      <c r="E844" s="24"/>
      <c r="F844" s="21">
        <f t="shared" ref="F844:G846" si="87">F845</f>
        <v>630</v>
      </c>
      <c r="G844" s="21">
        <f t="shared" si="87"/>
        <v>630</v>
      </c>
    </row>
    <row r="845" spans="1:7" ht="47.25" x14ac:dyDescent="0.25">
      <c r="A845" s="98" t="s">
        <v>1049</v>
      </c>
      <c r="B845" s="20" t="s">
        <v>251</v>
      </c>
      <c r="C845" s="20" t="s">
        <v>222</v>
      </c>
      <c r="D845" s="20" t="s">
        <v>1239</v>
      </c>
      <c r="E845" s="20"/>
      <c r="F845" s="26">
        <f t="shared" si="87"/>
        <v>630</v>
      </c>
      <c r="G845" s="26">
        <f t="shared" si="87"/>
        <v>630</v>
      </c>
    </row>
    <row r="846" spans="1:7" ht="31.5" x14ac:dyDescent="0.25">
      <c r="A846" s="25" t="s">
        <v>255</v>
      </c>
      <c r="B846" s="20" t="s">
        <v>251</v>
      </c>
      <c r="C846" s="20" t="s">
        <v>222</v>
      </c>
      <c r="D846" s="20" t="s">
        <v>1239</v>
      </c>
      <c r="E846" s="20" t="s">
        <v>256</v>
      </c>
      <c r="F846" s="26">
        <f t="shared" si="87"/>
        <v>630</v>
      </c>
      <c r="G846" s="26">
        <f t="shared" si="87"/>
        <v>630</v>
      </c>
    </row>
    <row r="847" spans="1:7" ht="31.5" x14ac:dyDescent="0.25">
      <c r="A847" s="25" t="s">
        <v>355</v>
      </c>
      <c r="B847" s="20" t="s">
        <v>251</v>
      </c>
      <c r="C847" s="20" t="s">
        <v>222</v>
      </c>
      <c r="D847" s="20" t="s">
        <v>1239</v>
      </c>
      <c r="E847" s="20" t="s">
        <v>356</v>
      </c>
      <c r="F847" s="26">
        <f>'пр.6.1.ведом.22-23'!G457</f>
        <v>630</v>
      </c>
      <c r="G847" s="26">
        <f>'пр.6.1.ведом.22-23'!H457</f>
        <v>630</v>
      </c>
    </row>
    <row r="848" spans="1:7" ht="31.5" x14ac:dyDescent="0.25">
      <c r="A848" s="23" t="s">
        <v>1243</v>
      </c>
      <c r="B848" s="19">
        <v>10</v>
      </c>
      <c r="C848" s="24" t="s">
        <v>222</v>
      </c>
      <c r="D848" s="24" t="s">
        <v>1241</v>
      </c>
      <c r="E848" s="24"/>
      <c r="F848" s="21">
        <f>F849+F852</f>
        <v>657</v>
      </c>
      <c r="G848" s="21">
        <f>G849+G852</f>
        <v>657</v>
      </c>
    </row>
    <row r="849" spans="1:7" ht="31.5" x14ac:dyDescent="0.25">
      <c r="A849" s="25" t="s">
        <v>1240</v>
      </c>
      <c r="B849" s="20" t="s">
        <v>251</v>
      </c>
      <c r="C849" s="20" t="s">
        <v>222</v>
      </c>
      <c r="D849" s="20" t="s">
        <v>1242</v>
      </c>
      <c r="E849" s="20"/>
      <c r="F849" s="26">
        <f>F850</f>
        <v>400</v>
      </c>
      <c r="G849" s="26">
        <f>G850</f>
        <v>400</v>
      </c>
    </row>
    <row r="850" spans="1:7" ht="31.5" x14ac:dyDescent="0.25">
      <c r="A850" s="25" t="s">
        <v>138</v>
      </c>
      <c r="B850" s="20" t="s">
        <v>251</v>
      </c>
      <c r="C850" s="20" t="s">
        <v>222</v>
      </c>
      <c r="D850" s="20" t="s">
        <v>1242</v>
      </c>
      <c r="E850" s="20" t="s">
        <v>139</v>
      </c>
      <c r="F850" s="26">
        <f>F851</f>
        <v>400</v>
      </c>
      <c r="G850" s="26">
        <f>G851</f>
        <v>400</v>
      </c>
    </row>
    <row r="851" spans="1:7" ht="47.25" x14ac:dyDescent="0.25">
      <c r="A851" s="25" t="s">
        <v>140</v>
      </c>
      <c r="B851" s="20" t="s">
        <v>251</v>
      </c>
      <c r="C851" s="20" t="s">
        <v>222</v>
      </c>
      <c r="D851" s="20" t="s">
        <v>1242</v>
      </c>
      <c r="E851" s="20" t="s">
        <v>141</v>
      </c>
      <c r="F851" s="26">
        <f>'пр.6.1.ведом.22-23'!G461</f>
        <v>400</v>
      </c>
      <c r="G851" s="26">
        <f>'пр.6.1.ведом.22-23'!H461</f>
        <v>400</v>
      </c>
    </row>
    <row r="852" spans="1:7" s="202" customFormat="1" ht="31.5" x14ac:dyDescent="0.25">
      <c r="A852" s="25" t="s">
        <v>255</v>
      </c>
      <c r="B852" s="20" t="s">
        <v>251</v>
      </c>
      <c r="C852" s="20" t="s">
        <v>222</v>
      </c>
      <c r="D852" s="20" t="s">
        <v>1242</v>
      </c>
      <c r="E852" s="20" t="s">
        <v>256</v>
      </c>
      <c r="F852" s="26">
        <f>F853</f>
        <v>257</v>
      </c>
      <c r="G852" s="26">
        <f>G853</f>
        <v>257</v>
      </c>
    </row>
    <row r="853" spans="1:7" s="202" customFormat="1" ht="31.5" x14ac:dyDescent="0.25">
      <c r="A853" s="25" t="s">
        <v>355</v>
      </c>
      <c r="B853" s="20" t="s">
        <v>251</v>
      </c>
      <c r="C853" s="20" t="s">
        <v>222</v>
      </c>
      <c r="D853" s="20" t="s">
        <v>1242</v>
      </c>
      <c r="E853" s="20" t="s">
        <v>356</v>
      </c>
      <c r="F853" s="26">
        <f>'пр.6.1.ведом.22-23'!G463</f>
        <v>257</v>
      </c>
      <c r="G853" s="26">
        <f>'пр.6.1.ведом.22-23'!H463</f>
        <v>257</v>
      </c>
    </row>
    <row r="854" spans="1:7" ht="31.5" x14ac:dyDescent="0.25">
      <c r="A854" s="23" t="s">
        <v>1007</v>
      </c>
      <c r="B854" s="19">
        <v>10</v>
      </c>
      <c r="C854" s="24" t="s">
        <v>222</v>
      </c>
      <c r="D854" s="24" t="s">
        <v>1236</v>
      </c>
      <c r="E854" s="24"/>
      <c r="F854" s="21">
        <f>F855</f>
        <v>420</v>
      </c>
      <c r="G854" s="21">
        <f t="shared" ref="G854:G856" si="88">G855</f>
        <v>450</v>
      </c>
    </row>
    <row r="855" spans="1:7" ht="22.7" customHeight="1" x14ac:dyDescent="0.25">
      <c r="A855" s="25" t="s">
        <v>1046</v>
      </c>
      <c r="B855" s="20" t="s">
        <v>251</v>
      </c>
      <c r="C855" s="20" t="s">
        <v>222</v>
      </c>
      <c r="D855" s="20" t="s">
        <v>1238</v>
      </c>
      <c r="E855" s="20"/>
      <c r="F855" s="26">
        <f>F856</f>
        <v>420</v>
      </c>
      <c r="G855" s="26">
        <f t="shared" si="88"/>
        <v>450</v>
      </c>
    </row>
    <row r="856" spans="1:7" ht="31.5" x14ac:dyDescent="0.25">
      <c r="A856" s="25" t="s">
        <v>255</v>
      </c>
      <c r="B856" s="20" t="s">
        <v>251</v>
      </c>
      <c r="C856" s="20" t="s">
        <v>222</v>
      </c>
      <c r="D856" s="20" t="s">
        <v>1238</v>
      </c>
      <c r="E856" s="20" t="s">
        <v>256</v>
      </c>
      <c r="F856" s="26">
        <f>F857</f>
        <v>420</v>
      </c>
      <c r="G856" s="26">
        <f t="shared" si="88"/>
        <v>450</v>
      </c>
    </row>
    <row r="857" spans="1:7" ht="31.5" x14ac:dyDescent="0.25">
      <c r="A857" s="25" t="s">
        <v>355</v>
      </c>
      <c r="B857" s="20" t="s">
        <v>251</v>
      </c>
      <c r="C857" s="20" t="s">
        <v>222</v>
      </c>
      <c r="D857" s="20" t="s">
        <v>1238</v>
      </c>
      <c r="E857" s="20" t="s">
        <v>356</v>
      </c>
      <c r="F857" s="26">
        <f>'пр.6.1.ведом.22-23'!G467</f>
        <v>420</v>
      </c>
      <c r="G857" s="26">
        <f>'пр.6.1.ведом.22-23'!H467</f>
        <v>450</v>
      </c>
    </row>
    <row r="858" spans="1:7" ht="63" x14ac:dyDescent="0.25">
      <c r="A858" s="23" t="s">
        <v>1363</v>
      </c>
      <c r="B858" s="24" t="s">
        <v>251</v>
      </c>
      <c r="C858" s="24" t="s">
        <v>222</v>
      </c>
      <c r="D858" s="24" t="s">
        <v>261</v>
      </c>
      <c r="E858" s="24"/>
      <c r="F858" s="4">
        <f t="shared" ref="F858:G858" si="89">F859</f>
        <v>10</v>
      </c>
      <c r="G858" s="4">
        <f t="shared" si="89"/>
        <v>10</v>
      </c>
    </row>
    <row r="859" spans="1:7" ht="53.45" customHeight="1" x14ac:dyDescent="0.25">
      <c r="A859" s="23" t="s">
        <v>894</v>
      </c>
      <c r="B859" s="24" t="s">
        <v>251</v>
      </c>
      <c r="C859" s="24" t="s">
        <v>222</v>
      </c>
      <c r="D859" s="24" t="s">
        <v>892</v>
      </c>
      <c r="E859" s="24"/>
      <c r="F859" s="4">
        <f>F860+F863</f>
        <v>10</v>
      </c>
      <c r="G859" s="4">
        <f>G860+G863</f>
        <v>10</v>
      </c>
    </row>
    <row r="860" spans="1:7" ht="31.5" x14ac:dyDescent="0.25">
      <c r="A860" s="25" t="s">
        <v>893</v>
      </c>
      <c r="B860" s="20" t="s">
        <v>251</v>
      </c>
      <c r="C860" s="20" t="s">
        <v>222</v>
      </c>
      <c r="D860" s="20" t="s">
        <v>1202</v>
      </c>
      <c r="E860" s="20"/>
      <c r="F860" s="6">
        <f>F861</f>
        <v>10</v>
      </c>
      <c r="G860" s="6">
        <f>G861</f>
        <v>10</v>
      </c>
    </row>
    <row r="861" spans="1:7" ht="31.5" x14ac:dyDescent="0.25">
      <c r="A861" s="25" t="s">
        <v>255</v>
      </c>
      <c r="B861" s="20" t="s">
        <v>251</v>
      </c>
      <c r="C861" s="20" t="s">
        <v>222</v>
      </c>
      <c r="D861" s="20" t="s">
        <v>1202</v>
      </c>
      <c r="E861" s="20" t="s">
        <v>256</v>
      </c>
      <c r="F861" s="6">
        <f>F862</f>
        <v>10</v>
      </c>
      <c r="G861" s="6">
        <f>G862</f>
        <v>10</v>
      </c>
    </row>
    <row r="862" spans="1:7" ht="31.5" x14ac:dyDescent="0.25">
      <c r="A862" s="25" t="s">
        <v>257</v>
      </c>
      <c r="B862" s="20" t="s">
        <v>251</v>
      </c>
      <c r="C862" s="20" t="s">
        <v>222</v>
      </c>
      <c r="D862" s="20" t="s">
        <v>1202</v>
      </c>
      <c r="E862" s="20" t="s">
        <v>258</v>
      </c>
      <c r="F862" s="6">
        <f>'пр.6.1.ведом.22-23'!G230</f>
        <v>10</v>
      </c>
      <c r="G862" s="6">
        <f>'пр.6.1.ведом.22-23'!H230</f>
        <v>10</v>
      </c>
    </row>
    <row r="863" spans="1:7" s="202" customFormat="1" ht="63" hidden="1" x14ac:dyDescent="0.25">
      <c r="A863" s="25" t="s">
        <v>1190</v>
      </c>
      <c r="B863" s="20" t="s">
        <v>251</v>
      </c>
      <c r="C863" s="20" t="s">
        <v>222</v>
      </c>
      <c r="D863" s="20" t="s">
        <v>1189</v>
      </c>
      <c r="E863" s="20"/>
      <c r="F863" s="26">
        <f>F864</f>
        <v>0</v>
      </c>
      <c r="G863" s="26">
        <f>G864</f>
        <v>0</v>
      </c>
    </row>
    <row r="864" spans="1:7" s="202" customFormat="1" ht="31.5" hidden="1" x14ac:dyDescent="0.25">
      <c r="A864" s="25" t="s">
        <v>255</v>
      </c>
      <c r="B864" s="20" t="s">
        <v>251</v>
      </c>
      <c r="C864" s="20" t="s">
        <v>222</v>
      </c>
      <c r="D864" s="20" t="s">
        <v>1189</v>
      </c>
      <c r="E864" s="20" t="s">
        <v>256</v>
      </c>
      <c r="F864" s="26">
        <f>F865</f>
        <v>0</v>
      </c>
      <c r="G864" s="26">
        <f>G865</f>
        <v>0</v>
      </c>
    </row>
    <row r="865" spans="1:7" s="202" customFormat="1" ht="31.5" hidden="1" x14ac:dyDescent="0.25">
      <c r="A865" s="25" t="s">
        <v>257</v>
      </c>
      <c r="B865" s="20" t="s">
        <v>251</v>
      </c>
      <c r="C865" s="20" t="s">
        <v>222</v>
      </c>
      <c r="D865" s="20" t="s">
        <v>1189</v>
      </c>
      <c r="E865" s="20" t="s">
        <v>258</v>
      </c>
      <c r="F865" s="26">
        <f>'пр.6.1.ведом.22-23'!G233</f>
        <v>0</v>
      </c>
      <c r="G865" s="26">
        <f>'пр.6.1.ведом.22-23'!H233</f>
        <v>0</v>
      </c>
    </row>
    <row r="866" spans="1:7" s="202" customFormat="1" ht="15.75" x14ac:dyDescent="0.25">
      <c r="A866" s="23" t="s">
        <v>250</v>
      </c>
      <c r="B866" s="24" t="s">
        <v>251</v>
      </c>
      <c r="C866" s="20"/>
      <c r="D866" s="20"/>
      <c r="E866" s="20"/>
      <c r="F866" s="21">
        <f t="shared" ref="F866:G870" si="90">F867</f>
        <v>2469.1</v>
      </c>
      <c r="G866" s="21">
        <f t="shared" si="90"/>
        <v>10803.2</v>
      </c>
    </row>
    <row r="867" spans="1:7" s="202" customFormat="1" ht="15.75" x14ac:dyDescent="0.25">
      <c r="A867" s="23" t="s">
        <v>407</v>
      </c>
      <c r="B867" s="24" t="s">
        <v>251</v>
      </c>
      <c r="C867" s="24" t="s">
        <v>157</v>
      </c>
      <c r="D867" s="20"/>
      <c r="E867" s="20"/>
      <c r="F867" s="21">
        <f t="shared" si="90"/>
        <v>2469.1</v>
      </c>
      <c r="G867" s="21">
        <f t="shared" si="90"/>
        <v>10803.2</v>
      </c>
    </row>
    <row r="868" spans="1:7" s="202" customFormat="1" ht="47.25" x14ac:dyDescent="0.25">
      <c r="A868" s="23" t="s">
        <v>895</v>
      </c>
      <c r="B868" s="24" t="s">
        <v>251</v>
      </c>
      <c r="C868" s="24" t="s">
        <v>157</v>
      </c>
      <c r="D868" s="24" t="s">
        <v>873</v>
      </c>
      <c r="E868" s="20"/>
      <c r="F868" s="21">
        <f t="shared" si="90"/>
        <v>2469.1</v>
      </c>
      <c r="G868" s="21">
        <f t="shared" si="90"/>
        <v>10803.2</v>
      </c>
    </row>
    <row r="869" spans="1:7" s="202" customFormat="1" ht="47.25" x14ac:dyDescent="0.25">
      <c r="A869" s="25" t="s">
        <v>1185</v>
      </c>
      <c r="B869" s="20" t="s">
        <v>251</v>
      </c>
      <c r="C869" s="20" t="s">
        <v>157</v>
      </c>
      <c r="D869" s="20" t="s">
        <v>1184</v>
      </c>
      <c r="E869" s="20"/>
      <c r="F869" s="26">
        <f t="shared" si="90"/>
        <v>2469.1</v>
      </c>
      <c r="G869" s="26">
        <f t="shared" si="90"/>
        <v>10803.2</v>
      </c>
    </row>
    <row r="870" spans="1:7" s="202" customFormat="1" ht="31.5" x14ac:dyDescent="0.25">
      <c r="A870" s="25" t="s">
        <v>138</v>
      </c>
      <c r="B870" s="20" t="s">
        <v>251</v>
      </c>
      <c r="C870" s="20" t="s">
        <v>157</v>
      </c>
      <c r="D870" s="20" t="s">
        <v>1184</v>
      </c>
      <c r="E870" s="20" t="s">
        <v>139</v>
      </c>
      <c r="F870" s="26">
        <f t="shared" si="90"/>
        <v>2469.1</v>
      </c>
      <c r="G870" s="26">
        <f t="shared" si="90"/>
        <v>10803.2</v>
      </c>
    </row>
    <row r="871" spans="1:7" s="202" customFormat="1" ht="47.25" x14ac:dyDescent="0.25">
      <c r="A871" s="25" t="s">
        <v>140</v>
      </c>
      <c r="B871" s="20" t="s">
        <v>251</v>
      </c>
      <c r="C871" s="20" t="s">
        <v>157</v>
      </c>
      <c r="D871" s="20" t="s">
        <v>1184</v>
      </c>
      <c r="E871" s="20" t="s">
        <v>141</v>
      </c>
      <c r="F871" s="26">
        <f>'пр.6.1.ведом.22-23'!G536</f>
        <v>2469.1</v>
      </c>
      <c r="G871" s="26">
        <f>'пр.6.1.ведом.22-23'!H536</f>
        <v>10803.2</v>
      </c>
    </row>
    <row r="872" spans="1:7" ht="31.5" x14ac:dyDescent="0.25">
      <c r="A872" s="23" t="s">
        <v>265</v>
      </c>
      <c r="B872" s="24" t="s">
        <v>251</v>
      </c>
      <c r="C872" s="24" t="s">
        <v>127</v>
      </c>
      <c r="D872" s="24"/>
      <c r="E872" s="24"/>
      <c r="F872" s="4">
        <f>F873+F880</f>
        <v>3737.4</v>
      </c>
      <c r="G872" s="4">
        <f>G873+G880</f>
        <v>3693.4</v>
      </c>
    </row>
    <row r="873" spans="1:7" ht="31.5" x14ac:dyDescent="0.25">
      <c r="A873" s="23" t="s">
        <v>927</v>
      </c>
      <c r="B873" s="24" t="s">
        <v>251</v>
      </c>
      <c r="C873" s="24" t="s">
        <v>127</v>
      </c>
      <c r="D873" s="24" t="s">
        <v>868</v>
      </c>
      <c r="E873" s="24"/>
      <c r="F873" s="4">
        <f>F874</f>
        <v>3650.4</v>
      </c>
      <c r="G873" s="4">
        <f>G874</f>
        <v>3606.4</v>
      </c>
    </row>
    <row r="874" spans="1:7" ht="47.25" x14ac:dyDescent="0.25">
      <c r="A874" s="23" t="s">
        <v>895</v>
      </c>
      <c r="B874" s="24" t="s">
        <v>251</v>
      </c>
      <c r="C874" s="24" t="s">
        <v>127</v>
      </c>
      <c r="D874" s="24" t="s">
        <v>873</v>
      </c>
      <c r="E874" s="24"/>
      <c r="F874" s="4">
        <f>F875</f>
        <v>3650.4</v>
      </c>
      <c r="G874" s="4">
        <f>G875</f>
        <v>3606.4</v>
      </c>
    </row>
    <row r="875" spans="1:7" ht="47.25" x14ac:dyDescent="0.25">
      <c r="A875" s="31" t="s">
        <v>266</v>
      </c>
      <c r="B875" s="20" t="s">
        <v>251</v>
      </c>
      <c r="C875" s="20" t="s">
        <v>127</v>
      </c>
      <c r="D875" s="20" t="s">
        <v>935</v>
      </c>
      <c r="E875" s="20"/>
      <c r="F875" s="6">
        <f>F876+F878</f>
        <v>3650.4</v>
      </c>
      <c r="G875" s="6">
        <f>G876+G878</f>
        <v>3606.4</v>
      </c>
    </row>
    <row r="876" spans="1:7" ht="94.5" x14ac:dyDescent="0.25">
      <c r="A876" s="25" t="s">
        <v>134</v>
      </c>
      <c r="B876" s="20" t="s">
        <v>251</v>
      </c>
      <c r="C876" s="20" t="s">
        <v>127</v>
      </c>
      <c r="D876" s="20" t="s">
        <v>935</v>
      </c>
      <c r="E876" s="20" t="s">
        <v>135</v>
      </c>
      <c r="F876" s="6">
        <f>F877</f>
        <v>3249.8</v>
      </c>
      <c r="G876" s="6">
        <f>G877</f>
        <v>3205.8</v>
      </c>
    </row>
    <row r="877" spans="1:7" ht="31.5" x14ac:dyDescent="0.25">
      <c r="A877" s="25" t="s">
        <v>136</v>
      </c>
      <c r="B877" s="20" t="s">
        <v>251</v>
      </c>
      <c r="C877" s="20" t="s">
        <v>127</v>
      </c>
      <c r="D877" s="20" t="s">
        <v>935</v>
      </c>
      <c r="E877" s="20" t="s">
        <v>137</v>
      </c>
      <c r="F877" s="6">
        <f>'пр.6.1.ведом.22-23'!G239</f>
        <v>3249.8</v>
      </c>
      <c r="G877" s="6">
        <f>'пр.6.1.ведом.22-23'!H239</f>
        <v>3205.8</v>
      </c>
    </row>
    <row r="878" spans="1:7" ht="31.5" x14ac:dyDescent="0.25">
      <c r="A878" s="25" t="s">
        <v>138</v>
      </c>
      <c r="B878" s="20" t="s">
        <v>251</v>
      </c>
      <c r="C878" s="20" t="s">
        <v>127</v>
      </c>
      <c r="D878" s="20" t="s">
        <v>935</v>
      </c>
      <c r="E878" s="20" t="s">
        <v>139</v>
      </c>
      <c r="F878" s="6">
        <f>F879</f>
        <v>400.6</v>
      </c>
      <c r="G878" s="6">
        <f>G879</f>
        <v>400.6</v>
      </c>
    </row>
    <row r="879" spans="1:7" ht="47.25" x14ac:dyDescent="0.25">
      <c r="A879" s="25" t="s">
        <v>140</v>
      </c>
      <c r="B879" s="20" t="s">
        <v>251</v>
      </c>
      <c r="C879" s="20" t="s">
        <v>127</v>
      </c>
      <c r="D879" s="20" t="s">
        <v>935</v>
      </c>
      <c r="E879" s="20" t="s">
        <v>141</v>
      </c>
      <c r="F879" s="6">
        <f>'пр.6.1.ведом.22-23'!G241</f>
        <v>400.6</v>
      </c>
      <c r="G879" s="6">
        <f>'пр.6.1.ведом.22-23'!H241</f>
        <v>400.6</v>
      </c>
    </row>
    <row r="880" spans="1:7" ht="15.75" x14ac:dyDescent="0.25">
      <c r="A880" s="23" t="s">
        <v>148</v>
      </c>
      <c r="B880" s="24" t="s">
        <v>251</v>
      </c>
      <c r="C880" s="24" t="s">
        <v>127</v>
      </c>
      <c r="D880" s="24" t="s">
        <v>876</v>
      </c>
      <c r="E880" s="24"/>
      <c r="F880" s="4">
        <f t="shared" ref="F880:G883" si="91">F881</f>
        <v>87</v>
      </c>
      <c r="G880" s="4">
        <f t="shared" si="91"/>
        <v>87</v>
      </c>
    </row>
    <row r="881" spans="1:7" ht="31.5" x14ac:dyDescent="0.25">
      <c r="A881" s="23" t="s">
        <v>880</v>
      </c>
      <c r="B881" s="24" t="s">
        <v>251</v>
      </c>
      <c r="C881" s="24" t="s">
        <v>127</v>
      </c>
      <c r="D881" s="24" t="s">
        <v>875</v>
      </c>
      <c r="E881" s="24"/>
      <c r="F881" s="4">
        <f t="shared" si="91"/>
        <v>87</v>
      </c>
      <c r="G881" s="4">
        <f t="shared" si="91"/>
        <v>87</v>
      </c>
    </row>
    <row r="882" spans="1:7" ht="15.75" x14ac:dyDescent="0.25">
      <c r="A882" s="25" t="s">
        <v>579</v>
      </c>
      <c r="B882" s="20" t="s">
        <v>251</v>
      </c>
      <c r="C882" s="20" t="s">
        <v>127</v>
      </c>
      <c r="D882" s="20" t="s">
        <v>995</v>
      </c>
      <c r="E882" s="20"/>
      <c r="F882" s="6">
        <f t="shared" si="91"/>
        <v>87</v>
      </c>
      <c r="G882" s="6">
        <f t="shared" si="91"/>
        <v>87</v>
      </c>
    </row>
    <row r="883" spans="1:7" ht="31.5" x14ac:dyDescent="0.25">
      <c r="A883" s="25" t="s">
        <v>138</v>
      </c>
      <c r="B883" s="20" t="s">
        <v>251</v>
      </c>
      <c r="C883" s="20" t="s">
        <v>127</v>
      </c>
      <c r="D883" s="20" t="s">
        <v>995</v>
      </c>
      <c r="E883" s="20" t="s">
        <v>139</v>
      </c>
      <c r="F883" s="6">
        <f t="shared" si="91"/>
        <v>87</v>
      </c>
      <c r="G883" s="6">
        <f t="shared" si="91"/>
        <v>87</v>
      </c>
    </row>
    <row r="884" spans="1:7" ht="47.25" x14ac:dyDescent="0.25">
      <c r="A884" s="25" t="s">
        <v>140</v>
      </c>
      <c r="B884" s="20" t="s">
        <v>251</v>
      </c>
      <c r="C884" s="20" t="s">
        <v>127</v>
      </c>
      <c r="D884" s="20" t="s">
        <v>995</v>
      </c>
      <c r="E884" s="20" t="s">
        <v>141</v>
      </c>
      <c r="F884" s="6">
        <f>'пр.6.1.ведом.22-23'!G1045</f>
        <v>87</v>
      </c>
      <c r="G884" s="6">
        <f>'пр.6.1.ведом.22-23'!H1045</f>
        <v>87</v>
      </c>
    </row>
    <row r="885" spans="1:7" ht="15.75" x14ac:dyDescent="0.25">
      <c r="A885" s="41" t="s">
        <v>497</v>
      </c>
      <c r="B885" s="7" t="s">
        <v>498</v>
      </c>
      <c r="C885" s="40"/>
      <c r="D885" s="40"/>
      <c r="E885" s="40"/>
      <c r="F885" s="4">
        <f>F886+F923</f>
        <v>63981.399999999994</v>
      </c>
      <c r="G885" s="4">
        <f>G886+G923</f>
        <v>64012.600000000006</v>
      </c>
    </row>
    <row r="886" spans="1:7" ht="15.75" x14ac:dyDescent="0.25">
      <c r="A886" s="23" t="s">
        <v>499</v>
      </c>
      <c r="B886" s="24" t="s">
        <v>498</v>
      </c>
      <c r="C886" s="24" t="s">
        <v>125</v>
      </c>
      <c r="D886" s="20"/>
      <c r="E886" s="20"/>
      <c r="F886" s="4">
        <f>F887+F918+F913</f>
        <v>50452.2</v>
      </c>
      <c r="G886" s="4">
        <f>G887+G918+G913</f>
        <v>50483.4</v>
      </c>
    </row>
    <row r="887" spans="1:7" ht="47.25" x14ac:dyDescent="0.25">
      <c r="A887" s="23" t="s">
        <v>1386</v>
      </c>
      <c r="B887" s="24" t="s">
        <v>498</v>
      </c>
      <c r="C887" s="24" t="s">
        <v>125</v>
      </c>
      <c r="D887" s="24" t="s">
        <v>489</v>
      </c>
      <c r="E887" s="24"/>
      <c r="F887" s="4">
        <f>F888+F892+F902+F909</f>
        <v>49873.1</v>
      </c>
      <c r="G887" s="4">
        <f>G888+G892+G902+G909</f>
        <v>49873.1</v>
      </c>
    </row>
    <row r="888" spans="1:7" ht="47.25" x14ac:dyDescent="0.25">
      <c r="A888" s="23" t="s">
        <v>947</v>
      </c>
      <c r="B888" s="24" t="s">
        <v>498</v>
      </c>
      <c r="C888" s="24" t="s">
        <v>125</v>
      </c>
      <c r="D888" s="24" t="s">
        <v>1278</v>
      </c>
      <c r="E888" s="24"/>
      <c r="F888" s="4">
        <f t="shared" ref="F888:G890" si="92">F889</f>
        <v>47819.6</v>
      </c>
      <c r="G888" s="4">
        <f t="shared" si="92"/>
        <v>47819.6</v>
      </c>
    </row>
    <row r="889" spans="1:7" ht="47.25" x14ac:dyDescent="0.25">
      <c r="A889" s="25" t="s">
        <v>1308</v>
      </c>
      <c r="B889" s="20" t="s">
        <v>498</v>
      </c>
      <c r="C889" s="20" t="s">
        <v>125</v>
      </c>
      <c r="D889" s="20" t="s">
        <v>1279</v>
      </c>
      <c r="E889" s="20"/>
      <c r="F889" s="6">
        <f t="shared" si="92"/>
        <v>47819.6</v>
      </c>
      <c r="G889" s="6">
        <f t="shared" si="92"/>
        <v>47819.6</v>
      </c>
    </row>
    <row r="890" spans="1:7" ht="47.25" x14ac:dyDescent="0.25">
      <c r="A890" s="25" t="s">
        <v>279</v>
      </c>
      <c r="B890" s="20" t="s">
        <v>498</v>
      </c>
      <c r="C890" s="20" t="s">
        <v>125</v>
      </c>
      <c r="D890" s="20" t="s">
        <v>1279</v>
      </c>
      <c r="E890" s="20" t="s">
        <v>280</v>
      </c>
      <c r="F890" s="6">
        <f t="shared" si="92"/>
        <v>47819.6</v>
      </c>
      <c r="G890" s="6">
        <f t="shared" si="92"/>
        <v>47819.6</v>
      </c>
    </row>
    <row r="891" spans="1:7" ht="15.75" x14ac:dyDescent="0.25">
      <c r="A891" s="25" t="s">
        <v>281</v>
      </c>
      <c r="B891" s="20" t="s">
        <v>498</v>
      </c>
      <c r="C891" s="20" t="s">
        <v>125</v>
      </c>
      <c r="D891" s="20" t="s">
        <v>1279</v>
      </c>
      <c r="E891" s="20" t="s">
        <v>282</v>
      </c>
      <c r="F891" s="6">
        <f>'пр.6.1.ведом.22-23'!G770</f>
        <v>47819.6</v>
      </c>
      <c r="G891" s="6">
        <f>'пр.6.1.ведом.22-23'!H770</f>
        <v>47819.6</v>
      </c>
    </row>
    <row r="892" spans="1:7" ht="31.5" x14ac:dyDescent="0.25">
      <c r="A892" s="23" t="s">
        <v>955</v>
      </c>
      <c r="B892" s="24" t="s">
        <v>498</v>
      </c>
      <c r="C892" s="24" t="s">
        <v>125</v>
      </c>
      <c r="D892" s="24" t="s">
        <v>1280</v>
      </c>
      <c r="E892" s="24"/>
      <c r="F892" s="4">
        <f>F893+F896+F899</f>
        <v>36</v>
      </c>
      <c r="G892" s="4">
        <f>G893+G896+G899</f>
        <v>36</v>
      </c>
    </row>
    <row r="893" spans="1:7" ht="47.25" hidden="1" x14ac:dyDescent="0.25">
      <c r="A893" s="25" t="s">
        <v>285</v>
      </c>
      <c r="B893" s="20" t="s">
        <v>498</v>
      </c>
      <c r="C893" s="20" t="s">
        <v>125</v>
      </c>
      <c r="D893" s="20" t="s">
        <v>1338</v>
      </c>
      <c r="E893" s="20"/>
      <c r="F893" s="6">
        <f>'Пр.3 Рд,пр, ЦС,ВР 21'!F890</f>
        <v>0</v>
      </c>
      <c r="G893" s="6">
        <f>'Пр.3 Рд,пр, ЦС,ВР 21'!G890</f>
        <v>0</v>
      </c>
    </row>
    <row r="894" spans="1:7" ht="47.25" hidden="1" x14ac:dyDescent="0.25">
      <c r="A894" s="25" t="s">
        <v>279</v>
      </c>
      <c r="B894" s="20" t="s">
        <v>498</v>
      </c>
      <c r="C894" s="20" t="s">
        <v>125</v>
      </c>
      <c r="D894" s="20" t="s">
        <v>1338</v>
      </c>
      <c r="E894" s="20" t="s">
        <v>280</v>
      </c>
      <c r="F894" s="6">
        <f>'Пр.3 Рд,пр, ЦС,ВР 21'!F891</f>
        <v>0</v>
      </c>
      <c r="G894" s="6">
        <f>'Пр.3 Рд,пр, ЦС,ВР 21'!G891</f>
        <v>0</v>
      </c>
    </row>
    <row r="895" spans="1:7" ht="15.75" hidden="1" x14ac:dyDescent="0.25">
      <c r="A895" s="25" t="s">
        <v>281</v>
      </c>
      <c r="B895" s="20" t="s">
        <v>498</v>
      </c>
      <c r="C895" s="20" t="s">
        <v>125</v>
      </c>
      <c r="D895" s="20" t="s">
        <v>1338</v>
      </c>
      <c r="E895" s="20" t="s">
        <v>282</v>
      </c>
      <c r="F895" s="6">
        <f>'Пр.3 Рд,пр, ЦС,ВР 21'!F892</f>
        <v>0</v>
      </c>
      <c r="G895" s="6">
        <f>'Пр.3 Рд,пр, ЦС,ВР 21'!G892</f>
        <v>0</v>
      </c>
    </row>
    <row r="896" spans="1:7" ht="31.5" hidden="1" x14ac:dyDescent="0.25">
      <c r="A896" s="25" t="s">
        <v>287</v>
      </c>
      <c r="B896" s="20" t="s">
        <v>498</v>
      </c>
      <c r="C896" s="20" t="s">
        <v>125</v>
      </c>
      <c r="D896" s="20" t="s">
        <v>1339</v>
      </c>
      <c r="E896" s="20"/>
      <c r="F896" s="6">
        <f>F897</f>
        <v>0</v>
      </c>
      <c r="G896" s="6">
        <f>G897</f>
        <v>0</v>
      </c>
    </row>
    <row r="897" spans="1:7" ht="47.25" hidden="1" x14ac:dyDescent="0.25">
      <c r="A897" s="25" t="s">
        <v>279</v>
      </c>
      <c r="B897" s="20" t="s">
        <v>498</v>
      </c>
      <c r="C897" s="20" t="s">
        <v>125</v>
      </c>
      <c r="D897" s="20" t="s">
        <v>1339</v>
      </c>
      <c r="E897" s="20" t="s">
        <v>280</v>
      </c>
      <c r="F897" s="6">
        <f>F898</f>
        <v>0</v>
      </c>
      <c r="G897" s="6">
        <f>G898</f>
        <v>0</v>
      </c>
    </row>
    <row r="898" spans="1:7" ht="15.75" hidden="1" x14ac:dyDescent="0.25">
      <c r="A898" s="25" t="s">
        <v>281</v>
      </c>
      <c r="B898" s="20" t="s">
        <v>498</v>
      </c>
      <c r="C898" s="20" t="s">
        <v>125</v>
      </c>
      <c r="D898" s="20" t="s">
        <v>1339</v>
      </c>
      <c r="E898" s="20" t="s">
        <v>282</v>
      </c>
      <c r="F898" s="6">
        <f>'пр.6.1.ведом.22-23'!G777</f>
        <v>0</v>
      </c>
      <c r="G898" s="6">
        <f>'пр.6.1.ведом.22-23'!H777</f>
        <v>0</v>
      </c>
    </row>
    <row r="899" spans="1:7" ht="15.75" x14ac:dyDescent="0.25">
      <c r="A899" s="25" t="s">
        <v>840</v>
      </c>
      <c r="B899" s="20" t="s">
        <v>498</v>
      </c>
      <c r="C899" s="20" t="s">
        <v>125</v>
      </c>
      <c r="D899" s="20" t="s">
        <v>1281</v>
      </c>
      <c r="E899" s="20"/>
      <c r="F899" s="6">
        <f>F900</f>
        <v>36</v>
      </c>
      <c r="G899" s="6">
        <f>G900</f>
        <v>36</v>
      </c>
    </row>
    <row r="900" spans="1:7" ht="47.25" x14ac:dyDescent="0.25">
      <c r="A900" s="25" t="s">
        <v>279</v>
      </c>
      <c r="B900" s="20" t="s">
        <v>498</v>
      </c>
      <c r="C900" s="20" t="s">
        <v>125</v>
      </c>
      <c r="D900" s="20" t="s">
        <v>1281</v>
      </c>
      <c r="E900" s="20" t="s">
        <v>280</v>
      </c>
      <c r="F900" s="6">
        <f>F901</f>
        <v>36</v>
      </c>
      <c r="G900" s="6">
        <f>G901</f>
        <v>36</v>
      </c>
    </row>
    <row r="901" spans="1:7" ht="15.75" x14ac:dyDescent="0.25">
      <c r="A901" s="25" t="s">
        <v>281</v>
      </c>
      <c r="B901" s="20" t="s">
        <v>498</v>
      </c>
      <c r="C901" s="20" t="s">
        <v>125</v>
      </c>
      <c r="D901" s="20" t="s">
        <v>1281</v>
      </c>
      <c r="E901" s="20" t="s">
        <v>282</v>
      </c>
      <c r="F901" s="6">
        <f>'пр.6.1.ведом.22-23'!G781</f>
        <v>36</v>
      </c>
      <c r="G901" s="6">
        <f>'пр.6.1.ведом.22-23'!H781</f>
        <v>36</v>
      </c>
    </row>
    <row r="902" spans="1:7" ht="47.25" x14ac:dyDescent="0.25">
      <c r="A902" s="23" t="s">
        <v>957</v>
      </c>
      <c r="B902" s="24" t="s">
        <v>498</v>
      </c>
      <c r="C902" s="24" t="s">
        <v>125</v>
      </c>
      <c r="D902" s="24" t="s">
        <v>1282</v>
      </c>
      <c r="E902" s="24"/>
      <c r="F902" s="4">
        <f>F903+F906</f>
        <v>1204</v>
      </c>
      <c r="G902" s="4">
        <f>G903+G906</f>
        <v>1204</v>
      </c>
    </row>
    <row r="903" spans="1:7" ht="31.5" hidden="1" x14ac:dyDescent="0.25">
      <c r="A903" s="25" t="s">
        <v>801</v>
      </c>
      <c r="B903" s="20" t="s">
        <v>498</v>
      </c>
      <c r="C903" s="20" t="s">
        <v>125</v>
      </c>
      <c r="D903" s="20" t="s">
        <v>1320</v>
      </c>
      <c r="E903" s="20"/>
      <c r="F903" s="6">
        <f>'Пр.3 Рд,пр, ЦС,ВР 21'!F900</f>
        <v>0</v>
      </c>
      <c r="G903" s="6">
        <f>'Пр.3 Рд,пр, ЦС,ВР 21'!G900</f>
        <v>0</v>
      </c>
    </row>
    <row r="904" spans="1:7" ht="47.25" hidden="1" x14ac:dyDescent="0.25">
      <c r="A904" s="25" t="s">
        <v>279</v>
      </c>
      <c r="B904" s="20" t="s">
        <v>498</v>
      </c>
      <c r="C904" s="20" t="s">
        <v>125</v>
      </c>
      <c r="D904" s="20" t="s">
        <v>1320</v>
      </c>
      <c r="E904" s="20" t="s">
        <v>280</v>
      </c>
      <c r="F904" s="6">
        <f>'Пр.3 Рд,пр, ЦС,ВР 21'!F901</f>
        <v>0</v>
      </c>
      <c r="G904" s="6">
        <f>'Пр.3 Рд,пр, ЦС,ВР 21'!G901</f>
        <v>0</v>
      </c>
    </row>
    <row r="905" spans="1:7" ht="15.75" hidden="1" x14ac:dyDescent="0.25">
      <c r="A905" s="25" t="s">
        <v>281</v>
      </c>
      <c r="B905" s="20" t="s">
        <v>498</v>
      </c>
      <c r="C905" s="20" t="s">
        <v>125</v>
      </c>
      <c r="D905" s="20" t="s">
        <v>1320</v>
      </c>
      <c r="E905" s="20" t="s">
        <v>282</v>
      </c>
      <c r="F905" s="6">
        <f>'Пр.3 Рд,пр, ЦС,ВР 21'!F902</f>
        <v>0</v>
      </c>
      <c r="G905" s="6">
        <f>'Пр.3 Рд,пр, ЦС,ВР 21'!G902</f>
        <v>0</v>
      </c>
    </row>
    <row r="906" spans="1:7" ht="47.25" x14ac:dyDescent="0.25">
      <c r="A906" s="45" t="s">
        <v>774</v>
      </c>
      <c r="B906" s="20" t="s">
        <v>498</v>
      </c>
      <c r="C906" s="20" t="s">
        <v>125</v>
      </c>
      <c r="D906" s="20" t="s">
        <v>1283</v>
      </c>
      <c r="E906" s="20"/>
      <c r="F906" s="6">
        <f>F907</f>
        <v>1204</v>
      </c>
      <c r="G906" s="6">
        <f>G907</f>
        <v>1204</v>
      </c>
    </row>
    <row r="907" spans="1:7" ht="47.25" x14ac:dyDescent="0.25">
      <c r="A907" s="31" t="s">
        <v>279</v>
      </c>
      <c r="B907" s="20" t="s">
        <v>498</v>
      </c>
      <c r="C907" s="20" t="s">
        <v>125</v>
      </c>
      <c r="D907" s="20" t="s">
        <v>1283</v>
      </c>
      <c r="E907" s="20" t="s">
        <v>280</v>
      </c>
      <c r="F907" s="6">
        <f>F908</f>
        <v>1204</v>
      </c>
      <c r="G907" s="6">
        <f>G908</f>
        <v>1204</v>
      </c>
    </row>
    <row r="908" spans="1:7" ht="15.75" x14ac:dyDescent="0.25">
      <c r="A908" s="31" t="s">
        <v>281</v>
      </c>
      <c r="B908" s="20" t="s">
        <v>498</v>
      </c>
      <c r="C908" s="20" t="s">
        <v>125</v>
      </c>
      <c r="D908" s="20" t="s">
        <v>1283</v>
      </c>
      <c r="E908" s="20" t="s">
        <v>282</v>
      </c>
      <c r="F908" s="6">
        <f>'пр.6.1.ведом.22-23'!G788</f>
        <v>1204</v>
      </c>
      <c r="G908" s="6">
        <f>'пр.6.1.ведом.22-23'!H788</f>
        <v>1204</v>
      </c>
    </row>
    <row r="909" spans="1:7" ht="54.75" customHeight="1" x14ac:dyDescent="0.25">
      <c r="A909" s="23" t="s">
        <v>910</v>
      </c>
      <c r="B909" s="24" t="s">
        <v>498</v>
      </c>
      <c r="C909" s="24" t="s">
        <v>125</v>
      </c>
      <c r="D909" s="24" t="s">
        <v>1284</v>
      </c>
      <c r="E909" s="24"/>
      <c r="F909" s="4">
        <f t="shared" ref="F909:G911" si="93">F910</f>
        <v>813.5</v>
      </c>
      <c r="G909" s="4">
        <f t="shared" si="93"/>
        <v>813.5</v>
      </c>
    </row>
    <row r="910" spans="1:7" ht="121.7" customHeight="1" x14ac:dyDescent="0.25">
      <c r="A910" s="31" t="s">
        <v>471</v>
      </c>
      <c r="B910" s="20" t="s">
        <v>498</v>
      </c>
      <c r="C910" s="20" t="s">
        <v>125</v>
      </c>
      <c r="D910" s="20" t="s">
        <v>1419</v>
      </c>
      <c r="E910" s="20"/>
      <c r="F910" s="6">
        <f t="shared" si="93"/>
        <v>813.5</v>
      </c>
      <c r="G910" s="6">
        <f t="shared" si="93"/>
        <v>813.5</v>
      </c>
    </row>
    <row r="911" spans="1:7" ht="47.25" x14ac:dyDescent="0.25">
      <c r="A911" s="25" t="s">
        <v>279</v>
      </c>
      <c r="B911" s="20" t="s">
        <v>498</v>
      </c>
      <c r="C911" s="20" t="s">
        <v>125</v>
      </c>
      <c r="D911" s="20" t="s">
        <v>1419</v>
      </c>
      <c r="E911" s="20" t="s">
        <v>280</v>
      </c>
      <c r="F911" s="6">
        <f t="shared" si="93"/>
        <v>813.5</v>
      </c>
      <c r="G911" s="6">
        <f t="shared" si="93"/>
        <v>813.5</v>
      </c>
    </row>
    <row r="912" spans="1:7" ht="15.75" x14ac:dyDescent="0.25">
      <c r="A912" s="25" t="s">
        <v>281</v>
      </c>
      <c r="B912" s="20" t="s">
        <v>498</v>
      </c>
      <c r="C912" s="20" t="s">
        <v>125</v>
      </c>
      <c r="D912" s="20" t="s">
        <v>1419</v>
      </c>
      <c r="E912" s="20" t="s">
        <v>282</v>
      </c>
      <c r="F912" s="6">
        <f>'пр.6.1.ведом.22-23'!G792</f>
        <v>813.5</v>
      </c>
      <c r="G912" s="6">
        <f>'пр.6.1.ведом.22-23'!H792</f>
        <v>813.5</v>
      </c>
    </row>
    <row r="913" spans="1:7" s="202" customFormat="1" ht="63" x14ac:dyDescent="0.25">
      <c r="A913" s="34" t="s">
        <v>1374</v>
      </c>
      <c r="B913" s="24" t="s">
        <v>498</v>
      </c>
      <c r="C913" s="24" t="s">
        <v>125</v>
      </c>
      <c r="D913" s="24" t="s">
        <v>331</v>
      </c>
      <c r="E913" s="24"/>
      <c r="F913" s="4">
        <f t="shared" ref="F913:G916" si="94">F914</f>
        <v>0</v>
      </c>
      <c r="G913" s="4">
        <f t="shared" si="94"/>
        <v>8</v>
      </c>
    </row>
    <row r="914" spans="1:7" s="202" customFormat="1" ht="63" x14ac:dyDescent="0.25">
      <c r="A914" s="34" t="s">
        <v>1034</v>
      </c>
      <c r="B914" s="24" t="s">
        <v>498</v>
      </c>
      <c r="C914" s="24" t="s">
        <v>125</v>
      </c>
      <c r="D914" s="24" t="s">
        <v>944</v>
      </c>
      <c r="E914" s="24"/>
      <c r="F914" s="4">
        <f t="shared" si="94"/>
        <v>0</v>
      </c>
      <c r="G914" s="4">
        <f t="shared" si="94"/>
        <v>8</v>
      </c>
    </row>
    <row r="915" spans="1:7" s="202" customFormat="1" ht="47.25" x14ac:dyDescent="0.25">
      <c r="A915" s="31" t="s">
        <v>1018</v>
      </c>
      <c r="B915" s="20" t="s">
        <v>498</v>
      </c>
      <c r="C915" s="20" t="s">
        <v>125</v>
      </c>
      <c r="D915" s="20" t="s">
        <v>945</v>
      </c>
      <c r="E915" s="20"/>
      <c r="F915" s="6">
        <f t="shared" si="94"/>
        <v>0</v>
      </c>
      <c r="G915" s="6">
        <f t="shared" si="94"/>
        <v>8</v>
      </c>
    </row>
    <row r="916" spans="1:7" s="202" customFormat="1" ht="47.25" x14ac:dyDescent="0.25">
      <c r="A916" s="31" t="s">
        <v>279</v>
      </c>
      <c r="B916" s="20" t="s">
        <v>498</v>
      </c>
      <c r="C916" s="20" t="s">
        <v>125</v>
      </c>
      <c r="D916" s="20" t="s">
        <v>945</v>
      </c>
      <c r="E916" s="20" t="s">
        <v>280</v>
      </c>
      <c r="F916" s="6">
        <f t="shared" si="94"/>
        <v>0</v>
      </c>
      <c r="G916" s="6">
        <f t="shared" si="94"/>
        <v>8</v>
      </c>
    </row>
    <row r="917" spans="1:7" s="202" customFormat="1" ht="15.75" x14ac:dyDescent="0.25">
      <c r="A917" s="31" t="s">
        <v>281</v>
      </c>
      <c r="B917" s="20" t="s">
        <v>498</v>
      </c>
      <c r="C917" s="20" t="s">
        <v>125</v>
      </c>
      <c r="D917" s="20" t="s">
        <v>945</v>
      </c>
      <c r="E917" s="20" t="s">
        <v>282</v>
      </c>
      <c r="F917" s="6">
        <f>'пр.6.1.ведом.22-23'!G797</f>
        <v>0</v>
      </c>
      <c r="G917" s="6">
        <f>'пр.6.1.ведом.22-23'!H797</f>
        <v>8</v>
      </c>
    </row>
    <row r="918" spans="1:7" ht="48.95" customHeight="1" x14ac:dyDescent="0.25">
      <c r="A918" s="41" t="s">
        <v>1369</v>
      </c>
      <c r="B918" s="24" t="s">
        <v>498</v>
      </c>
      <c r="C918" s="24" t="s">
        <v>125</v>
      </c>
      <c r="D918" s="24" t="s">
        <v>715</v>
      </c>
      <c r="E918" s="217"/>
      <c r="F918" s="4">
        <f t="shared" ref="F918:G918" si="95">F919</f>
        <v>579.1</v>
      </c>
      <c r="G918" s="4">
        <f t="shared" si="95"/>
        <v>602.29999999999995</v>
      </c>
    </row>
    <row r="919" spans="1:7" ht="63" x14ac:dyDescent="0.25">
      <c r="A919" s="41" t="s">
        <v>900</v>
      </c>
      <c r="B919" s="24" t="s">
        <v>498</v>
      </c>
      <c r="C919" s="24" t="s">
        <v>125</v>
      </c>
      <c r="D919" s="24" t="s">
        <v>898</v>
      </c>
      <c r="E919" s="217"/>
      <c r="F919" s="4">
        <f t="shared" ref="F919:G921" si="96">F920</f>
        <v>579.1</v>
      </c>
      <c r="G919" s="4">
        <f t="shared" si="96"/>
        <v>602.29999999999995</v>
      </c>
    </row>
    <row r="920" spans="1:7" ht="47.25" x14ac:dyDescent="0.25">
      <c r="A920" s="98" t="s">
        <v>790</v>
      </c>
      <c r="B920" s="20" t="s">
        <v>498</v>
      </c>
      <c r="C920" s="20" t="s">
        <v>125</v>
      </c>
      <c r="D920" s="20" t="s">
        <v>946</v>
      </c>
      <c r="E920" s="32"/>
      <c r="F920" s="6">
        <f t="shared" si="96"/>
        <v>579.1</v>
      </c>
      <c r="G920" s="6">
        <f t="shared" si="96"/>
        <v>602.29999999999995</v>
      </c>
    </row>
    <row r="921" spans="1:7" ht="47.25" x14ac:dyDescent="0.25">
      <c r="A921" s="29" t="s">
        <v>279</v>
      </c>
      <c r="B921" s="20" t="s">
        <v>498</v>
      </c>
      <c r="C921" s="20" t="s">
        <v>125</v>
      </c>
      <c r="D921" s="20" t="s">
        <v>946</v>
      </c>
      <c r="E921" s="32" t="s">
        <v>280</v>
      </c>
      <c r="F921" s="6">
        <f t="shared" si="96"/>
        <v>579.1</v>
      </c>
      <c r="G921" s="6">
        <f t="shared" si="96"/>
        <v>602.29999999999995</v>
      </c>
    </row>
    <row r="922" spans="1:7" ht="15.75" x14ac:dyDescent="0.25">
      <c r="A922" s="184" t="s">
        <v>281</v>
      </c>
      <c r="B922" s="20" t="s">
        <v>498</v>
      </c>
      <c r="C922" s="20" t="s">
        <v>125</v>
      </c>
      <c r="D922" s="20" t="s">
        <v>946</v>
      </c>
      <c r="E922" s="32" t="s">
        <v>282</v>
      </c>
      <c r="F922" s="6">
        <f>'пр.6.1.ведом.22-23'!G802</f>
        <v>579.1</v>
      </c>
      <c r="G922" s="6">
        <f>'пр.6.1.ведом.22-23'!H802</f>
        <v>602.29999999999995</v>
      </c>
    </row>
    <row r="923" spans="1:7" ht="31.5" x14ac:dyDescent="0.25">
      <c r="A923" s="23" t="s">
        <v>507</v>
      </c>
      <c r="B923" s="24" t="s">
        <v>498</v>
      </c>
      <c r="C923" s="24" t="s">
        <v>241</v>
      </c>
      <c r="D923" s="24"/>
      <c r="E923" s="24"/>
      <c r="F923" s="4">
        <f>F924+F932+F944</f>
        <v>13529.2</v>
      </c>
      <c r="G923" s="4">
        <f>G924+G932+G944</f>
        <v>13529.2</v>
      </c>
    </row>
    <row r="924" spans="1:7" ht="31.5" x14ac:dyDescent="0.25">
      <c r="A924" s="23" t="s">
        <v>927</v>
      </c>
      <c r="B924" s="24" t="s">
        <v>498</v>
      </c>
      <c r="C924" s="24" t="s">
        <v>241</v>
      </c>
      <c r="D924" s="24" t="s">
        <v>868</v>
      </c>
      <c r="E924" s="24"/>
      <c r="F924" s="4">
        <f>F925</f>
        <v>5224.5</v>
      </c>
      <c r="G924" s="4">
        <f>G925</f>
        <v>5224.5</v>
      </c>
    </row>
    <row r="925" spans="1:7" ht="15.75" x14ac:dyDescent="0.25">
      <c r="A925" s="23" t="s">
        <v>928</v>
      </c>
      <c r="B925" s="24" t="s">
        <v>498</v>
      </c>
      <c r="C925" s="24" t="s">
        <v>241</v>
      </c>
      <c r="D925" s="24" t="s">
        <v>869</v>
      </c>
      <c r="E925" s="24"/>
      <c r="F925" s="4">
        <f>F926+F929</f>
        <v>5224.5</v>
      </c>
      <c r="G925" s="4">
        <f>G926+G929</f>
        <v>5224.5</v>
      </c>
    </row>
    <row r="926" spans="1:7" ht="31.5" x14ac:dyDescent="0.25">
      <c r="A926" s="25" t="s">
        <v>907</v>
      </c>
      <c r="B926" s="20" t="s">
        <v>498</v>
      </c>
      <c r="C926" s="20" t="s">
        <v>241</v>
      </c>
      <c r="D926" s="20" t="s">
        <v>870</v>
      </c>
      <c r="E926" s="20"/>
      <c r="F926" s="6">
        <f>F927</f>
        <v>4888.5</v>
      </c>
      <c r="G926" s="6">
        <f>G927</f>
        <v>4888.5</v>
      </c>
    </row>
    <row r="927" spans="1:7" ht="94.5" x14ac:dyDescent="0.25">
      <c r="A927" s="25" t="s">
        <v>134</v>
      </c>
      <c r="B927" s="20" t="s">
        <v>498</v>
      </c>
      <c r="C927" s="20" t="s">
        <v>241</v>
      </c>
      <c r="D927" s="20" t="s">
        <v>870</v>
      </c>
      <c r="E927" s="20" t="s">
        <v>135</v>
      </c>
      <c r="F927" s="6">
        <f>F928</f>
        <v>4888.5</v>
      </c>
      <c r="G927" s="6">
        <f>G928</f>
        <v>4888.5</v>
      </c>
    </row>
    <row r="928" spans="1:7" ht="31.5" x14ac:dyDescent="0.25">
      <c r="A928" s="25" t="s">
        <v>136</v>
      </c>
      <c r="B928" s="20" t="s">
        <v>498</v>
      </c>
      <c r="C928" s="20" t="s">
        <v>241</v>
      </c>
      <c r="D928" s="20" t="s">
        <v>870</v>
      </c>
      <c r="E928" s="20" t="s">
        <v>137</v>
      </c>
      <c r="F928" s="6">
        <f>'пр.6.1.ведом.22-23'!G808</f>
        <v>4888.5</v>
      </c>
      <c r="G928" s="6">
        <f>'пр.6.1.ведом.22-23'!H808</f>
        <v>4888.5</v>
      </c>
    </row>
    <row r="929" spans="1:7" ht="47.25" x14ac:dyDescent="0.25">
      <c r="A929" s="25" t="s">
        <v>849</v>
      </c>
      <c r="B929" s="20" t="s">
        <v>498</v>
      </c>
      <c r="C929" s="20" t="s">
        <v>241</v>
      </c>
      <c r="D929" s="20" t="s">
        <v>872</v>
      </c>
      <c r="E929" s="20"/>
      <c r="F929" s="6">
        <f>F930</f>
        <v>336</v>
      </c>
      <c r="G929" s="6">
        <f>G930</f>
        <v>336</v>
      </c>
    </row>
    <row r="930" spans="1:7" ht="94.5" x14ac:dyDescent="0.25">
      <c r="A930" s="25" t="s">
        <v>134</v>
      </c>
      <c r="B930" s="20" t="s">
        <v>498</v>
      </c>
      <c r="C930" s="20" t="s">
        <v>241</v>
      </c>
      <c r="D930" s="20" t="s">
        <v>872</v>
      </c>
      <c r="E930" s="20" t="s">
        <v>135</v>
      </c>
      <c r="F930" s="6">
        <f>F931</f>
        <v>336</v>
      </c>
      <c r="G930" s="6">
        <f>G931</f>
        <v>336</v>
      </c>
    </row>
    <row r="931" spans="1:7" ht="31.5" x14ac:dyDescent="0.25">
      <c r="A931" s="25" t="s">
        <v>136</v>
      </c>
      <c r="B931" s="20" t="s">
        <v>498</v>
      </c>
      <c r="C931" s="20" t="s">
        <v>241</v>
      </c>
      <c r="D931" s="20" t="s">
        <v>872</v>
      </c>
      <c r="E931" s="20" t="s">
        <v>137</v>
      </c>
      <c r="F931" s="6">
        <f>'пр.6.1.ведом.22-23'!G811</f>
        <v>336</v>
      </c>
      <c r="G931" s="6">
        <f>'пр.6.1.ведом.22-23'!H811</f>
        <v>336</v>
      </c>
    </row>
    <row r="932" spans="1:7" ht="15.75" x14ac:dyDescent="0.25">
      <c r="A932" s="23" t="s">
        <v>148</v>
      </c>
      <c r="B932" s="24" t="s">
        <v>498</v>
      </c>
      <c r="C932" s="24" t="s">
        <v>241</v>
      </c>
      <c r="D932" s="24" t="s">
        <v>876</v>
      </c>
      <c r="E932" s="24"/>
      <c r="F932" s="4">
        <f>F933</f>
        <v>5304.7</v>
      </c>
      <c r="G932" s="4">
        <f>G933</f>
        <v>5304.7</v>
      </c>
    </row>
    <row r="933" spans="1:7" ht="32.65" customHeight="1" x14ac:dyDescent="0.25">
      <c r="A933" s="23" t="s">
        <v>939</v>
      </c>
      <c r="B933" s="24" t="s">
        <v>498</v>
      </c>
      <c r="C933" s="24" t="s">
        <v>241</v>
      </c>
      <c r="D933" s="24" t="s">
        <v>924</v>
      </c>
      <c r="E933" s="24"/>
      <c r="F933" s="4">
        <f>F934+F941</f>
        <v>5304.7</v>
      </c>
      <c r="G933" s="4">
        <f>G934+G941</f>
        <v>5304.7</v>
      </c>
    </row>
    <row r="934" spans="1:7" ht="31.5" x14ac:dyDescent="0.25">
      <c r="A934" s="25" t="s">
        <v>913</v>
      </c>
      <c r="B934" s="20" t="s">
        <v>498</v>
      </c>
      <c r="C934" s="20" t="s">
        <v>241</v>
      </c>
      <c r="D934" s="20" t="s">
        <v>925</v>
      </c>
      <c r="E934" s="20"/>
      <c r="F934" s="6">
        <f>F937+F939+F935</f>
        <v>5089.7</v>
      </c>
      <c r="G934" s="6">
        <f>G937+G939+G935</f>
        <v>5089.7</v>
      </c>
    </row>
    <row r="935" spans="1:7" ht="94.5" x14ac:dyDescent="0.25">
      <c r="A935" s="25" t="s">
        <v>134</v>
      </c>
      <c r="B935" s="20" t="s">
        <v>498</v>
      </c>
      <c r="C935" s="20" t="s">
        <v>241</v>
      </c>
      <c r="D935" s="20" t="s">
        <v>925</v>
      </c>
      <c r="E935" s="20" t="s">
        <v>135</v>
      </c>
      <c r="F935" s="6">
        <f>F936</f>
        <v>4695.3999999999996</v>
      </c>
      <c r="G935" s="6">
        <f>G936</f>
        <v>4695.3999999999996</v>
      </c>
    </row>
    <row r="936" spans="1:7" ht="31.5" x14ac:dyDescent="0.25">
      <c r="A936" s="25" t="s">
        <v>349</v>
      </c>
      <c r="B936" s="20" t="s">
        <v>498</v>
      </c>
      <c r="C936" s="20" t="s">
        <v>241</v>
      </c>
      <c r="D936" s="20" t="s">
        <v>925</v>
      </c>
      <c r="E936" s="20" t="s">
        <v>216</v>
      </c>
      <c r="F936" s="6">
        <f>'пр.6.1.ведом.22-23'!G816</f>
        <v>4695.3999999999996</v>
      </c>
      <c r="G936" s="6">
        <f>'пр.6.1.ведом.22-23'!H816</f>
        <v>4695.3999999999996</v>
      </c>
    </row>
    <row r="937" spans="1:7" ht="31.5" x14ac:dyDescent="0.25">
      <c r="A937" s="25" t="s">
        <v>138</v>
      </c>
      <c r="B937" s="20" t="s">
        <v>498</v>
      </c>
      <c r="C937" s="20" t="s">
        <v>241</v>
      </c>
      <c r="D937" s="20" t="s">
        <v>925</v>
      </c>
      <c r="E937" s="20" t="s">
        <v>139</v>
      </c>
      <c r="F937" s="6">
        <f>F938</f>
        <v>343.3</v>
      </c>
      <c r="G937" s="6">
        <f>G938</f>
        <v>343.3</v>
      </c>
    </row>
    <row r="938" spans="1:7" ht="47.25" x14ac:dyDescent="0.25">
      <c r="A938" s="25" t="s">
        <v>140</v>
      </c>
      <c r="B938" s="20" t="s">
        <v>498</v>
      </c>
      <c r="C938" s="20" t="s">
        <v>241</v>
      </c>
      <c r="D938" s="20" t="s">
        <v>925</v>
      </c>
      <c r="E938" s="20" t="s">
        <v>141</v>
      </c>
      <c r="F938" s="6">
        <f>'пр.6.1.ведом.22-23'!G818</f>
        <v>343.3</v>
      </c>
      <c r="G938" s="6">
        <f>'пр.6.1.ведом.22-23'!H818</f>
        <v>343.3</v>
      </c>
    </row>
    <row r="939" spans="1:7" ht="15.75" x14ac:dyDescent="0.25">
      <c r="A939" s="25" t="s">
        <v>142</v>
      </c>
      <c r="B939" s="20" t="s">
        <v>498</v>
      </c>
      <c r="C939" s="20" t="s">
        <v>241</v>
      </c>
      <c r="D939" s="20" t="s">
        <v>925</v>
      </c>
      <c r="E939" s="20" t="s">
        <v>152</v>
      </c>
      <c r="F939" s="6">
        <f>F940</f>
        <v>51</v>
      </c>
      <c r="G939" s="6">
        <f>G940</f>
        <v>51</v>
      </c>
    </row>
    <row r="940" spans="1:7" ht="15.75" x14ac:dyDescent="0.25">
      <c r="A940" s="25" t="s">
        <v>575</v>
      </c>
      <c r="B940" s="20" t="s">
        <v>498</v>
      </c>
      <c r="C940" s="20" t="s">
        <v>241</v>
      </c>
      <c r="D940" s="20" t="s">
        <v>925</v>
      </c>
      <c r="E940" s="20" t="s">
        <v>145</v>
      </c>
      <c r="F940" s="6">
        <f>'пр.6.1.ведом.22-23'!G820</f>
        <v>51</v>
      </c>
      <c r="G940" s="6">
        <f>'пр.6.1.ведом.22-23'!H820</f>
        <v>51</v>
      </c>
    </row>
    <row r="941" spans="1:7" ht="47.25" x14ac:dyDescent="0.25">
      <c r="A941" s="25" t="s">
        <v>849</v>
      </c>
      <c r="B941" s="20" t="s">
        <v>498</v>
      </c>
      <c r="C941" s="20" t="s">
        <v>241</v>
      </c>
      <c r="D941" s="20" t="s">
        <v>926</v>
      </c>
      <c r="E941" s="20"/>
      <c r="F941" s="6">
        <f>F942</f>
        <v>215</v>
      </c>
      <c r="G941" s="6">
        <f>G942</f>
        <v>215</v>
      </c>
    </row>
    <row r="942" spans="1:7" ht="94.5" x14ac:dyDescent="0.25">
      <c r="A942" s="25" t="s">
        <v>134</v>
      </c>
      <c r="B942" s="20" t="s">
        <v>498</v>
      </c>
      <c r="C942" s="20" t="s">
        <v>241</v>
      </c>
      <c r="D942" s="20" t="s">
        <v>926</v>
      </c>
      <c r="E942" s="20" t="s">
        <v>135</v>
      </c>
      <c r="F942" s="6">
        <f>F943</f>
        <v>215</v>
      </c>
      <c r="G942" s="6">
        <f>G943</f>
        <v>215</v>
      </c>
    </row>
    <row r="943" spans="1:7" ht="31.5" x14ac:dyDescent="0.25">
      <c r="A943" s="25" t="s">
        <v>136</v>
      </c>
      <c r="B943" s="20" t="s">
        <v>498</v>
      </c>
      <c r="C943" s="20" t="s">
        <v>241</v>
      </c>
      <c r="D943" s="20" t="s">
        <v>926</v>
      </c>
      <c r="E943" s="20" t="s">
        <v>137</v>
      </c>
      <c r="F943" s="6">
        <f>'пр.6.1.ведом.22-23'!G823</f>
        <v>215</v>
      </c>
      <c r="G943" s="6">
        <f>'пр.6.1.ведом.22-23'!H823</f>
        <v>215</v>
      </c>
    </row>
    <row r="944" spans="1:7" ht="47.25" x14ac:dyDescent="0.25">
      <c r="A944" s="41" t="s">
        <v>1386</v>
      </c>
      <c r="B944" s="24" t="s">
        <v>498</v>
      </c>
      <c r="C944" s="24" t="s">
        <v>241</v>
      </c>
      <c r="D944" s="7" t="s">
        <v>489</v>
      </c>
      <c r="E944" s="24"/>
      <c r="F944" s="4">
        <f>F945</f>
        <v>3000</v>
      </c>
      <c r="G944" s="4">
        <f>G945</f>
        <v>3000</v>
      </c>
    </row>
    <row r="945" spans="1:7" ht="31.5" x14ac:dyDescent="0.25">
      <c r="A945" s="58" t="s">
        <v>961</v>
      </c>
      <c r="B945" s="24" t="s">
        <v>498</v>
      </c>
      <c r="C945" s="24" t="s">
        <v>241</v>
      </c>
      <c r="D945" s="7" t="s">
        <v>1286</v>
      </c>
      <c r="E945" s="24"/>
      <c r="F945" s="4">
        <f t="shared" ref="F945:G945" si="97">F946</f>
        <v>3000</v>
      </c>
      <c r="G945" s="4">
        <f t="shared" si="97"/>
        <v>3000</v>
      </c>
    </row>
    <row r="946" spans="1:7" ht="31.5" x14ac:dyDescent="0.25">
      <c r="A946" s="29" t="s">
        <v>962</v>
      </c>
      <c r="B946" s="20" t="s">
        <v>498</v>
      </c>
      <c r="C946" s="20" t="s">
        <v>241</v>
      </c>
      <c r="D946" s="40" t="s">
        <v>1287</v>
      </c>
      <c r="E946" s="20"/>
      <c r="F946" s="6">
        <f>F947+F949</f>
        <v>3000</v>
      </c>
      <c r="G946" s="6">
        <f>G947+G949</f>
        <v>3000</v>
      </c>
    </row>
    <row r="947" spans="1:7" ht="94.5" x14ac:dyDescent="0.25">
      <c r="A947" s="25" t="s">
        <v>134</v>
      </c>
      <c r="B947" s="20" t="s">
        <v>498</v>
      </c>
      <c r="C947" s="20" t="s">
        <v>241</v>
      </c>
      <c r="D947" s="40" t="s">
        <v>1287</v>
      </c>
      <c r="E947" s="20" t="s">
        <v>135</v>
      </c>
      <c r="F947" s="6">
        <f>F948</f>
        <v>2500</v>
      </c>
      <c r="G947" s="6">
        <f>G948</f>
        <v>2500</v>
      </c>
    </row>
    <row r="948" spans="1:7" ht="31.5" x14ac:dyDescent="0.25">
      <c r="A948" s="25" t="s">
        <v>349</v>
      </c>
      <c r="B948" s="20" t="s">
        <v>498</v>
      </c>
      <c r="C948" s="20" t="s">
        <v>241</v>
      </c>
      <c r="D948" s="40" t="s">
        <v>1287</v>
      </c>
      <c r="E948" s="20" t="s">
        <v>216</v>
      </c>
      <c r="F948" s="6">
        <f>'пр.6.1.ведом.22-23'!G828</f>
        <v>2500</v>
      </c>
      <c r="G948" s="6">
        <f>'пр.6.1.ведом.22-23'!H828</f>
        <v>2500</v>
      </c>
    </row>
    <row r="949" spans="1:7" ht="31.5" x14ac:dyDescent="0.25">
      <c r="A949" s="29" t="s">
        <v>138</v>
      </c>
      <c r="B949" s="20" t="s">
        <v>498</v>
      </c>
      <c r="C949" s="20" t="s">
        <v>241</v>
      </c>
      <c r="D949" s="40" t="s">
        <v>1287</v>
      </c>
      <c r="E949" s="20" t="s">
        <v>139</v>
      </c>
      <c r="F949" s="6">
        <f>F950</f>
        <v>500</v>
      </c>
      <c r="G949" s="6">
        <f>G950</f>
        <v>500</v>
      </c>
    </row>
    <row r="950" spans="1:7" ht="47.25" x14ac:dyDescent="0.25">
      <c r="A950" s="29" t="s">
        <v>140</v>
      </c>
      <c r="B950" s="20" t="s">
        <v>498</v>
      </c>
      <c r="C950" s="20" t="s">
        <v>241</v>
      </c>
      <c r="D950" s="40" t="s">
        <v>1287</v>
      </c>
      <c r="E950" s="20" t="s">
        <v>141</v>
      </c>
      <c r="F950" s="6">
        <f>'пр.6.1.ведом.22-23'!G830</f>
        <v>500</v>
      </c>
      <c r="G950" s="6">
        <f>'пр.6.1.ведом.22-23'!H830</f>
        <v>500</v>
      </c>
    </row>
    <row r="951" spans="1:7" ht="15.75" x14ac:dyDescent="0.25">
      <c r="A951" s="41" t="s">
        <v>589</v>
      </c>
      <c r="B951" s="7" t="s">
        <v>245</v>
      </c>
      <c r="C951" s="40"/>
      <c r="D951" s="40"/>
      <c r="E951" s="40"/>
      <c r="F951" s="4">
        <f t="shared" ref="F951:G951" si="98">F952</f>
        <v>5873.2</v>
      </c>
      <c r="G951" s="4">
        <f t="shared" si="98"/>
        <v>5876.2</v>
      </c>
    </row>
    <row r="952" spans="1:7" ht="15.75" x14ac:dyDescent="0.25">
      <c r="A952" s="41" t="s">
        <v>590</v>
      </c>
      <c r="B952" s="7" t="s">
        <v>245</v>
      </c>
      <c r="C952" s="7" t="s">
        <v>220</v>
      </c>
      <c r="D952" s="7"/>
      <c r="E952" s="7"/>
      <c r="F952" s="4">
        <f>F953+F965</f>
        <v>5873.2</v>
      </c>
      <c r="G952" s="4">
        <f>G953+G965</f>
        <v>5876.2</v>
      </c>
    </row>
    <row r="953" spans="1:7" ht="47.25" x14ac:dyDescent="0.25">
      <c r="A953" s="23" t="s">
        <v>1368</v>
      </c>
      <c r="B953" s="24" t="s">
        <v>245</v>
      </c>
      <c r="C953" s="24" t="s">
        <v>220</v>
      </c>
      <c r="D953" s="24" t="s">
        <v>274</v>
      </c>
      <c r="E953" s="24"/>
      <c r="F953" s="4">
        <f>F954</f>
        <v>5798.3</v>
      </c>
      <c r="G953" s="4">
        <f>G954</f>
        <v>5798.3</v>
      </c>
    </row>
    <row r="954" spans="1:7" ht="47.25" x14ac:dyDescent="0.25">
      <c r="A954" s="23" t="s">
        <v>1315</v>
      </c>
      <c r="B954" s="24" t="s">
        <v>245</v>
      </c>
      <c r="C954" s="24" t="s">
        <v>220</v>
      </c>
      <c r="D954" s="24" t="s">
        <v>1218</v>
      </c>
      <c r="E954" s="24"/>
      <c r="F954" s="4">
        <f>F955+F962</f>
        <v>5798.3</v>
      </c>
      <c r="G954" s="4">
        <f>G955+G962</f>
        <v>5798.3</v>
      </c>
    </row>
    <row r="955" spans="1:7" ht="31.5" x14ac:dyDescent="0.25">
      <c r="A955" s="25" t="s">
        <v>811</v>
      </c>
      <c r="B955" s="20" t="s">
        <v>245</v>
      </c>
      <c r="C955" s="20" t="s">
        <v>220</v>
      </c>
      <c r="D955" s="20" t="s">
        <v>1219</v>
      </c>
      <c r="E955" s="20"/>
      <c r="F955" s="6">
        <f>F956+F958+F960</f>
        <v>5522.3</v>
      </c>
      <c r="G955" s="6">
        <f>G956+G958+G960</f>
        <v>5522.3</v>
      </c>
    </row>
    <row r="956" spans="1:7" ht="94.5" x14ac:dyDescent="0.25">
      <c r="A956" s="25" t="s">
        <v>134</v>
      </c>
      <c r="B956" s="20" t="s">
        <v>245</v>
      </c>
      <c r="C956" s="20" t="s">
        <v>220</v>
      </c>
      <c r="D956" s="20" t="s">
        <v>1219</v>
      </c>
      <c r="E956" s="20" t="s">
        <v>135</v>
      </c>
      <c r="F956" s="6">
        <f>F957</f>
        <v>4897.2</v>
      </c>
      <c r="G956" s="6">
        <f>G957</f>
        <v>4897.2</v>
      </c>
    </row>
    <row r="957" spans="1:7" ht="31.5" x14ac:dyDescent="0.25">
      <c r="A957" s="25" t="s">
        <v>215</v>
      </c>
      <c r="B957" s="20" t="s">
        <v>245</v>
      </c>
      <c r="C957" s="20" t="s">
        <v>220</v>
      </c>
      <c r="D957" s="20" t="s">
        <v>1219</v>
      </c>
      <c r="E957" s="20" t="s">
        <v>216</v>
      </c>
      <c r="F957" s="6">
        <f>'пр.6.1.ведом.22-23'!G474</f>
        <v>4897.2</v>
      </c>
      <c r="G957" s="6">
        <f>'пр.6.1.ведом.22-23'!H474</f>
        <v>4897.2</v>
      </c>
    </row>
    <row r="958" spans="1:7" ht="31.5" x14ac:dyDescent="0.25">
      <c r="A958" s="25" t="s">
        <v>138</v>
      </c>
      <c r="B958" s="20" t="s">
        <v>245</v>
      </c>
      <c r="C958" s="20" t="s">
        <v>220</v>
      </c>
      <c r="D958" s="20" t="s">
        <v>1219</v>
      </c>
      <c r="E958" s="20" t="s">
        <v>139</v>
      </c>
      <c r="F958" s="6">
        <f>F959</f>
        <v>595.1</v>
      </c>
      <c r="G958" s="6">
        <f>G959</f>
        <v>595.1</v>
      </c>
    </row>
    <row r="959" spans="1:7" ht="47.25" x14ac:dyDescent="0.25">
      <c r="A959" s="25" t="s">
        <v>140</v>
      </c>
      <c r="B959" s="20" t="s">
        <v>245</v>
      </c>
      <c r="C959" s="20" t="s">
        <v>220</v>
      </c>
      <c r="D959" s="20" t="s">
        <v>1219</v>
      </c>
      <c r="E959" s="20" t="s">
        <v>141</v>
      </c>
      <c r="F959" s="6">
        <f>'пр.6.1.ведом.22-23'!G476</f>
        <v>595.1</v>
      </c>
      <c r="G959" s="6">
        <f>'пр.6.1.ведом.22-23'!H476</f>
        <v>595.1</v>
      </c>
    </row>
    <row r="960" spans="1:7" ht="15.75" x14ac:dyDescent="0.25">
      <c r="A960" s="25" t="s">
        <v>142</v>
      </c>
      <c r="B960" s="20" t="s">
        <v>245</v>
      </c>
      <c r="C960" s="20" t="s">
        <v>220</v>
      </c>
      <c r="D960" s="20" t="s">
        <v>1219</v>
      </c>
      <c r="E960" s="20" t="s">
        <v>152</v>
      </c>
      <c r="F960" s="6">
        <f>F961</f>
        <v>30</v>
      </c>
      <c r="G960" s="6">
        <f>G961</f>
        <v>30</v>
      </c>
    </row>
    <row r="961" spans="1:7" ht="24.75" customHeight="1" x14ac:dyDescent="0.25">
      <c r="A961" s="25" t="s">
        <v>575</v>
      </c>
      <c r="B961" s="20" t="s">
        <v>245</v>
      </c>
      <c r="C961" s="20" t="s">
        <v>220</v>
      </c>
      <c r="D961" s="20" t="s">
        <v>1219</v>
      </c>
      <c r="E961" s="20" t="s">
        <v>145</v>
      </c>
      <c r="F961" s="6">
        <f>'пр.6.1.ведом.22-23'!G478</f>
        <v>30</v>
      </c>
      <c r="G961" s="6">
        <f>'пр.6.1.ведом.22-23'!H478</f>
        <v>30</v>
      </c>
    </row>
    <row r="962" spans="1:7" ht="47.25" x14ac:dyDescent="0.25">
      <c r="A962" s="25" t="s">
        <v>849</v>
      </c>
      <c r="B962" s="20" t="s">
        <v>245</v>
      </c>
      <c r="C962" s="20" t="s">
        <v>220</v>
      </c>
      <c r="D962" s="20" t="s">
        <v>1327</v>
      </c>
      <c r="E962" s="20"/>
      <c r="F962" s="6">
        <f>F963</f>
        <v>276</v>
      </c>
      <c r="G962" s="6">
        <f>G963</f>
        <v>276</v>
      </c>
    </row>
    <row r="963" spans="1:7" ht="94.5" x14ac:dyDescent="0.25">
      <c r="A963" s="25" t="s">
        <v>134</v>
      </c>
      <c r="B963" s="20" t="s">
        <v>245</v>
      </c>
      <c r="C963" s="20" t="s">
        <v>220</v>
      </c>
      <c r="D963" s="20" t="s">
        <v>1327</v>
      </c>
      <c r="E963" s="20" t="s">
        <v>135</v>
      </c>
      <c r="F963" s="6">
        <f>F964</f>
        <v>276</v>
      </c>
      <c r="G963" s="6">
        <f>G964</f>
        <v>276</v>
      </c>
    </row>
    <row r="964" spans="1:7" ht="31.5" x14ac:dyDescent="0.25">
      <c r="A964" s="25" t="s">
        <v>136</v>
      </c>
      <c r="B964" s="20" t="s">
        <v>245</v>
      </c>
      <c r="C964" s="20" t="s">
        <v>220</v>
      </c>
      <c r="D964" s="20" t="s">
        <v>1327</v>
      </c>
      <c r="E964" s="20" t="s">
        <v>216</v>
      </c>
      <c r="F964" s="6">
        <f>'пр.6.1.ведом.22-23'!G482</f>
        <v>276</v>
      </c>
      <c r="G964" s="6">
        <f>'пр.6.1.ведом.22-23'!H482</f>
        <v>276</v>
      </c>
    </row>
    <row r="965" spans="1:7" ht="63" x14ac:dyDescent="0.25">
      <c r="A965" s="41" t="s">
        <v>1369</v>
      </c>
      <c r="B965" s="24" t="s">
        <v>245</v>
      </c>
      <c r="C965" s="24" t="s">
        <v>220</v>
      </c>
      <c r="D965" s="24" t="s">
        <v>715</v>
      </c>
      <c r="E965" s="217"/>
      <c r="F965" s="4">
        <f t="shared" ref="F965:G968" si="99">F966</f>
        <v>74.900000000000006</v>
      </c>
      <c r="G965" s="4">
        <f t="shared" si="99"/>
        <v>77.900000000000006</v>
      </c>
    </row>
    <row r="966" spans="1:7" ht="53.1" customHeight="1" x14ac:dyDescent="0.25">
      <c r="A966" s="41" t="s">
        <v>900</v>
      </c>
      <c r="B966" s="24" t="s">
        <v>245</v>
      </c>
      <c r="C966" s="24" t="s">
        <v>220</v>
      </c>
      <c r="D966" s="24" t="s">
        <v>898</v>
      </c>
      <c r="E966" s="217"/>
      <c r="F966" s="4">
        <f t="shared" si="99"/>
        <v>74.900000000000006</v>
      </c>
      <c r="G966" s="4">
        <f t="shared" si="99"/>
        <v>77.900000000000006</v>
      </c>
    </row>
    <row r="967" spans="1:7" ht="47.25" x14ac:dyDescent="0.25">
      <c r="A967" s="98" t="s">
        <v>1014</v>
      </c>
      <c r="B967" s="20" t="s">
        <v>245</v>
      </c>
      <c r="C967" s="20" t="s">
        <v>220</v>
      </c>
      <c r="D967" s="20" t="s">
        <v>899</v>
      </c>
      <c r="E967" s="32"/>
      <c r="F967" s="6">
        <f t="shared" si="99"/>
        <v>74.900000000000006</v>
      </c>
      <c r="G967" s="6">
        <f t="shared" si="99"/>
        <v>77.900000000000006</v>
      </c>
    </row>
    <row r="968" spans="1:7" ht="31.5" x14ac:dyDescent="0.25">
      <c r="A968" s="25" t="s">
        <v>138</v>
      </c>
      <c r="B968" s="20" t="s">
        <v>245</v>
      </c>
      <c r="C968" s="20" t="s">
        <v>220</v>
      </c>
      <c r="D968" s="20" t="s">
        <v>899</v>
      </c>
      <c r="E968" s="32" t="s">
        <v>139</v>
      </c>
      <c r="F968" s="6">
        <f t="shared" si="99"/>
        <v>74.900000000000006</v>
      </c>
      <c r="G968" s="6">
        <f t="shared" si="99"/>
        <v>77.900000000000006</v>
      </c>
    </row>
    <row r="969" spans="1:7" ht="47.25" x14ac:dyDescent="0.25">
      <c r="A969" s="25" t="s">
        <v>140</v>
      </c>
      <c r="B969" s="20" t="s">
        <v>245</v>
      </c>
      <c r="C969" s="20" t="s">
        <v>220</v>
      </c>
      <c r="D969" s="20" t="s">
        <v>899</v>
      </c>
      <c r="E969" s="32" t="s">
        <v>141</v>
      </c>
      <c r="F969" s="6">
        <f>'пр.6.1.ведом.22-23'!G487</f>
        <v>74.900000000000006</v>
      </c>
      <c r="G969" s="6">
        <f>'пр.6.1.ведом.22-23'!H487</f>
        <v>77.900000000000006</v>
      </c>
    </row>
    <row r="970" spans="1:7" ht="15.75" x14ac:dyDescent="0.25">
      <c r="A970" s="61" t="s">
        <v>594</v>
      </c>
      <c r="B970" s="7"/>
      <c r="C970" s="7"/>
      <c r="D970" s="7"/>
      <c r="E970" s="7"/>
      <c r="F970" s="370">
        <f>F9+F230+F249+F314+F478+F741+F885+F951+F829+F8</f>
        <v>736670.60250000004</v>
      </c>
      <c r="G970" s="370">
        <f>G9+G230+G249+G314+G478+G741+G885+G951+G829+G8</f>
        <v>777657.39999999991</v>
      </c>
    </row>
    <row r="971" spans="1:7" ht="15.75" x14ac:dyDescent="0.25">
      <c r="A971" s="202"/>
      <c r="B971" s="202"/>
      <c r="C971" s="202"/>
      <c r="D971" s="202"/>
      <c r="E971" s="202"/>
      <c r="F971" s="4">
        <f>'пр.6.1.ведом.22-23'!G1094</f>
        <v>736670.59999999986</v>
      </c>
      <c r="G971" s="4">
        <f>'пр.6.1.ведом.22-23'!H1094</f>
        <v>777657.39999999991</v>
      </c>
    </row>
    <row r="972" spans="1:7" ht="15.75" x14ac:dyDescent="0.25">
      <c r="A972" s="202"/>
      <c r="B972" s="202"/>
      <c r="C972" s="202"/>
      <c r="D972" s="202"/>
      <c r="E972" s="202"/>
      <c r="F972" s="4">
        <f>F971-F970</f>
        <v>-2.5000001769512892E-3</v>
      </c>
      <c r="G972" s="4">
        <f>G971-G970</f>
        <v>0</v>
      </c>
    </row>
  </sheetData>
  <autoFilter ref="A7:G972"/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3"/>
  <sheetViews>
    <sheetView view="pageBreakPreview" topLeftCell="A1048" zoomScaleNormal="100" zoomScaleSheetLayoutView="100" workbookViewId="0">
      <selection activeCell="B2" sqref="B2"/>
    </sheetView>
  </sheetViews>
  <sheetFormatPr defaultColWidth="9.140625" defaultRowHeight="15" x14ac:dyDescent="0.25"/>
  <cols>
    <col min="1" max="1" width="62.28515625" style="203" customWidth="1"/>
    <col min="2" max="2" width="7" style="203" customWidth="1"/>
    <col min="3" max="3" width="4.28515625" style="203" customWidth="1"/>
    <col min="4" max="4" width="4.85546875" style="203" customWidth="1"/>
    <col min="5" max="5" width="15.42578125" style="203" customWidth="1"/>
    <col min="6" max="6" width="5.7109375" style="203" customWidth="1"/>
    <col min="7" max="7" width="15" style="115" customWidth="1"/>
    <col min="8" max="8" width="13.28515625" style="203" customWidth="1"/>
    <col min="9" max="9" width="9.85546875" style="115" customWidth="1"/>
    <col min="10" max="10" width="0" style="203" hidden="1" customWidth="1"/>
    <col min="11" max="16" width="0" style="1" hidden="1" customWidth="1"/>
    <col min="17" max="17" width="10" style="1" hidden="1" customWidth="1"/>
    <col min="18" max="18" width="0" style="1" hidden="1" customWidth="1"/>
    <col min="19" max="19" width="10.28515625" style="1" hidden="1" customWidth="1"/>
    <col min="20" max="32" width="9.140625" style="1"/>
    <col min="33" max="34" width="9.140625" style="203"/>
    <col min="35" max="35" width="9.140625" style="1"/>
    <col min="36" max="36" width="9.140625" style="203"/>
    <col min="37" max="37" width="9.140625" style="1"/>
    <col min="38" max="38" width="11.42578125" style="1" customWidth="1"/>
    <col min="39" max="16384" width="9.140625" style="1"/>
  </cols>
  <sheetData>
    <row r="1" spans="1:12" ht="15.75" x14ac:dyDescent="0.25">
      <c r="A1" s="63"/>
      <c r="B1" s="63"/>
      <c r="C1" s="63"/>
      <c r="D1" s="63"/>
      <c r="E1" s="418"/>
      <c r="F1" s="418"/>
      <c r="G1" s="418"/>
      <c r="H1" s="495" t="s">
        <v>598</v>
      </c>
      <c r="I1" s="495"/>
    </row>
    <row r="2" spans="1:12" ht="15.75" x14ac:dyDescent="0.25">
      <c r="A2" s="63"/>
      <c r="B2" s="63"/>
      <c r="C2" s="63"/>
      <c r="D2" s="63"/>
      <c r="E2" s="418"/>
      <c r="F2" s="418"/>
      <c r="G2" s="492" t="s">
        <v>1654</v>
      </c>
      <c r="H2" s="492"/>
      <c r="I2" s="492"/>
    </row>
    <row r="3" spans="1:12" s="203" customFormat="1" ht="15.75" x14ac:dyDescent="0.25">
      <c r="A3" s="63"/>
      <c r="B3" s="63"/>
      <c r="C3" s="63"/>
      <c r="D3" s="63"/>
      <c r="E3" s="418"/>
      <c r="F3" s="418"/>
      <c r="G3" s="418"/>
      <c r="H3" s="494" t="s">
        <v>1653</v>
      </c>
      <c r="I3" s="494"/>
    </row>
    <row r="4" spans="1:12" ht="15.75" x14ac:dyDescent="0.25">
      <c r="A4" s="130"/>
      <c r="B4" s="130"/>
      <c r="C4" s="130"/>
      <c r="D4" s="130"/>
      <c r="E4" s="418"/>
      <c r="F4" s="418"/>
      <c r="G4" s="491" t="s">
        <v>1647</v>
      </c>
      <c r="H4" s="491"/>
      <c r="I4" s="491"/>
    </row>
    <row r="5" spans="1:12" s="203" customFormat="1" ht="15.75" x14ac:dyDescent="0.25">
      <c r="A5" s="435"/>
      <c r="B5" s="435"/>
      <c r="C5" s="435"/>
      <c r="D5" s="435"/>
      <c r="G5" s="419"/>
      <c r="H5" s="491" t="s">
        <v>1652</v>
      </c>
      <c r="I5" s="491"/>
      <c r="J5" s="417"/>
      <c r="K5" s="417"/>
      <c r="L5" s="417"/>
    </row>
    <row r="6" spans="1:12" s="203" customFormat="1" ht="15.75" x14ac:dyDescent="0.25">
      <c r="A6" s="435"/>
      <c r="B6" s="435"/>
      <c r="C6" s="435"/>
      <c r="D6" s="435"/>
      <c r="G6" s="419"/>
      <c r="H6" s="419"/>
      <c r="I6" s="417"/>
      <c r="J6" s="417"/>
      <c r="K6" s="417"/>
      <c r="L6" s="417"/>
    </row>
    <row r="7" spans="1:12" ht="15.75" customHeight="1" x14ac:dyDescent="0.25">
      <c r="A7" s="468" t="s">
        <v>1614</v>
      </c>
      <c r="B7" s="468"/>
      <c r="C7" s="468"/>
      <c r="D7" s="468"/>
      <c r="E7" s="468"/>
      <c r="F7" s="468"/>
      <c r="G7" s="468"/>
      <c r="H7" s="468"/>
      <c r="I7" s="468"/>
    </row>
    <row r="8" spans="1:12" ht="15.75" x14ac:dyDescent="0.25">
      <c r="A8" s="434"/>
      <c r="B8" s="434"/>
      <c r="C8" s="434"/>
      <c r="D8" s="434"/>
      <c r="E8" s="434"/>
      <c r="F8" s="434"/>
    </row>
    <row r="9" spans="1:12" ht="63" x14ac:dyDescent="0.25">
      <c r="A9" s="433" t="s">
        <v>117</v>
      </c>
      <c r="B9" s="433" t="s">
        <v>118</v>
      </c>
      <c r="C9" s="15" t="s">
        <v>119</v>
      </c>
      <c r="D9" s="15" t="s">
        <v>120</v>
      </c>
      <c r="E9" s="15" t="s">
        <v>121</v>
      </c>
      <c r="F9" s="15" t="s">
        <v>122</v>
      </c>
      <c r="G9" s="10" t="s">
        <v>1602</v>
      </c>
      <c r="H9" s="10" t="s">
        <v>1615</v>
      </c>
      <c r="I9" s="436" t="s">
        <v>1604</v>
      </c>
    </row>
    <row r="10" spans="1:12" ht="31.5" x14ac:dyDescent="0.25">
      <c r="A10" s="19" t="s">
        <v>123</v>
      </c>
      <c r="B10" s="19">
        <v>901</v>
      </c>
      <c r="C10" s="20"/>
      <c r="D10" s="20"/>
      <c r="E10" s="20"/>
      <c r="F10" s="20"/>
      <c r="G10" s="21">
        <f>G11</f>
        <v>13556</v>
      </c>
      <c r="H10" s="21">
        <f>H11</f>
        <v>2855.105</v>
      </c>
      <c r="I10" s="437">
        <f>H10/G10*100</f>
        <v>21.061559457066981</v>
      </c>
    </row>
    <row r="11" spans="1:12" ht="15.75" x14ac:dyDescent="0.25">
      <c r="A11" s="23" t="s">
        <v>124</v>
      </c>
      <c r="B11" s="19">
        <v>901</v>
      </c>
      <c r="C11" s="24" t="s">
        <v>125</v>
      </c>
      <c r="D11" s="20"/>
      <c r="E11" s="20"/>
      <c r="F11" s="20"/>
      <c r="G11" s="21">
        <f>G12+G25</f>
        <v>13556</v>
      </c>
      <c r="H11" s="21">
        <f>H12+H25</f>
        <v>2855.105</v>
      </c>
      <c r="I11" s="437">
        <f t="shared" ref="I11:I74" si="0">H11/G11*100</f>
        <v>21.061559457066981</v>
      </c>
    </row>
    <row r="12" spans="1:12" ht="47.25" x14ac:dyDescent="0.25">
      <c r="A12" s="23" t="s">
        <v>126</v>
      </c>
      <c r="B12" s="19">
        <v>901</v>
      </c>
      <c r="C12" s="24" t="s">
        <v>125</v>
      </c>
      <c r="D12" s="24" t="s">
        <v>127</v>
      </c>
      <c r="E12" s="24"/>
      <c r="F12" s="24"/>
      <c r="G12" s="21">
        <f>G13</f>
        <v>13506</v>
      </c>
      <c r="H12" s="21">
        <f>H13</f>
        <v>2855.105</v>
      </c>
      <c r="I12" s="437">
        <f t="shared" si="0"/>
        <v>21.139530579001924</v>
      </c>
    </row>
    <row r="13" spans="1:12" ht="31.5" x14ac:dyDescent="0.25">
      <c r="A13" s="23" t="s">
        <v>927</v>
      </c>
      <c r="B13" s="19">
        <v>901</v>
      </c>
      <c r="C13" s="24" t="s">
        <v>125</v>
      </c>
      <c r="D13" s="24" t="s">
        <v>127</v>
      </c>
      <c r="E13" s="24" t="s">
        <v>868</v>
      </c>
      <c r="F13" s="24"/>
      <c r="G13" s="21">
        <f>G14</f>
        <v>13506</v>
      </c>
      <c r="H13" s="21">
        <f>H14</f>
        <v>2855.105</v>
      </c>
      <c r="I13" s="437">
        <f t="shared" si="0"/>
        <v>21.139530579001924</v>
      </c>
    </row>
    <row r="14" spans="1:12" ht="15.75" x14ac:dyDescent="0.25">
      <c r="A14" s="23" t="s">
        <v>928</v>
      </c>
      <c r="B14" s="19">
        <v>901</v>
      </c>
      <c r="C14" s="24" t="s">
        <v>125</v>
      </c>
      <c r="D14" s="24" t="s">
        <v>127</v>
      </c>
      <c r="E14" s="24" t="s">
        <v>869</v>
      </c>
      <c r="F14" s="24"/>
      <c r="G14" s="21">
        <f>G15+G22</f>
        <v>13506</v>
      </c>
      <c r="H14" s="21">
        <f>H15+H22</f>
        <v>2855.105</v>
      </c>
      <c r="I14" s="437">
        <f t="shared" si="0"/>
        <v>21.139530579001924</v>
      </c>
    </row>
    <row r="15" spans="1:12" ht="31.5" x14ac:dyDescent="0.25">
      <c r="A15" s="25" t="s">
        <v>907</v>
      </c>
      <c r="B15" s="16">
        <v>901</v>
      </c>
      <c r="C15" s="20" t="s">
        <v>125</v>
      </c>
      <c r="D15" s="20" t="s">
        <v>127</v>
      </c>
      <c r="E15" s="20" t="s">
        <v>870</v>
      </c>
      <c r="F15" s="20"/>
      <c r="G15" s="26">
        <f>G16+G18+G20</f>
        <v>13086</v>
      </c>
      <c r="H15" s="26">
        <f>H16+H18+H20</f>
        <v>2855.105</v>
      </c>
      <c r="I15" s="381">
        <f t="shared" si="0"/>
        <v>21.818011615466911</v>
      </c>
    </row>
    <row r="16" spans="1:12" ht="63" x14ac:dyDescent="0.25">
      <c r="A16" s="25" t="s">
        <v>134</v>
      </c>
      <c r="B16" s="16">
        <v>901</v>
      </c>
      <c r="C16" s="20" t="s">
        <v>125</v>
      </c>
      <c r="D16" s="20" t="s">
        <v>127</v>
      </c>
      <c r="E16" s="20" t="s">
        <v>870</v>
      </c>
      <c r="F16" s="20" t="s">
        <v>135</v>
      </c>
      <c r="G16" s="26">
        <f>G17</f>
        <v>12081</v>
      </c>
      <c r="H16" s="26">
        <f>H17</f>
        <v>2746.8270000000002</v>
      </c>
      <c r="I16" s="381">
        <f t="shared" si="0"/>
        <v>22.736751924509562</v>
      </c>
    </row>
    <row r="17" spans="1:12" ht="31.5" x14ac:dyDescent="0.25">
      <c r="A17" s="25" t="s">
        <v>136</v>
      </c>
      <c r="B17" s="16">
        <v>901</v>
      </c>
      <c r="C17" s="20" t="s">
        <v>125</v>
      </c>
      <c r="D17" s="20" t="s">
        <v>127</v>
      </c>
      <c r="E17" s="20" t="s">
        <v>870</v>
      </c>
      <c r="F17" s="20" t="s">
        <v>137</v>
      </c>
      <c r="G17" s="27">
        <f>10929+384+384+384</f>
        <v>12081</v>
      </c>
      <c r="H17" s="27">
        <v>2746.8270000000002</v>
      </c>
      <c r="I17" s="381">
        <f t="shared" si="0"/>
        <v>22.736751924509562</v>
      </c>
    </row>
    <row r="18" spans="1:12" ht="31.5" x14ac:dyDescent="0.25">
      <c r="A18" s="25" t="s">
        <v>138</v>
      </c>
      <c r="B18" s="16">
        <v>901</v>
      </c>
      <c r="C18" s="20" t="s">
        <v>125</v>
      </c>
      <c r="D18" s="20" t="s">
        <v>127</v>
      </c>
      <c r="E18" s="20" t="s">
        <v>870</v>
      </c>
      <c r="F18" s="20" t="s">
        <v>139</v>
      </c>
      <c r="G18" s="26">
        <f>G19</f>
        <v>980</v>
      </c>
      <c r="H18" s="26">
        <f>H19</f>
        <v>108.27800000000001</v>
      </c>
      <c r="I18" s="381">
        <f t="shared" si="0"/>
        <v>11.048775510204083</v>
      </c>
    </row>
    <row r="19" spans="1:12" ht="31.5" x14ac:dyDescent="0.25">
      <c r="A19" s="25" t="s">
        <v>140</v>
      </c>
      <c r="B19" s="16">
        <v>901</v>
      </c>
      <c r="C19" s="20" t="s">
        <v>125</v>
      </c>
      <c r="D19" s="20" t="s">
        <v>127</v>
      </c>
      <c r="E19" s="20" t="s">
        <v>870</v>
      </c>
      <c r="F19" s="20" t="s">
        <v>141</v>
      </c>
      <c r="G19" s="27">
        <f>977+3</f>
        <v>980</v>
      </c>
      <c r="H19" s="27">
        <v>108.27800000000001</v>
      </c>
      <c r="I19" s="381">
        <f t="shared" si="0"/>
        <v>11.048775510204083</v>
      </c>
    </row>
    <row r="20" spans="1:12" ht="15.75" x14ac:dyDescent="0.25">
      <c r="A20" s="25" t="s">
        <v>142</v>
      </c>
      <c r="B20" s="16">
        <v>901</v>
      </c>
      <c r="C20" s="20" t="s">
        <v>125</v>
      </c>
      <c r="D20" s="20" t="s">
        <v>127</v>
      </c>
      <c r="E20" s="20" t="s">
        <v>870</v>
      </c>
      <c r="F20" s="20" t="s">
        <v>143</v>
      </c>
      <c r="G20" s="26">
        <f>G21</f>
        <v>25</v>
      </c>
      <c r="H20" s="26">
        <f>H21</f>
        <v>0</v>
      </c>
      <c r="I20" s="381">
        <f t="shared" si="0"/>
        <v>0</v>
      </c>
    </row>
    <row r="21" spans="1:12" ht="15.75" x14ac:dyDescent="0.25">
      <c r="A21" s="25" t="s">
        <v>575</v>
      </c>
      <c r="B21" s="16">
        <v>901</v>
      </c>
      <c r="C21" s="20" t="s">
        <v>125</v>
      </c>
      <c r="D21" s="20" t="s">
        <v>127</v>
      </c>
      <c r="E21" s="20" t="s">
        <v>870</v>
      </c>
      <c r="F21" s="20" t="s">
        <v>145</v>
      </c>
      <c r="G21" s="26">
        <f>28-3</f>
        <v>25</v>
      </c>
      <c r="H21" s="26">
        <v>0</v>
      </c>
      <c r="I21" s="381">
        <f t="shared" si="0"/>
        <v>0</v>
      </c>
    </row>
    <row r="22" spans="1:12" s="203" customFormat="1" ht="31.5" x14ac:dyDescent="0.25">
      <c r="A22" s="25" t="s">
        <v>849</v>
      </c>
      <c r="B22" s="16">
        <v>901</v>
      </c>
      <c r="C22" s="20" t="s">
        <v>125</v>
      </c>
      <c r="D22" s="20" t="s">
        <v>127</v>
      </c>
      <c r="E22" s="20" t="s">
        <v>872</v>
      </c>
      <c r="F22" s="20"/>
      <c r="G22" s="26">
        <f>G23</f>
        <v>420</v>
      </c>
      <c r="H22" s="26">
        <f>H23</f>
        <v>0</v>
      </c>
      <c r="I22" s="381">
        <f t="shared" si="0"/>
        <v>0</v>
      </c>
    </row>
    <row r="23" spans="1:12" s="203" customFormat="1" ht="63" x14ac:dyDescent="0.25">
      <c r="A23" s="25" t="s">
        <v>134</v>
      </c>
      <c r="B23" s="16">
        <v>901</v>
      </c>
      <c r="C23" s="20" t="s">
        <v>125</v>
      </c>
      <c r="D23" s="20" t="s">
        <v>127</v>
      </c>
      <c r="E23" s="20" t="s">
        <v>872</v>
      </c>
      <c r="F23" s="20" t="s">
        <v>135</v>
      </c>
      <c r="G23" s="26">
        <f>G24</f>
        <v>420</v>
      </c>
      <c r="H23" s="26">
        <f>H24</f>
        <v>0</v>
      </c>
      <c r="I23" s="381">
        <f t="shared" si="0"/>
        <v>0</v>
      </c>
    </row>
    <row r="24" spans="1:12" s="203" customFormat="1" ht="31.5" x14ac:dyDescent="0.25">
      <c r="A24" s="25" t="s">
        <v>136</v>
      </c>
      <c r="B24" s="16">
        <v>901</v>
      </c>
      <c r="C24" s="20" t="s">
        <v>125</v>
      </c>
      <c r="D24" s="20" t="s">
        <v>127</v>
      </c>
      <c r="E24" s="20" t="s">
        <v>872</v>
      </c>
      <c r="F24" s="20" t="s">
        <v>137</v>
      </c>
      <c r="G24" s="26">
        <v>420</v>
      </c>
      <c r="H24" s="26">
        <v>0</v>
      </c>
      <c r="I24" s="381">
        <f t="shared" si="0"/>
        <v>0</v>
      </c>
    </row>
    <row r="25" spans="1:12" s="203" customFormat="1" ht="15.75" x14ac:dyDescent="0.25">
      <c r="A25" s="23" t="s">
        <v>1417</v>
      </c>
      <c r="B25" s="19">
        <v>901</v>
      </c>
      <c r="C25" s="24" t="s">
        <v>125</v>
      </c>
      <c r="D25" s="24" t="s">
        <v>498</v>
      </c>
      <c r="E25" s="24"/>
      <c r="F25" s="24"/>
      <c r="G25" s="21">
        <f>G26</f>
        <v>50</v>
      </c>
      <c r="H25" s="21">
        <f>H26</f>
        <v>0</v>
      </c>
      <c r="I25" s="437">
        <f t="shared" si="0"/>
        <v>0</v>
      </c>
    </row>
    <row r="26" spans="1:12" s="203" customFormat="1" ht="15.75" x14ac:dyDescent="0.25">
      <c r="A26" s="23" t="s">
        <v>148</v>
      </c>
      <c r="B26" s="19">
        <v>901</v>
      </c>
      <c r="C26" s="24" t="s">
        <v>125</v>
      </c>
      <c r="D26" s="24" t="s">
        <v>498</v>
      </c>
      <c r="E26" s="24" t="s">
        <v>876</v>
      </c>
      <c r="F26" s="24"/>
      <c r="G26" s="21">
        <f t="shared" ref="G26:H28" si="1">G27</f>
        <v>50</v>
      </c>
      <c r="H26" s="21">
        <f t="shared" si="1"/>
        <v>0</v>
      </c>
      <c r="I26" s="437">
        <f t="shared" si="0"/>
        <v>0</v>
      </c>
    </row>
    <row r="27" spans="1:12" s="203" customFormat="1" ht="31.5" x14ac:dyDescent="0.25">
      <c r="A27" s="23" t="s">
        <v>880</v>
      </c>
      <c r="B27" s="19">
        <v>901</v>
      </c>
      <c r="C27" s="24" t="s">
        <v>125</v>
      </c>
      <c r="D27" s="24" t="s">
        <v>498</v>
      </c>
      <c r="E27" s="24" t="s">
        <v>875</v>
      </c>
      <c r="F27" s="24"/>
      <c r="G27" s="21">
        <f t="shared" si="1"/>
        <v>50</v>
      </c>
      <c r="H27" s="21">
        <f t="shared" si="1"/>
        <v>0</v>
      </c>
      <c r="I27" s="437">
        <f t="shared" si="0"/>
        <v>0</v>
      </c>
    </row>
    <row r="28" spans="1:12" s="203" customFormat="1" ht="15.75" x14ac:dyDescent="0.25">
      <c r="A28" s="25" t="s">
        <v>1151</v>
      </c>
      <c r="B28" s="16">
        <v>901</v>
      </c>
      <c r="C28" s="20" t="s">
        <v>125</v>
      </c>
      <c r="D28" s="20" t="s">
        <v>498</v>
      </c>
      <c r="E28" s="20" t="s">
        <v>1152</v>
      </c>
      <c r="F28" s="20"/>
      <c r="G28" s="26">
        <f t="shared" si="1"/>
        <v>50</v>
      </c>
      <c r="H28" s="26">
        <f t="shared" si="1"/>
        <v>0</v>
      </c>
      <c r="I28" s="381">
        <f t="shared" si="0"/>
        <v>0</v>
      </c>
    </row>
    <row r="29" spans="1:12" s="203" customFormat="1" ht="15.75" x14ac:dyDescent="0.25">
      <c r="A29" s="25" t="s">
        <v>142</v>
      </c>
      <c r="B29" s="16">
        <v>901</v>
      </c>
      <c r="C29" s="20" t="s">
        <v>125</v>
      </c>
      <c r="D29" s="20" t="s">
        <v>498</v>
      </c>
      <c r="E29" s="20" t="s">
        <v>1152</v>
      </c>
      <c r="F29" s="20" t="s">
        <v>152</v>
      </c>
      <c r="G29" s="26">
        <f>G30</f>
        <v>50</v>
      </c>
      <c r="H29" s="26">
        <f>H30</f>
        <v>0</v>
      </c>
      <c r="I29" s="381">
        <f t="shared" si="0"/>
        <v>0</v>
      </c>
    </row>
    <row r="30" spans="1:12" s="203" customFormat="1" ht="15.75" x14ac:dyDescent="0.25">
      <c r="A30" s="25" t="s">
        <v>1151</v>
      </c>
      <c r="B30" s="16">
        <v>901</v>
      </c>
      <c r="C30" s="20" t="s">
        <v>125</v>
      </c>
      <c r="D30" s="20" t="s">
        <v>498</v>
      </c>
      <c r="E30" s="20" t="s">
        <v>1152</v>
      </c>
      <c r="F30" s="20" t="s">
        <v>1153</v>
      </c>
      <c r="G30" s="26">
        <v>50</v>
      </c>
      <c r="H30" s="26">
        <v>0</v>
      </c>
      <c r="I30" s="381">
        <f t="shared" si="0"/>
        <v>0</v>
      </c>
    </row>
    <row r="31" spans="1:12" ht="15.75" x14ac:dyDescent="0.25">
      <c r="A31" s="19" t="s">
        <v>155</v>
      </c>
      <c r="B31" s="19">
        <v>902</v>
      </c>
      <c r="C31" s="20"/>
      <c r="D31" s="20"/>
      <c r="E31" s="20"/>
      <c r="F31" s="20"/>
      <c r="G31" s="21">
        <f>G32+G164+G183+G207+G157</f>
        <v>91658.39</v>
      </c>
      <c r="H31" s="21">
        <f>H32+H164+H183+H207+H157</f>
        <v>18209.593999999997</v>
      </c>
      <c r="I31" s="437">
        <f t="shared" si="0"/>
        <v>19.866805428286487</v>
      </c>
      <c r="J31" s="115"/>
      <c r="L31" s="225"/>
    </row>
    <row r="32" spans="1:12" ht="15.75" x14ac:dyDescent="0.25">
      <c r="A32" s="23" t="s">
        <v>124</v>
      </c>
      <c r="B32" s="19">
        <v>902</v>
      </c>
      <c r="C32" s="24" t="s">
        <v>125</v>
      </c>
      <c r="D32" s="20"/>
      <c r="E32" s="20"/>
      <c r="F32" s="20"/>
      <c r="G32" s="21">
        <f>G49+G110+G127+G119+G33</f>
        <v>69435.59</v>
      </c>
      <c r="H32" s="21">
        <f>H49+H110+H127+H119+H33</f>
        <v>13685.793999999998</v>
      </c>
      <c r="I32" s="437">
        <f t="shared" si="0"/>
        <v>19.710056471040282</v>
      </c>
    </row>
    <row r="33" spans="1:9" s="203" customFormat="1" ht="31.9" customHeight="1" x14ac:dyDescent="0.25">
      <c r="A33" s="23" t="s">
        <v>582</v>
      </c>
      <c r="B33" s="19">
        <v>902</v>
      </c>
      <c r="C33" s="24" t="s">
        <v>125</v>
      </c>
      <c r="D33" s="24" t="s">
        <v>220</v>
      </c>
      <c r="E33" s="20"/>
      <c r="F33" s="20"/>
      <c r="G33" s="21">
        <f>G34</f>
        <v>4867.3999999999996</v>
      </c>
      <c r="H33" s="21">
        <f>H34</f>
        <v>1303.384</v>
      </c>
      <c r="I33" s="437">
        <f t="shared" si="0"/>
        <v>26.777827998520777</v>
      </c>
    </row>
    <row r="34" spans="1:9" s="203" customFormat="1" ht="31.5" x14ac:dyDescent="0.25">
      <c r="A34" s="23" t="s">
        <v>927</v>
      </c>
      <c r="B34" s="19">
        <v>902</v>
      </c>
      <c r="C34" s="24" t="s">
        <v>125</v>
      </c>
      <c r="D34" s="24" t="s">
        <v>220</v>
      </c>
      <c r="E34" s="24" t="s">
        <v>868</v>
      </c>
      <c r="F34" s="20"/>
      <c r="G34" s="21">
        <f>G35+G44</f>
        <v>4867.3999999999996</v>
      </c>
      <c r="H34" s="21">
        <f>H35+H44</f>
        <v>1303.384</v>
      </c>
      <c r="I34" s="437">
        <f t="shared" si="0"/>
        <v>26.777827998520777</v>
      </c>
    </row>
    <row r="35" spans="1:9" s="203" customFormat="1" ht="15.75" x14ac:dyDescent="0.25">
      <c r="A35" s="23" t="s">
        <v>928</v>
      </c>
      <c r="B35" s="19">
        <v>902</v>
      </c>
      <c r="C35" s="24" t="s">
        <v>125</v>
      </c>
      <c r="D35" s="24" t="s">
        <v>220</v>
      </c>
      <c r="E35" s="24" t="s">
        <v>869</v>
      </c>
      <c r="F35" s="20"/>
      <c r="G35" s="21">
        <f>G36+G41</f>
        <v>4826.8999999999996</v>
      </c>
      <c r="H35" s="21">
        <f>H36+H41</f>
        <v>1303.384</v>
      </c>
      <c r="I35" s="437">
        <f t="shared" si="0"/>
        <v>27.002506784893001</v>
      </c>
    </row>
    <row r="36" spans="1:9" s="203" customFormat="1" ht="31.5" x14ac:dyDescent="0.25">
      <c r="A36" s="25" t="s">
        <v>583</v>
      </c>
      <c r="B36" s="16">
        <v>902</v>
      </c>
      <c r="C36" s="20" t="s">
        <v>125</v>
      </c>
      <c r="D36" s="20" t="s">
        <v>220</v>
      </c>
      <c r="E36" s="20" t="s">
        <v>1345</v>
      </c>
      <c r="F36" s="20"/>
      <c r="G36" s="26">
        <f>G37+G39</f>
        <v>4826.8999999999996</v>
      </c>
      <c r="H36" s="26">
        <f>H37+H39</f>
        <v>1303.384</v>
      </c>
      <c r="I36" s="381">
        <f t="shared" si="0"/>
        <v>27.002506784893001</v>
      </c>
    </row>
    <row r="37" spans="1:9" s="203" customFormat="1" ht="63" x14ac:dyDescent="0.25">
      <c r="A37" s="25" t="s">
        <v>134</v>
      </c>
      <c r="B37" s="16">
        <v>902</v>
      </c>
      <c r="C37" s="20" t="s">
        <v>125</v>
      </c>
      <c r="D37" s="20" t="s">
        <v>220</v>
      </c>
      <c r="E37" s="20" t="s">
        <v>1345</v>
      </c>
      <c r="F37" s="20" t="s">
        <v>135</v>
      </c>
      <c r="G37" s="26">
        <f>G38</f>
        <v>4736.8999999999996</v>
      </c>
      <c r="H37" s="26">
        <f>H38</f>
        <v>1303.384</v>
      </c>
      <c r="I37" s="381">
        <f t="shared" si="0"/>
        <v>27.515548143300471</v>
      </c>
    </row>
    <row r="38" spans="1:9" s="203" customFormat="1" ht="31.5" x14ac:dyDescent="0.25">
      <c r="A38" s="25" t="s">
        <v>136</v>
      </c>
      <c r="B38" s="16">
        <v>902</v>
      </c>
      <c r="C38" s="20" t="s">
        <v>125</v>
      </c>
      <c r="D38" s="20" t="s">
        <v>220</v>
      </c>
      <c r="E38" s="20" t="s">
        <v>1345</v>
      </c>
      <c r="F38" s="20" t="s">
        <v>137</v>
      </c>
      <c r="G38" s="27">
        <v>4736.8999999999996</v>
      </c>
      <c r="H38" s="27">
        <v>1303.384</v>
      </c>
      <c r="I38" s="381">
        <f t="shared" si="0"/>
        <v>27.515548143300471</v>
      </c>
    </row>
    <row r="39" spans="1:9" s="203" customFormat="1" ht="31.5" x14ac:dyDescent="0.25">
      <c r="A39" s="25" t="s">
        <v>205</v>
      </c>
      <c r="B39" s="16">
        <v>902</v>
      </c>
      <c r="C39" s="20" t="s">
        <v>125</v>
      </c>
      <c r="D39" s="20" t="s">
        <v>220</v>
      </c>
      <c r="E39" s="20" t="s">
        <v>1345</v>
      </c>
      <c r="F39" s="20" t="s">
        <v>139</v>
      </c>
      <c r="G39" s="26">
        <f>G40</f>
        <v>90</v>
      </c>
      <c r="H39" s="26">
        <f>H40</f>
        <v>0</v>
      </c>
      <c r="I39" s="381">
        <f t="shared" si="0"/>
        <v>0</v>
      </c>
    </row>
    <row r="40" spans="1:9" s="203" customFormat="1" ht="31.5" x14ac:dyDescent="0.25">
      <c r="A40" s="25" t="s">
        <v>140</v>
      </c>
      <c r="B40" s="16">
        <v>902</v>
      </c>
      <c r="C40" s="20" t="s">
        <v>125</v>
      </c>
      <c r="D40" s="20" t="s">
        <v>220</v>
      </c>
      <c r="E40" s="20" t="s">
        <v>1345</v>
      </c>
      <c r="F40" s="20" t="s">
        <v>141</v>
      </c>
      <c r="G40" s="26">
        <v>90</v>
      </c>
      <c r="H40" s="26">
        <v>0</v>
      </c>
      <c r="I40" s="381">
        <f t="shared" si="0"/>
        <v>0</v>
      </c>
    </row>
    <row r="41" spans="1:9" s="203" customFormat="1" ht="31.5" hidden="1" x14ac:dyDescent="0.25">
      <c r="A41" s="25" t="s">
        <v>849</v>
      </c>
      <c r="B41" s="16">
        <v>902</v>
      </c>
      <c r="C41" s="20" t="s">
        <v>125</v>
      </c>
      <c r="D41" s="20" t="s">
        <v>220</v>
      </c>
      <c r="E41" s="20" t="s">
        <v>872</v>
      </c>
      <c r="F41" s="20"/>
      <c r="G41" s="26">
        <f>G42</f>
        <v>0</v>
      </c>
      <c r="H41" s="26">
        <f>H42</f>
        <v>0</v>
      </c>
      <c r="I41" s="381" t="e">
        <f t="shared" si="0"/>
        <v>#DIV/0!</v>
      </c>
    </row>
    <row r="42" spans="1:9" s="203" customFormat="1" ht="63" hidden="1" x14ac:dyDescent="0.25">
      <c r="A42" s="25" t="s">
        <v>134</v>
      </c>
      <c r="B42" s="16">
        <v>902</v>
      </c>
      <c r="C42" s="20" t="s">
        <v>125</v>
      </c>
      <c r="D42" s="20" t="s">
        <v>220</v>
      </c>
      <c r="E42" s="20" t="s">
        <v>872</v>
      </c>
      <c r="F42" s="20" t="s">
        <v>135</v>
      </c>
      <c r="G42" s="26">
        <f>G43</f>
        <v>0</v>
      </c>
      <c r="H42" s="26">
        <f>H43</f>
        <v>0</v>
      </c>
      <c r="I42" s="381" t="e">
        <f t="shared" si="0"/>
        <v>#DIV/0!</v>
      </c>
    </row>
    <row r="43" spans="1:9" s="203" customFormat="1" ht="31.5" hidden="1" x14ac:dyDescent="0.25">
      <c r="A43" s="25" t="s">
        <v>136</v>
      </c>
      <c r="B43" s="16">
        <v>902</v>
      </c>
      <c r="C43" s="20" t="s">
        <v>125</v>
      </c>
      <c r="D43" s="20" t="s">
        <v>220</v>
      </c>
      <c r="E43" s="20" t="s">
        <v>872</v>
      </c>
      <c r="F43" s="20" t="s">
        <v>137</v>
      </c>
      <c r="G43" s="26">
        <f>42-42</f>
        <v>0</v>
      </c>
      <c r="H43" s="26">
        <f>42-42</f>
        <v>0</v>
      </c>
      <c r="I43" s="381" t="e">
        <f t="shared" si="0"/>
        <v>#DIV/0!</v>
      </c>
    </row>
    <row r="44" spans="1:9" s="203" customFormat="1" ht="31.5" x14ac:dyDescent="0.25">
      <c r="A44" s="23" t="s">
        <v>1355</v>
      </c>
      <c r="B44" s="19">
        <v>902</v>
      </c>
      <c r="C44" s="24" t="s">
        <v>125</v>
      </c>
      <c r="D44" s="24" t="s">
        <v>220</v>
      </c>
      <c r="E44" s="24" t="s">
        <v>169</v>
      </c>
      <c r="F44" s="24"/>
      <c r="G44" s="21">
        <f t="shared" ref="G44:H47" si="2">G45</f>
        <v>40.5</v>
      </c>
      <c r="H44" s="21">
        <f t="shared" si="2"/>
        <v>0</v>
      </c>
      <c r="I44" s="437">
        <f t="shared" si="0"/>
        <v>0</v>
      </c>
    </row>
    <row r="45" spans="1:9" s="203" customFormat="1" ht="63" x14ac:dyDescent="0.25">
      <c r="A45" s="211" t="s">
        <v>1357</v>
      </c>
      <c r="B45" s="271">
        <v>902</v>
      </c>
      <c r="C45" s="24" t="s">
        <v>125</v>
      </c>
      <c r="D45" s="24" t="s">
        <v>220</v>
      </c>
      <c r="E45" s="7" t="s">
        <v>860</v>
      </c>
      <c r="F45" s="24"/>
      <c r="G45" s="21">
        <f t="shared" si="2"/>
        <v>40.5</v>
      </c>
      <c r="H45" s="21">
        <f t="shared" si="2"/>
        <v>0</v>
      </c>
      <c r="I45" s="437">
        <f t="shared" si="0"/>
        <v>0</v>
      </c>
    </row>
    <row r="46" spans="1:9" s="203" customFormat="1" ht="59.1" customHeight="1" x14ac:dyDescent="0.25">
      <c r="A46" s="31" t="s">
        <v>703</v>
      </c>
      <c r="B46" s="16">
        <v>902</v>
      </c>
      <c r="C46" s="20" t="s">
        <v>125</v>
      </c>
      <c r="D46" s="20" t="s">
        <v>220</v>
      </c>
      <c r="E46" s="40" t="s">
        <v>1003</v>
      </c>
      <c r="F46" s="20"/>
      <c r="G46" s="26">
        <f t="shared" si="2"/>
        <v>40.5</v>
      </c>
      <c r="H46" s="26">
        <f t="shared" si="2"/>
        <v>0</v>
      </c>
      <c r="I46" s="381">
        <f t="shared" si="0"/>
        <v>0</v>
      </c>
    </row>
    <row r="47" spans="1:9" s="203" customFormat="1" ht="31.5" x14ac:dyDescent="0.25">
      <c r="A47" s="25" t="s">
        <v>138</v>
      </c>
      <c r="B47" s="16">
        <v>902</v>
      </c>
      <c r="C47" s="20" t="s">
        <v>125</v>
      </c>
      <c r="D47" s="20" t="s">
        <v>220</v>
      </c>
      <c r="E47" s="40" t="s">
        <v>1003</v>
      </c>
      <c r="F47" s="20" t="s">
        <v>139</v>
      </c>
      <c r="G47" s="26">
        <f t="shared" si="2"/>
        <v>40.5</v>
      </c>
      <c r="H47" s="26">
        <f t="shared" si="2"/>
        <v>0</v>
      </c>
      <c r="I47" s="381">
        <f t="shared" si="0"/>
        <v>0</v>
      </c>
    </row>
    <row r="48" spans="1:9" s="203" customFormat="1" ht="31.5" x14ac:dyDescent="0.25">
      <c r="A48" s="25" t="s">
        <v>140</v>
      </c>
      <c r="B48" s="16">
        <v>902</v>
      </c>
      <c r="C48" s="20" t="s">
        <v>125</v>
      </c>
      <c r="D48" s="20" t="s">
        <v>220</v>
      </c>
      <c r="E48" s="40" t="s">
        <v>1003</v>
      </c>
      <c r="F48" s="20" t="s">
        <v>141</v>
      </c>
      <c r="G48" s="26">
        <f>0.5+40</f>
        <v>40.5</v>
      </c>
      <c r="H48" s="26">
        <v>0</v>
      </c>
      <c r="I48" s="381">
        <f t="shared" si="0"/>
        <v>0</v>
      </c>
    </row>
    <row r="49" spans="1:9" ht="46.15" customHeight="1" x14ac:dyDescent="0.25">
      <c r="A49" s="23" t="s">
        <v>156</v>
      </c>
      <c r="B49" s="19">
        <v>902</v>
      </c>
      <c r="C49" s="24" t="s">
        <v>125</v>
      </c>
      <c r="D49" s="24" t="s">
        <v>157</v>
      </c>
      <c r="E49" s="24"/>
      <c r="F49" s="24"/>
      <c r="G49" s="21">
        <f>G50+G89</f>
        <v>57253.990000000005</v>
      </c>
      <c r="H49" s="21">
        <f>H50+H89</f>
        <v>11194.325999999999</v>
      </c>
      <c r="I49" s="437">
        <f t="shared" si="0"/>
        <v>19.552045193706146</v>
      </c>
    </row>
    <row r="50" spans="1:9" ht="31.5" x14ac:dyDescent="0.25">
      <c r="A50" s="23" t="s">
        <v>927</v>
      </c>
      <c r="B50" s="19">
        <v>902</v>
      </c>
      <c r="C50" s="24" t="s">
        <v>125</v>
      </c>
      <c r="D50" s="24" t="s">
        <v>157</v>
      </c>
      <c r="E50" s="24" t="s">
        <v>868</v>
      </c>
      <c r="F50" s="24"/>
      <c r="G50" s="44">
        <f>G51+G67</f>
        <v>56570.490000000005</v>
      </c>
      <c r="H50" s="44">
        <f>H51+H67</f>
        <v>10950.578</v>
      </c>
      <c r="I50" s="437">
        <f t="shared" si="0"/>
        <v>19.357403480153696</v>
      </c>
    </row>
    <row r="51" spans="1:9" s="203" customFormat="1" ht="15.75" x14ac:dyDescent="0.25">
      <c r="A51" s="23" t="s">
        <v>928</v>
      </c>
      <c r="B51" s="19">
        <v>902</v>
      </c>
      <c r="C51" s="24" t="s">
        <v>125</v>
      </c>
      <c r="D51" s="24" t="s">
        <v>157</v>
      </c>
      <c r="E51" s="24" t="s">
        <v>869</v>
      </c>
      <c r="F51" s="24"/>
      <c r="G51" s="44">
        <f>G52+G61+G64</f>
        <v>53191.590000000004</v>
      </c>
      <c r="H51" s="44">
        <f>H52+H61+H64</f>
        <v>10554.912</v>
      </c>
      <c r="I51" s="437">
        <f t="shared" si="0"/>
        <v>19.843197016671244</v>
      </c>
    </row>
    <row r="52" spans="1:9" ht="31.5" x14ac:dyDescent="0.25">
      <c r="A52" s="25" t="s">
        <v>907</v>
      </c>
      <c r="B52" s="16">
        <v>902</v>
      </c>
      <c r="C52" s="20" t="s">
        <v>125</v>
      </c>
      <c r="D52" s="20" t="s">
        <v>157</v>
      </c>
      <c r="E52" s="20" t="s">
        <v>870</v>
      </c>
      <c r="F52" s="20"/>
      <c r="G52" s="26">
        <f>G53+G55+G59+G57</f>
        <v>49529.19</v>
      </c>
      <c r="H52" s="26">
        <f>H53+H55+H59+H57</f>
        <v>9684.9599999999991</v>
      </c>
      <c r="I52" s="381">
        <f t="shared" si="0"/>
        <v>19.554044796613873</v>
      </c>
    </row>
    <row r="53" spans="1:9" ht="62.1" customHeight="1" x14ac:dyDescent="0.25">
      <c r="A53" s="25" t="s">
        <v>134</v>
      </c>
      <c r="B53" s="16">
        <v>902</v>
      </c>
      <c r="C53" s="20" t="s">
        <v>125</v>
      </c>
      <c r="D53" s="20" t="s">
        <v>157</v>
      </c>
      <c r="E53" s="20" t="s">
        <v>870</v>
      </c>
      <c r="F53" s="20" t="s">
        <v>135</v>
      </c>
      <c r="G53" s="26">
        <f>G54</f>
        <v>43894.79</v>
      </c>
      <c r="H53" s="26">
        <f>H54</f>
        <v>7845.4009999999998</v>
      </c>
      <c r="I53" s="381">
        <f t="shared" si="0"/>
        <v>17.873194062438845</v>
      </c>
    </row>
    <row r="54" spans="1:9" ht="31.5" x14ac:dyDescent="0.25">
      <c r="A54" s="25" t="s">
        <v>136</v>
      </c>
      <c r="B54" s="16">
        <v>902</v>
      </c>
      <c r="C54" s="20" t="s">
        <v>125</v>
      </c>
      <c r="D54" s="20" t="s">
        <v>157</v>
      </c>
      <c r="E54" s="20" t="s">
        <v>870</v>
      </c>
      <c r="F54" s="20" t="s">
        <v>137</v>
      </c>
      <c r="G54" s="27">
        <f>36772.2+2068.3+300+1000-786.27+4540.56</f>
        <v>43894.79</v>
      </c>
      <c r="H54" s="27">
        <v>7845.4009999999998</v>
      </c>
      <c r="I54" s="381">
        <f t="shared" si="0"/>
        <v>17.873194062438845</v>
      </c>
    </row>
    <row r="55" spans="1:9" ht="31.5" x14ac:dyDescent="0.25">
      <c r="A55" s="25" t="s">
        <v>138</v>
      </c>
      <c r="B55" s="16">
        <v>902</v>
      </c>
      <c r="C55" s="20" t="s">
        <v>125</v>
      </c>
      <c r="D55" s="20" t="s">
        <v>157</v>
      </c>
      <c r="E55" s="20" t="s">
        <v>870</v>
      </c>
      <c r="F55" s="20" t="s">
        <v>139</v>
      </c>
      <c r="G55" s="26">
        <f>G56</f>
        <v>5559.4</v>
      </c>
      <c r="H55" s="26">
        <f>H56</f>
        <v>1839.559</v>
      </c>
      <c r="I55" s="381">
        <f t="shared" si="0"/>
        <v>33.089164298305576</v>
      </c>
    </row>
    <row r="56" spans="1:9" ht="31.5" x14ac:dyDescent="0.25">
      <c r="A56" s="25" t="s">
        <v>140</v>
      </c>
      <c r="B56" s="16">
        <v>902</v>
      </c>
      <c r="C56" s="20" t="s">
        <v>125</v>
      </c>
      <c r="D56" s="20" t="s">
        <v>157</v>
      </c>
      <c r="E56" s="20" t="s">
        <v>870</v>
      </c>
      <c r="F56" s="20" t="s">
        <v>141</v>
      </c>
      <c r="G56" s="27">
        <f>6101-541.6</f>
        <v>5559.4</v>
      </c>
      <c r="H56" s="27">
        <v>1839.559</v>
      </c>
      <c r="I56" s="381">
        <f t="shared" si="0"/>
        <v>33.089164298305576</v>
      </c>
    </row>
    <row r="57" spans="1:9" s="203" customFormat="1" ht="15.75" hidden="1" x14ac:dyDescent="0.25">
      <c r="A57" s="25" t="s">
        <v>255</v>
      </c>
      <c r="B57" s="16">
        <v>902</v>
      </c>
      <c r="C57" s="20" t="s">
        <v>125</v>
      </c>
      <c r="D57" s="20" t="s">
        <v>157</v>
      </c>
      <c r="E57" s="20" t="s">
        <v>870</v>
      </c>
      <c r="F57" s="20" t="s">
        <v>256</v>
      </c>
      <c r="G57" s="27">
        <f>G58</f>
        <v>0</v>
      </c>
      <c r="H57" s="27">
        <f>H58</f>
        <v>0</v>
      </c>
      <c r="I57" s="381" t="e">
        <f t="shared" si="0"/>
        <v>#DIV/0!</v>
      </c>
    </row>
    <row r="58" spans="1:9" s="203" customFormat="1" ht="31.5" hidden="1" x14ac:dyDescent="0.25">
      <c r="A58" s="25" t="s">
        <v>257</v>
      </c>
      <c r="B58" s="16">
        <v>902</v>
      </c>
      <c r="C58" s="20" t="s">
        <v>125</v>
      </c>
      <c r="D58" s="20" t="s">
        <v>157</v>
      </c>
      <c r="E58" s="20" t="s">
        <v>870</v>
      </c>
      <c r="F58" s="20" t="s">
        <v>258</v>
      </c>
      <c r="G58" s="27">
        <f>755-755</f>
        <v>0</v>
      </c>
      <c r="H58" s="27">
        <f>755-755</f>
        <v>0</v>
      </c>
      <c r="I58" s="381" t="e">
        <f t="shared" si="0"/>
        <v>#DIV/0!</v>
      </c>
    </row>
    <row r="59" spans="1:9" ht="15.75" x14ac:dyDescent="0.25">
      <c r="A59" s="25" t="s">
        <v>142</v>
      </c>
      <c r="B59" s="16">
        <v>902</v>
      </c>
      <c r="C59" s="20" t="s">
        <v>125</v>
      </c>
      <c r="D59" s="20" t="s">
        <v>157</v>
      </c>
      <c r="E59" s="20" t="s">
        <v>870</v>
      </c>
      <c r="F59" s="20" t="s">
        <v>152</v>
      </c>
      <c r="G59" s="26">
        <f>G60</f>
        <v>75</v>
      </c>
      <c r="H59" s="26">
        <f>H60</f>
        <v>0</v>
      </c>
      <c r="I59" s="381">
        <f t="shared" si="0"/>
        <v>0</v>
      </c>
    </row>
    <row r="60" spans="1:9" ht="15.75" x14ac:dyDescent="0.25">
      <c r="A60" s="25" t="s">
        <v>575</v>
      </c>
      <c r="B60" s="16">
        <v>902</v>
      </c>
      <c r="C60" s="20" t="s">
        <v>125</v>
      </c>
      <c r="D60" s="20" t="s">
        <v>157</v>
      </c>
      <c r="E60" s="20" t="s">
        <v>870</v>
      </c>
      <c r="F60" s="20" t="s">
        <v>145</v>
      </c>
      <c r="G60" s="27">
        <v>75</v>
      </c>
      <c r="H60" s="27">
        <v>0</v>
      </c>
      <c r="I60" s="381">
        <f t="shared" si="0"/>
        <v>0</v>
      </c>
    </row>
    <row r="61" spans="1:9" s="203" customFormat="1" ht="31.5" x14ac:dyDescent="0.25">
      <c r="A61" s="25" t="s">
        <v>850</v>
      </c>
      <c r="B61" s="16">
        <v>902</v>
      </c>
      <c r="C61" s="20" t="s">
        <v>125</v>
      </c>
      <c r="D61" s="20" t="s">
        <v>157</v>
      </c>
      <c r="E61" s="20" t="s">
        <v>871</v>
      </c>
      <c r="F61" s="20"/>
      <c r="G61" s="27">
        <f>G62</f>
        <v>2071.4</v>
      </c>
      <c r="H61" s="27">
        <f>H62</f>
        <v>534.6</v>
      </c>
      <c r="I61" s="381">
        <f t="shared" si="0"/>
        <v>25.808631843197837</v>
      </c>
    </row>
    <row r="62" spans="1:9" s="203" customFormat="1" ht="67.7" customHeight="1" x14ac:dyDescent="0.25">
      <c r="A62" s="25" t="s">
        <v>134</v>
      </c>
      <c r="B62" s="16">
        <v>902</v>
      </c>
      <c r="C62" s="20" t="s">
        <v>125</v>
      </c>
      <c r="D62" s="20" t="s">
        <v>157</v>
      </c>
      <c r="E62" s="20" t="s">
        <v>871</v>
      </c>
      <c r="F62" s="20" t="s">
        <v>135</v>
      </c>
      <c r="G62" s="27">
        <f>G63</f>
        <v>2071.4</v>
      </c>
      <c r="H62" s="27">
        <f>H63</f>
        <v>534.6</v>
      </c>
      <c r="I62" s="381">
        <f t="shared" si="0"/>
        <v>25.808631843197837</v>
      </c>
    </row>
    <row r="63" spans="1:9" s="203" customFormat="1" ht="31.5" x14ac:dyDescent="0.25">
      <c r="A63" s="25" t="s">
        <v>136</v>
      </c>
      <c r="B63" s="16">
        <v>902</v>
      </c>
      <c r="C63" s="20" t="s">
        <v>125</v>
      </c>
      <c r="D63" s="20" t="s">
        <v>157</v>
      </c>
      <c r="E63" s="20" t="s">
        <v>871</v>
      </c>
      <c r="F63" s="20" t="s">
        <v>137</v>
      </c>
      <c r="G63" s="27">
        <v>2071.4</v>
      </c>
      <c r="H63" s="27">
        <v>534.6</v>
      </c>
      <c r="I63" s="381">
        <f t="shared" si="0"/>
        <v>25.808631843197837</v>
      </c>
    </row>
    <row r="64" spans="1:9" s="203" customFormat="1" ht="31.5" x14ac:dyDescent="0.25">
      <c r="A64" s="25" t="s">
        <v>849</v>
      </c>
      <c r="B64" s="16">
        <v>902</v>
      </c>
      <c r="C64" s="20" t="s">
        <v>125</v>
      </c>
      <c r="D64" s="20" t="s">
        <v>157</v>
      </c>
      <c r="E64" s="20" t="s">
        <v>872</v>
      </c>
      <c r="F64" s="20"/>
      <c r="G64" s="26">
        <f>G65</f>
        <v>1591</v>
      </c>
      <c r="H64" s="26">
        <f>H65</f>
        <v>335.35199999999998</v>
      </c>
      <c r="I64" s="381">
        <f t="shared" si="0"/>
        <v>21.07806411062225</v>
      </c>
    </row>
    <row r="65" spans="1:9" s="203" customFormat="1" ht="63" x14ac:dyDescent="0.25">
      <c r="A65" s="25" t="s">
        <v>134</v>
      </c>
      <c r="B65" s="16">
        <v>902</v>
      </c>
      <c r="C65" s="20" t="s">
        <v>125</v>
      </c>
      <c r="D65" s="20" t="s">
        <v>157</v>
      </c>
      <c r="E65" s="20" t="s">
        <v>872</v>
      </c>
      <c r="F65" s="20" t="s">
        <v>135</v>
      </c>
      <c r="G65" s="26">
        <f>G66</f>
        <v>1591</v>
      </c>
      <c r="H65" s="26">
        <f>H66</f>
        <v>335.35199999999998</v>
      </c>
      <c r="I65" s="381">
        <f t="shared" si="0"/>
        <v>21.07806411062225</v>
      </c>
    </row>
    <row r="66" spans="1:9" s="203" customFormat="1" ht="31.5" x14ac:dyDescent="0.25">
      <c r="A66" s="25" t="s">
        <v>136</v>
      </c>
      <c r="B66" s="16">
        <v>902</v>
      </c>
      <c r="C66" s="20" t="s">
        <v>125</v>
      </c>
      <c r="D66" s="20" t="s">
        <v>157</v>
      </c>
      <c r="E66" s="20" t="s">
        <v>872</v>
      </c>
      <c r="F66" s="20" t="s">
        <v>137</v>
      </c>
      <c r="G66" s="26">
        <f>1545+46</f>
        <v>1591</v>
      </c>
      <c r="H66" s="26">
        <v>335.35199999999998</v>
      </c>
      <c r="I66" s="381">
        <f t="shared" si="0"/>
        <v>21.07806411062225</v>
      </c>
    </row>
    <row r="67" spans="1:9" s="203" customFormat="1" ht="31.5" x14ac:dyDescent="0.25">
      <c r="A67" s="23" t="s">
        <v>895</v>
      </c>
      <c r="B67" s="19">
        <v>902</v>
      </c>
      <c r="C67" s="24" t="s">
        <v>125</v>
      </c>
      <c r="D67" s="24" t="s">
        <v>157</v>
      </c>
      <c r="E67" s="24" t="s">
        <v>873</v>
      </c>
      <c r="F67" s="24"/>
      <c r="G67" s="21">
        <f>G68+G74+G79+G84+G71</f>
        <v>3378.9</v>
      </c>
      <c r="H67" s="21">
        <f>H68+H74+H79+H84+H71</f>
        <v>395.666</v>
      </c>
      <c r="I67" s="437">
        <f t="shared" si="0"/>
        <v>11.709905590576815</v>
      </c>
    </row>
    <row r="68" spans="1:9" s="203" customFormat="1" ht="35.450000000000003" hidden="1" customHeight="1" x14ac:dyDescent="0.25">
      <c r="A68" s="25" t="s">
        <v>789</v>
      </c>
      <c r="B68" s="16">
        <v>902</v>
      </c>
      <c r="C68" s="20" t="s">
        <v>125</v>
      </c>
      <c r="D68" s="20" t="s">
        <v>157</v>
      </c>
      <c r="E68" s="20" t="s">
        <v>929</v>
      </c>
      <c r="F68" s="24"/>
      <c r="G68" s="26">
        <f>G69</f>
        <v>0</v>
      </c>
      <c r="H68" s="26">
        <f>H69</f>
        <v>0</v>
      </c>
      <c r="I68" s="381" t="e">
        <f t="shared" si="0"/>
        <v>#DIV/0!</v>
      </c>
    </row>
    <row r="69" spans="1:9" s="203" customFormat="1" ht="31.5" hidden="1" x14ac:dyDescent="0.25">
      <c r="A69" s="25" t="s">
        <v>138</v>
      </c>
      <c r="B69" s="16">
        <v>902</v>
      </c>
      <c r="C69" s="20" t="s">
        <v>125</v>
      </c>
      <c r="D69" s="20" t="s">
        <v>157</v>
      </c>
      <c r="E69" s="20" t="s">
        <v>929</v>
      </c>
      <c r="F69" s="20" t="s">
        <v>139</v>
      </c>
      <c r="G69" s="26">
        <f>G70</f>
        <v>0</v>
      </c>
      <c r="H69" s="26">
        <f>H70</f>
        <v>0</v>
      </c>
      <c r="I69" s="381" t="e">
        <f t="shared" si="0"/>
        <v>#DIV/0!</v>
      </c>
    </row>
    <row r="70" spans="1:9" s="203" customFormat="1" ht="31.5" hidden="1" x14ac:dyDescent="0.25">
      <c r="A70" s="25" t="s">
        <v>140</v>
      </c>
      <c r="B70" s="16">
        <v>902</v>
      </c>
      <c r="C70" s="20" t="s">
        <v>125</v>
      </c>
      <c r="D70" s="20" t="s">
        <v>157</v>
      </c>
      <c r="E70" s="20" t="s">
        <v>929</v>
      </c>
      <c r="F70" s="20" t="s">
        <v>141</v>
      </c>
      <c r="G70" s="26">
        <v>0</v>
      </c>
      <c r="H70" s="26">
        <v>0</v>
      </c>
      <c r="I70" s="381" t="e">
        <f t="shared" si="0"/>
        <v>#DIV/0!</v>
      </c>
    </row>
    <row r="71" spans="1:9" s="203" customFormat="1" ht="47.25" x14ac:dyDescent="0.25">
      <c r="A71" s="31" t="s">
        <v>1188</v>
      </c>
      <c r="B71" s="16">
        <v>902</v>
      </c>
      <c r="C71" s="20" t="s">
        <v>125</v>
      </c>
      <c r="D71" s="20" t="s">
        <v>157</v>
      </c>
      <c r="E71" s="20" t="s">
        <v>1187</v>
      </c>
      <c r="F71" s="20"/>
      <c r="G71" s="26">
        <f>G72</f>
        <v>105.9</v>
      </c>
      <c r="H71" s="26">
        <f>H72</f>
        <v>0</v>
      </c>
      <c r="I71" s="381">
        <f t="shared" si="0"/>
        <v>0</v>
      </c>
    </row>
    <row r="72" spans="1:9" s="203" customFormat="1" ht="31.5" x14ac:dyDescent="0.25">
      <c r="A72" s="25" t="s">
        <v>138</v>
      </c>
      <c r="B72" s="16">
        <v>902</v>
      </c>
      <c r="C72" s="20" t="s">
        <v>125</v>
      </c>
      <c r="D72" s="20" t="s">
        <v>157</v>
      </c>
      <c r="E72" s="20" t="s">
        <v>1187</v>
      </c>
      <c r="F72" s="20" t="s">
        <v>139</v>
      </c>
      <c r="G72" s="26">
        <f>G73</f>
        <v>105.9</v>
      </c>
      <c r="H72" s="26">
        <f>H73</f>
        <v>0</v>
      </c>
      <c r="I72" s="381">
        <f t="shared" si="0"/>
        <v>0</v>
      </c>
    </row>
    <row r="73" spans="1:9" s="203" customFormat="1" ht="31.5" x14ac:dyDescent="0.25">
      <c r="A73" s="25" t="s">
        <v>140</v>
      </c>
      <c r="B73" s="16">
        <v>902</v>
      </c>
      <c r="C73" s="20" t="s">
        <v>125</v>
      </c>
      <c r="D73" s="20" t="s">
        <v>157</v>
      </c>
      <c r="E73" s="20" t="s">
        <v>1187</v>
      </c>
      <c r="F73" s="20" t="s">
        <v>141</v>
      </c>
      <c r="G73" s="26">
        <v>105.9</v>
      </c>
      <c r="H73" s="26">
        <v>0</v>
      </c>
      <c r="I73" s="381">
        <f t="shared" si="0"/>
        <v>0</v>
      </c>
    </row>
    <row r="74" spans="1:9" s="203" customFormat="1" ht="47.25" x14ac:dyDescent="0.25">
      <c r="A74" s="31" t="s">
        <v>196</v>
      </c>
      <c r="B74" s="16">
        <v>902</v>
      </c>
      <c r="C74" s="20" t="s">
        <v>125</v>
      </c>
      <c r="D74" s="20" t="s">
        <v>157</v>
      </c>
      <c r="E74" s="20" t="s">
        <v>930</v>
      </c>
      <c r="F74" s="20"/>
      <c r="G74" s="26">
        <f>G75+G77</f>
        <v>499.29999999999995</v>
      </c>
      <c r="H74" s="26">
        <f>H75+H77</f>
        <v>83.144999999999996</v>
      </c>
      <c r="I74" s="381">
        <f t="shared" si="0"/>
        <v>16.652313238533946</v>
      </c>
    </row>
    <row r="75" spans="1:9" s="203" customFormat="1" ht="63" x14ac:dyDescent="0.25">
      <c r="A75" s="25" t="s">
        <v>134</v>
      </c>
      <c r="B75" s="16">
        <v>902</v>
      </c>
      <c r="C75" s="20" t="s">
        <v>125</v>
      </c>
      <c r="D75" s="20" t="s">
        <v>157</v>
      </c>
      <c r="E75" s="20" t="s">
        <v>930</v>
      </c>
      <c r="F75" s="20" t="s">
        <v>135</v>
      </c>
      <c r="G75" s="26">
        <f>G76</f>
        <v>499.29999999999995</v>
      </c>
      <c r="H75" s="26">
        <f>H76</f>
        <v>83.144999999999996</v>
      </c>
      <c r="I75" s="381">
        <f t="shared" ref="I75:I138" si="3">H75/G75*100</f>
        <v>16.652313238533946</v>
      </c>
    </row>
    <row r="76" spans="1:9" s="203" customFormat="1" ht="31.5" x14ac:dyDescent="0.25">
      <c r="A76" s="25" t="s">
        <v>136</v>
      </c>
      <c r="B76" s="16">
        <v>902</v>
      </c>
      <c r="C76" s="20" t="s">
        <v>125</v>
      </c>
      <c r="D76" s="20" t="s">
        <v>157</v>
      </c>
      <c r="E76" s="20" t="s">
        <v>930</v>
      </c>
      <c r="F76" s="20" t="s">
        <v>137</v>
      </c>
      <c r="G76" s="26">
        <f>555.9-56.6</f>
        <v>499.29999999999995</v>
      </c>
      <c r="H76" s="26">
        <v>83.144999999999996</v>
      </c>
      <c r="I76" s="381">
        <f t="shared" si="3"/>
        <v>16.652313238533946</v>
      </c>
    </row>
    <row r="77" spans="1:9" s="203" customFormat="1" ht="31.5" hidden="1" x14ac:dyDescent="0.25">
      <c r="A77" s="25" t="s">
        <v>138</v>
      </c>
      <c r="B77" s="16">
        <v>902</v>
      </c>
      <c r="C77" s="20" t="s">
        <v>125</v>
      </c>
      <c r="D77" s="20" t="s">
        <v>157</v>
      </c>
      <c r="E77" s="20" t="s">
        <v>930</v>
      </c>
      <c r="F77" s="20" t="s">
        <v>139</v>
      </c>
      <c r="G77" s="26">
        <f>G78</f>
        <v>0</v>
      </c>
      <c r="H77" s="26">
        <f>H78</f>
        <v>0</v>
      </c>
      <c r="I77" s="381" t="e">
        <f t="shared" si="3"/>
        <v>#DIV/0!</v>
      </c>
    </row>
    <row r="78" spans="1:9" s="203" customFormat="1" ht="31.5" hidden="1" x14ac:dyDescent="0.25">
      <c r="A78" s="25" t="s">
        <v>140</v>
      </c>
      <c r="B78" s="16">
        <v>902</v>
      </c>
      <c r="C78" s="20" t="s">
        <v>125</v>
      </c>
      <c r="D78" s="20" t="s">
        <v>157</v>
      </c>
      <c r="E78" s="20" t="s">
        <v>930</v>
      </c>
      <c r="F78" s="20" t="s">
        <v>141</v>
      </c>
      <c r="G78" s="26">
        <v>0</v>
      </c>
      <c r="H78" s="26">
        <v>0</v>
      </c>
      <c r="I78" s="381" t="e">
        <f t="shared" si="3"/>
        <v>#DIV/0!</v>
      </c>
    </row>
    <row r="79" spans="1:9" s="203" customFormat="1" ht="47.25" x14ac:dyDescent="0.25">
      <c r="A79" s="31" t="s">
        <v>201</v>
      </c>
      <c r="B79" s="16">
        <v>902</v>
      </c>
      <c r="C79" s="20" t="s">
        <v>125</v>
      </c>
      <c r="D79" s="20" t="s">
        <v>157</v>
      </c>
      <c r="E79" s="20" t="s">
        <v>1038</v>
      </c>
      <c r="F79" s="20"/>
      <c r="G79" s="26">
        <f>G80+G82</f>
        <v>1439.3999999999999</v>
      </c>
      <c r="H79" s="26">
        <f>H80+H82</f>
        <v>189.18</v>
      </c>
      <c r="I79" s="381">
        <f t="shared" si="3"/>
        <v>13.142976240100044</v>
      </c>
    </row>
    <row r="80" spans="1:9" s="203" customFormat="1" ht="63" x14ac:dyDescent="0.25">
      <c r="A80" s="25" t="s">
        <v>134</v>
      </c>
      <c r="B80" s="16">
        <v>902</v>
      </c>
      <c r="C80" s="20" t="s">
        <v>125</v>
      </c>
      <c r="D80" s="20" t="s">
        <v>157</v>
      </c>
      <c r="E80" s="20" t="s">
        <v>1038</v>
      </c>
      <c r="F80" s="20" t="s">
        <v>135</v>
      </c>
      <c r="G80" s="26">
        <f>G81</f>
        <v>1359.1</v>
      </c>
      <c r="H80" s="26">
        <f>H81</f>
        <v>184.80500000000001</v>
      </c>
      <c r="I80" s="381">
        <f t="shared" si="3"/>
        <v>13.597601353837099</v>
      </c>
    </row>
    <row r="81" spans="1:9" s="203" customFormat="1" ht="31.5" x14ac:dyDescent="0.25">
      <c r="A81" s="25" t="s">
        <v>136</v>
      </c>
      <c r="B81" s="16">
        <v>902</v>
      </c>
      <c r="C81" s="20" t="s">
        <v>125</v>
      </c>
      <c r="D81" s="20" t="s">
        <v>157</v>
      </c>
      <c r="E81" s="20" t="s">
        <v>1038</v>
      </c>
      <c r="F81" s="20" t="s">
        <v>137</v>
      </c>
      <c r="G81" s="26">
        <f>1333.1-39.7-21.5+100.2+8.8-21.8</f>
        <v>1359.1</v>
      </c>
      <c r="H81" s="26">
        <v>184.80500000000001</v>
      </c>
      <c r="I81" s="381">
        <f t="shared" si="3"/>
        <v>13.597601353837099</v>
      </c>
    </row>
    <row r="82" spans="1:9" s="203" customFormat="1" ht="31.5" x14ac:dyDescent="0.25">
      <c r="A82" s="25" t="s">
        <v>138</v>
      </c>
      <c r="B82" s="16">
        <v>902</v>
      </c>
      <c r="C82" s="20" t="s">
        <v>125</v>
      </c>
      <c r="D82" s="20" t="s">
        <v>157</v>
      </c>
      <c r="E82" s="20" t="s">
        <v>1038</v>
      </c>
      <c r="F82" s="20" t="s">
        <v>139</v>
      </c>
      <c r="G82" s="26">
        <f>G83</f>
        <v>80.3</v>
      </c>
      <c r="H82" s="26">
        <f>H83</f>
        <v>4.375</v>
      </c>
      <c r="I82" s="381">
        <f t="shared" si="3"/>
        <v>5.4483188044831881</v>
      </c>
    </row>
    <row r="83" spans="1:9" s="203" customFormat="1" ht="31.5" x14ac:dyDescent="0.25">
      <c r="A83" s="25" t="s">
        <v>140</v>
      </c>
      <c r="B83" s="16">
        <v>902</v>
      </c>
      <c r="C83" s="20" t="s">
        <v>125</v>
      </c>
      <c r="D83" s="20" t="s">
        <v>157</v>
      </c>
      <c r="E83" s="20" t="s">
        <v>1038</v>
      </c>
      <c r="F83" s="20" t="s">
        <v>141</v>
      </c>
      <c r="G83" s="26">
        <f>156.9-116.5-0.7+21.5-2.7+21.8</f>
        <v>80.3</v>
      </c>
      <c r="H83" s="26">
        <v>4.375</v>
      </c>
      <c r="I83" s="381">
        <f t="shared" si="3"/>
        <v>5.4483188044831881</v>
      </c>
    </row>
    <row r="84" spans="1:9" s="203" customFormat="1" ht="31.5" x14ac:dyDescent="0.25">
      <c r="A84" s="31" t="s">
        <v>203</v>
      </c>
      <c r="B84" s="16">
        <v>902</v>
      </c>
      <c r="C84" s="20" t="s">
        <v>125</v>
      </c>
      <c r="D84" s="20" t="s">
        <v>157</v>
      </c>
      <c r="E84" s="20" t="s">
        <v>931</v>
      </c>
      <c r="F84" s="20"/>
      <c r="G84" s="26">
        <f>G85+G87</f>
        <v>1334.3000000000002</v>
      </c>
      <c r="H84" s="26">
        <f>H85+H87</f>
        <v>123.34099999999999</v>
      </c>
      <c r="I84" s="381">
        <f t="shared" si="3"/>
        <v>9.2438731919358439</v>
      </c>
    </row>
    <row r="85" spans="1:9" s="203" customFormat="1" ht="63" x14ac:dyDescent="0.25">
      <c r="A85" s="25" t="s">
        <v>134</v>
      </c>
      <c r="B85" s="16">
        <v>902</v>
      </c>
      <c r="C85" s="20" t="s">
        <v>125</v>
      </c>
      <c r="D85" s="20" t="s">
        <v>157</v>
      </c>
      <c r="E85" s="20" t="s">
        <v>931</v>
      </c>
      <c r="F85" s="20" t="s">
        <v>135</v>
      </c>
      <c r="G85" s="26">
        <f>G86</f>
        <v>1300.3000000000002</v>
      </c>
      <c r="H85" s="26">
        <f>H86</f>
        <v>122.34099999999999</v>
      </c>
      <c r="I85" s="381">
        <f t="shared" si="3"/>
        <v>9.408674921172036</v>
      </c>
    </row>
    <row r="86" spans="1:9" s="203" customFormat="1" ht="31.5" x14ac:dyDescent="0.25">
      <c r="A86" s="25" t="s">
        <v>136</v>
      </c>
      <c r="B86" s="16">
        <v>902</v>
      </c>
      <c r="C86" s="20" t="s">
        <v>125</v>
      </c>
      <c r="D86" s="20" t="s">
        <v>157</v>
      </c>
      <c r="E86" s="20" t="s">
        <v>931</v>
      </c>
      <c r="F86" s="20" t="s">
        <v>137</v>
      </c>
      <c r="G86" s="26">
        <f>1026.5+55.4+218.4</f>
        <v>1300.3000000000002</v>
      </c>
      <c r="H86" s="26">
        <v>122.34099999999999</v>
      </c>
      <c r="I86" s="381">
        <f t="shared" si="3"/>
        <v>9.408674921172036</v>
      </c>
    </row>
    <row r="87" spans="1:9" s="203" customFormat="1" ht="31.5" x14ac:dyDescent="0.25">
      <c r="A87" s="25" t="s">
        <v>205</v>
      </c>
      <c r="B87" s="16">
        <v>902</v>
      </c>
      <c r="C87" s="20" t="s">
        <v>125</v>
      </c>
      <c r="D87" s="20" t="s">
        <v>157</v>
      </c>
      <c r="E87" s="20" t="s">
        <v>931</v>
      </c>
      <c r="F87" s="20" t="s">
        <v>139</v>
      </c>
      <c r="G87" s="26">
        <f>G88</f>
        <v>34.000000000000007</v>
      </c>
      <c r="H87" s="26">
        <f>H88</f>
        <v>1</v>
      </c>
      <c r="I87" s="381">
        <f t="shared" si="3"/>
        <v>2.9411764705882346</v>
      </c>
    </row>
    <row r="88" spans="1:9" s="203" customFormat="1" ht="31.5" x14ac:dyDescent="0.25">
      <c r="A88" s="25" t="s">
        <v>140</v>
      </c>
      <c r="B88" s="16">
        <v>902</v>
      </c>
      <c r="C88" s="20" t="s">
        <v>125</v>
      </c>
      <c r="D88" s="20" t="s">
        <v>157</v>
      </c>
      <c r="E88" s="20" t="s">
        <v>931</v>
      </c>
      <c r="F88" s="20" t="s">
        <v>141</v>
      </c>
      <c r="G88" s="26">
        <f>89.4-55.4</f>
        <v>34.000000000000007</v>
      </c>
      <c r="H88" s="26">
        <v>1</v>
      </c>
      <c r="I88" s="381">
        <f t="shared" si="3"/>
        <v>2.9411764705882346</v>
      </c>
    </row>
    <row r="89" spans="1:9" s="203" customFormat="1" ht="31.5" x14ac:dyDescent="0.25">
      <c r="A89" s="23" t="s">
        <v>1355</v>
      </c>
      <c r="B89" s="19">
        <v>902</v>
      </c>
      <c r="C89" s="24" t="s">
        <v>125</v>
      </c>
      <c r="D89" s="24" t="s">
        <v>157</v>
      </c>
      <c r="E89" s="24" t="s">
        <v>169</v>
      </c>
      <c r="F89" s="24"/>
      <c r="G89" s="21">
        <f>G90+G94+G103</f>
        <v>683.5</v>
      </c>
      <c r="H89" s="21">
        <f>H90+H94+H103</f>
        <v>243.74799999999999</v>
      </c>
      <c r="I89" s="437">
        <f t="shared" si="3"/>
        <v>35.661741038771027</v>
      </c>
    </row>
    <row r="90" spans="1:9" s="203" customFormat="1" ht="63" x14ac:dyDescent="0.25">
      <c r="A90" s="290" t="s">
        <v>1356</v>
      </c>
      <c r="B90" s="19">
        <v>902</v>
      </c>
      <c r="C90" s="24" t="s">
        <v>125</v>
      </c>
      <c r="D90" s="24" t="s">
        <v>157</v>
      </c>
      <c r="E90" s="7" t="s">
        <v>859</v>
      </c>
      <c r="F90" s="24"/>
      <c r="G90" s="21">
        <f t="shared" ref="G90:H92" si="4">G91</f>
        <v>545.70000000000005</v>
      </c>
      <c r="H90" s="21">
        <f t="shared" si="4"/>
        <v>106.44799999999999</v>
      </c>
      <c r="I90" s="437">
        <f t="shared" si="3"/>
        <v>19.506688656771118</v>
      </c>
    </row>
    <row r="91" spans="1:9" s="203" customFormat="1" ht="47.25" x14ac:dyDescent="0.25">
      <c r="A91" s="29" t="s">
        <v>1323</v>
      </c>
      <c r="B91" s="16">
        <v>902</v>
      </c>
      <c r="C91" s="20" t="s">
        <v>125</v>
      </c>
      <c r="D91" s="20" t="s">
        <v>157</v>
      </c>
      <c r="E91" s="40" t="s">
        <v>851</v>
      </c>
      <c r="F91" s="20"/>
      <c r="G91" s="26">
        <f t="shared" si="4"/>
        <v>545.70000000000005</v>
      </c>
      <c r="H91" s="26">
        <f t="shared" si="4"/>
        <v>106.44799999999999</v>
      </c>
      <c r="I91" s="381">
        <f t="shared" si="3"/>
        <v>19.506688656771118</v>
      </c>
    </row>
    <row r="92" spans="1:9" s="203" customFormat="1" ht="31.5" x14ac:dyDescent="0.25">
      <c r="A92" s="25" t="s">
        <v>138</v>
      </c>
      <c r="B92" s="16">
        <v>902</v>
      </c>
      <c r="C92" s="20" t="s">
        <v>125</v>
      </c>
      <c r="D92" s="20" t="s">
        <v>157</v>
      </c>
      <c r="E92" s="40" t="s">
        <v>851</v>
      </c>
      <c r="F92" s="20" t="s">
        <v>139</v>
      </c>
      <c r="G92" s="26">
        <f t="shared" si="4"/>
        <v>545.70000000000005</v>
      </c>
      <c r="H92" s="26">
        <f t="shared" si="4"/>
        <v>106.44799999999999</v>
      </c>
      <c r="I92" s="381">
        <f t="shared" si="3"/>
        <v>19.506688656771118</v>
      </c>
    </row>
    <row r="93" spans="1:9" s="203" customFormat="1" ht="31.5" x14ac:dyDescent="0.25">
      <c r="A93" s="25" t="s">
        <v>140</v>
      </c>
      <c r="B93" s="16">
        <v>902</v>
      </c>
      <c r="C93" s="20" t="s">
        <v>125</v>
      </c>
      <c r="D93" s="20" t="s">
        <v>157</v>
      </c>
      <c r="E93" s="40" t="s">
        <v>851</v>
      </c>
      <c r="F93" s="20" t="s">
        <v>141</v>
      </c>
      <c r="G93" s="26">
        <f>606-55.3-5</f>
        <v>545.70000000000005</v>
      </c>
      <c r="H93" s="26">
        <v>106.44799999999999</v>
      </c>
      <c r="I93" s="381">
        <f t="shared" si="3"/>
        <v>19.506688656771118</v>
      </c>
    </row>
    <row r="94" spans="1:9" s="203" customFormat="1" ht="69.75" customHeight="1" x14ac:dyDescent="0.25">
      <c r="A94" s="211" t="s">
        <v>1357</v>
      </c>
      <c r="B94" s="271">
        <v>902</v>
      </c>
      <c r="C94" s="24" t="s">
        <v>125</v>
      </c>
      <c r="D94" s="24" t="s">
        <v>157</v>
      </c>
      <c r="E94" s="7" t="s">
        <v>860</v>
      </c>
      <c r="F94" s="24"/>
      <c r="G94" s="21">
        <f>G95+G100</f>
        <v>137.30000000000001</v>
      </c>
      <c r="H94" s="21">
        <f>H95+H100</f>
        <v>137.30000000000001</v>
      </c>
      <c r="I94" s="437">
        <f t="shared" si="3"/>
        <v>100</v>
      </c>
    </row>
    <row r="95" spans="1:9" s="203" customFormat="1" ht="47.25" x14ac:dyDescent="0.25">
      <c r="A95" s="176" t="s">
        <v>172</v>
      </c>
      <c r="B95" s="16">
        <v>902</v>
      </c>
      <c r="C95" s="20" t="s">
        <v>125</v>
      </c>
      <c r="D95" s="20" t="s">
        <v>157</v>
      </c>
      <c r="E95" s="40" t="s">
        <v>852</v>
      </c>
      <c r="F95" s="20"/>
      <c r="G95" s="26">
        <f>G96+G98</f>
        <v>137.30000000000001</v>
      </c>
      <c r="H95" s="26">
        <f>H96+H98</f>
        <v>137.30000000000001</v>
      </c>
      <c r="I95" s="381">
        <f t="shared" si="3"/>
        <v>100</v>
      </c>
    </row>
    <row r="96" spans="1:9" s="203" customFormat="1" ht="63" x14ac:dyDescent="0.25">
      <c r="A96" s="25" t="s">
        <v>134</v>
      </c>
      <c r="B96" s="16">
        <v>902</v>
      </c>
      <c r="C96" s="20" t="s">
        <v>125</v>
      </c>
      <c r="D96" s="20" t="s">
        <v>157</v>
      </c>
      <c r="E96" s="40" t="s">
        <v>852</v>
      </c>
      <c r="F96" s="20" t="s">
        <v>135</v>
      </c>
      <c r="G96" s="26">
        <f>G97</f>
        <v>92.3</v>
      </c>
      <c r="H96" s="26">
        <f>H97</f>
        <v>92.3</v>
      </c>
      <c r="I96" s="381">
        <f t="shared" si="3"/>
        <v>100</v>
      </c>
    </row>
    <row r="97" spans="1:9" s="203" customFormat="1" ht="31.5" x14ac:dyDescent="0.25">
      <c r="A97" s="25" t="s">
        <v>136</v>
      </c>
      <c r="B97" s="16">
        <v>902</v>
      </c>
      <c r="C97" s="20" t="s">
        <v>125</v>
      </c>
      <c r="D97" s="20" t="s">
        <v>157</v>
      </c>
      <c r="E97" s="40" t="s">
        <v>852</v>
      </c>
      <c r="F97" s="20" t="s">
        <v>137</v>
      </c>
      <c r="G97" s="26">
        <f>37+55.3</f>
        <v>92.3</v>
      </c>
      <c r="H97" s="26">
        <v>92.3</v>
      </c>
      <c r="I97" s="381">
        <f t="shared" si="3"/>
        <v>100</v>
      </c>
    </row>
    <row r="98" spans="1:9" s="203" customFormat="1" ht="31.5" x14ac:dyDescent="0.25">
      <c r="A98" s="25" t="s">
        <v>138</v>
      </c>
      <c r="B98" s="16">
        <v>902</v>
      </c>
      <c r="C98" s="20" t="s">
        <v>125</v>
      </c>
      <c r="D98" s="20" t="s">
        <v>157</v>
      </c>
      <c r="E98" s="40" t="s">
        <v>852</v>
      </c>
      <c r="F98" s="20" t="s">
        <v>139</v>
      </c>
      <c r="G98" s="26">
        <f>G99</f>
        <v>45</v>
      </c>
      <c r="H98" s="26">
        <f>H99</f>
        <v>45</v>
      </c>
      <c r="I98" s="381">
        <f t="shared" si="3"/>
        <v>100</v>
      </c>
    </row>
    <row r="99" spans="1:9" s="203" customFormat="1" ht="31.5" x14ac:dyDescent="0.25">
      <c r="A99" s="25" t="s">
        <v>140</v>
      </c>
      <c r="B99" s="16">
        <v>902</v>
      </c>
      <c r="C99" s="20" t="s">
        <v>125</v>
      </c>
      <c r="D99" s="20" t="s">
        <v>157</v>
      </c>
      <c r="E99" s="40" t="s">
        <v>852</v>
      </c>
      <c r="F99" s="20" t="s">
        <v>141</v>
      </c>
      <c r="G99" s="26">
        <f>40+5</f>
        <v>45</v>
      </c>
      <c r="H99" s="26">
        <v>45</v>
      </c>
      <c r="I99" s="381">
        <f t="shared" si="3"/>
        <v>100</v>
      </c>
    </row>
    <row r="100" spans="1:9" s="203" customFormat="1" ht="47.25" hidden="1" x14ac:dyDescent="0.25">
      <c r="A100" s="31" t="s">
        <v>1105</v>
      </c>
      <c r="B100" s="16">
        <v>902</v>
      </c>
      <c r="C100" s="20" t="s">
        <v>125</v>
      </c>
      <c r="D100" s="20" t="s">
        <v>157</v>
      </c>
      <c r="E100" s="40" t="s">
        <v>1003</v>
      </c>
      <c r="F100" s="20"/>
      <c r="G100" s="26">
        <f>G101</f>
        <v>0</v>
      </c>
      <c r="H100" s="26">
        <f>H101</f>
        <v>0</v>
      </c>
      <c r="I100" s="381" t="e">
        <f t="shared" si="3"/>
        <v>#DIV/0!</v>
      </c>
    </row>
    <row r="101" spans="1:9" s="203" customFormat="1" ht="31.5" hidden="1" x14ac:dyDescent="0.25">
      <c r="A101" s="25" t="s">
        <v>138</v>
      </c>
      <c r="B101" s="16">
        <v>902</v>
      </c>
      <c r="C101" s="20" t="s">
        <v>125</v>
      </c>
      <c r="D101" s="20" t="s">
        <v>157</v>
      </c>
      <c r="E101" s="40" t="s">
        <v>1003</v>
      </c>
      <c r="F101" s="20" t="s">
        <v>139</v>
      </c>
      <c r="G101" s="26">
        <f>G102</f>
        <v>0</v>
      </c>
      <c r="H101" s="26">
        <f>H102</f>
        <v>0</v>
      </c>
      <c r="I101" s="381" t="e">
        <f t="shared" si="3"/>
        <v>#DIV/0!</v>
      </c>
    </row>
    <row r="102" spans="1:9" s="203" customFormat="1" ht="31.5" hidden="1" x14ac:dyDescent="0.25">
      <c r="A102" s="25" t="s">
        <v>140</v>
      </c>
      <c r="B102" s="16">
        <v>902</v>
      </c>
      <c r="C102" s="20" t="s">
        <v>125</v>
      </c>
      <c r="D102" s="20" t="s">
        <v>157</v>
      </c>
      <c r="E102" s="40" t="s">
        <v>704</v>
      </c>
      <c r="F102" s="20" t="s">
        <v>141</v>
      </c>
      <c r="G102" s="26">
        <v>0</v>
      </c>
      <c r="H102" s="26">
        <v>0</v>
      </c>
      <c r="I102" s="381" t="e">
        <f t="shared" si="3"/>
        <v>#DIV/0!</v>
      </c>
    </row>
    <row r="103" spans="1:9" s="203" customFormat="1" ht="51" customHeight="1" x14ac:dyDescent="0.25">
      <c r="A103" s="216" t="s">
        <v>1013</v>
      </c>
      <c r="B103" s="19">
        <v>902</v>
      </c>
      <c r="C103" s="24" t="s">
        <v>125</v>
      </c>
      <c r="D103" s="24" t="s">
        <v>157</v>
      </c>
      <c r="E103" s="7" t="s">
        <v>861</v>
      </c>
      <c r="F103" s="24"/>
      <c r="G103" s="21">
        <f>G104+G107</f>
        <v>0.5</v>
      </c>
      <c r="H103" s="21">
        <f>H104+H107</f>
        <v>0</v>
      </c>
      <c r="I103" s="437">
        <f t="shared" si="3"/>
        <v>0</v>
      </c>
    </row>
    <row r="104" spans="1:9" s="203" customFormat="1" ht="31.5" x14ac:dyDescent="0.25">
      <c r="A104" s="33" t="s">
        <v>198</v>
      </c>
      <c r="B104" s="16">
        <v>902</v>
      </c>
      <c r="C104" s="20" t="s">
        <v>125</v>
      </c>
      <c r="D104" s="20" t="s">
        <v>157</v>
      </c>
      <c r="E104" s="40" t="s">
        <v>854</v>
      </c>
      <c r="F104" s="20"/>
      <c r="G104" s="26">
        <f>G105</f>
        <v>0.5</v>
      </c>
      <c r="H104" s="26">
        <f>H105</f>
        <v>0</v>
      </c>
      <c r="I104" s="381">
        <f t="shared" si="3"/>
        <v>0</v>
      </c>
    </row>
    <row r="105" spans="1:9" s="203" customFormat="1" ht="31.5" x14ac:dyDescent="0.25">
      <c r="A105" s="25" t="s">
        <v>138</v>
      </c>
      <c r="B105" s="16">
        <v>902</v>
      </c>
      <c r="C105" s="20" t="s">
        <v>125</v>
      </c>
      <c r="D105" s="20" t="s">
        <v>157</v>
      </c>
      <c r="E105" s="40" t="s">
        <v>854</v>
      </c>
      <c r="F105" s="20" t="s">
        <v>139</v>
      </c>
      <c r="G105" s="26">
        <f>G106</f>
        <v>0.5</v>
      </c>
      <c r="H105" s="26">
        <f>H106</f>
        <v>0</v>
      </c>
      <c r="I105" s="381">
        <f t="shared" si="3"/>
        <v>0</v>
      </c>
    </row>
    <row r="106" spans="1:9" s="203" customFormat="1" ht="31.5" x14ac:dyDescent="0.25">
      <c r="A106" s="25" t="s">
        <v>140</v>
      </c>
      <c r="B106" s="16">
        <v>902</v>
      </c>
      <c r="C106" s="20" t="s">
        <v>125</v>
      </c>
      <c r="D106" s="20" t="s">
        <v>157</v>
      </c>
      <c r="E106" s="40" t="s">
        <v>854</v>
      </c>
      <c r="F106" s="20" t="s">
        <v>141</v>
      </c>
      <c r="G106" s="26">
        <v>0.5</v>
      </c>
      <c r="H106" s="26">
        <v>0</v>
      </c>
      <c r="I106" s="381">
        <f t="shared" si="3"/>
        <v>0</v>
      </c>
    </row>
    <row r="107" spans="1:9" s="203" customFormat="1" ht="31.5" hidden="1" x14ac:dyDescent="0.25">
      <c r="A107" s="33" t="s">
        <v>198</v>
      </c>
      <c r="B107" s="16">
        <v>902</v>
      </c>
      <c r="C107" s="20" t="s">
        <v>125</v>
      </c>
      <c r="D107" s="20" t="s">
        <v>157</v>
      </c>
      <c r="E107" s="20" t="s">
        <v>855</v>
      </c>
      <c r="F107" s="20"/>
      <c r="G107" s="26">
        <f>G108</f>
        <v>0</v>
      </c>
      <c r="H107" s="26">
        <f>H108</f>
        <v>0</v>
      </c>
      <c r="I107" s="381" t="e">
        <f t="shared" si="3"/>
        <v>#DIV/0!</v>
      </c>
    </row>
    <row r="108" spans="1:9" s="203" customFormat="1" ht="31.5" hidden="1" x14ac:dyDescent="0.25">
      <c r="A108" s="25" t="s">
        <v>138</v>
      </c>
      <c r="B108" s="16">
        <v>902</v>
      </c>
      <c r="C108" s="20" t="s">
        <v>125</v>
      </c>
      <c r="D108" s="20" t="s">
        <v>157</v>
      </c>
      <c r="E108" s="20" t="s">
        <v>855</v>
      </c>
      <c r="F108" s="20" t="s">
        <v>139</v>
      </c>
      <c r="G108" s="26">
        <f>G109</f>
        <v>0</v>
      </c>
      <c r="H108" s="26">
        <f>H109</f>
        <v>0</v>
      </c>
      <c r="I108" s="381" t="e">
        <f t="shared" si="3"/>
        <v>#DIV/0!</v>
      </c>
    </row>
    <row r="109" spans="1:9" s="203" customFormat="1" ht="31.5" hidden="1" x14ac:dyDescent="0.25">
      <c r="A109" s="25" t="s">
        <v>140</v>
      </c>
      <c r="B109" s="16">
        <v>902</v>
      </c>
      <c r="C109" s="20" t="s">
        <v>125</v>
      </c>
      <c r="D109" s="20" t="s">
        <v>157</v>
      </c>
      <c r="E109" s="20" t="s">
        <v>855</v>
      </c>
      <c r="F109" s="20" t="s">
        <v>141</v>
      </c>
      <c r="G109" s="26">
        <v>0</v>
      </c>
      <c r="H109" s="26">
        <v>0</v>
      </c>
      <c r="I109" s="381" t="e">
        <f t="shared" si="3"/>
        <v>#DIV/0!</v>
      </c>
    </row>
    <row r="110" spans="1:9" ht="47.25" x14ac:dyDescent="0.25">
      <c r="A110" s="23" t="s">
        <v>126</v>
      </c>
      <c r="B110" s="19">
        <v>902</v>
      </c>
      <c r="C110" s="24" t="s">
        <v>125</v>
      </c>
      <c r="D110" s="24" t="s">
        <v>127</v>
      </c>
      <c r="E110" s="24"/>
      <c r="F110" s="20"/>
      <c r="G110" s="21">
        <f>G111</f>
        <v>1332.2</v>
      </c>
      <c r="H110" s="21">
        <f>H111</f>
        <v>282.50599999999997</v>
      </c>
      <c r="I110" s="437">
        <f t="shared" si="3"/>
        <v>21.205975078816991</v>
      </c>
    </row>
    <row r="111" spans="1:9" ht="39.200000000000003" customHeight="1" x14ac:dyDescent="0.25">
      <c r="A111" s="23" t="s">
        <v>927</v>
      </c>
      <c r="B111" s="19">
        <v>902</v>
      </c>
      <c r="C111" s="24" t="s">
        <v>125</v>
      </c>
      <c r="D111" s="24" t="s">
        <v>127</v>
      </c>
      <c r="E111" s="24" t="s">
        <v>868</v>
      </c>
      <c r="F111" s="24"/>
      <c r="G111" s="21">
        <f>G112</f>
        <v>1332.2</v>
      </c>
      <c r="H111" s="21">
        <f>H112</f>
        <v>282.50599999999997</v>
      </c>
      <c r="I111" s="437">
        <f t="shared" si="3"/>
        <v>21.205975078816991</v>
      </c>
    </row>
    <row r="112" spans="1:9" ht="15.75" x14ac:dyDescent="0.25">
      <c r="A112" s="23" t="s">
        <v>928</v>
      </c>
      <c r="B112" s="19">
        <v>902</v>
      </c>
      <c r="C112" s="24" t="s">
        <v>125</v>
      </c>
      <c r="D112" s="24" t="s">
        <v>127</v>
      </c>
      <c r="E112" s="24" t="s">
        <v>869</v>
      </c>
      <c r="F112" s="24"/>
      <c r="G112" s="21">
        <f>G113+G116</f>
        <v>1332.2</v>
      </c>
      <c r="H112" s="21">
        <f>H113+H116</f>
        <v>282.50599999999997</v>
      </c>
      <c r="I112" s="437">
        <f t="shared" si="3"/>
        <v>21.205975078816991</v>
      </c>
    </row>
    <row r="113" spans="1:10" ht="31.5" x14ac:dyDescent="0.25">
      <c r="A113" s="25" t="s">
        <v>907</v>
      </c>
      <c r="B113" s="16">
        <v>902</v>
      </c>
      <c r="C113" s="20" t="s">
        <v>125</v>
      </c>
      <c r="D113" s="20" t="s">
        <v>127</v>
      </c>
      <c r="E113" s="20" t="s">
        <v>870</v>
      </c>
      <c r="F113" s="20"/>
      <c r="G113" s="26">
        <f>G114</f>
        <v>1286.2</v>
      </c>
      <c r="H113" s="26">
        <f>H114</f>
        <v>282.50599999999997</v>
      </c>
      <c r="I113" s="381">
        <f t="shared" si="3"/>
        <v>21.964391229979782</v>
      </c>
    </row>
    <row r="114" spans="1:10" ht="63" x14ac:dyDescent="0.25">
      <c r="A114" s="25" t="s">
        <v>134</v>
      </c>
      <c r="B114" s="16">
        <v>902</v>
      </c>
      <c r="C114" s="20" t="s">
        <v>125</v>
      </c>
      <c r="D114" s="20" t="s">
        <v>127</v>
      </c>
      <c r="E114" s="20" t="s">
        <v>870</v>
      </c>
      <c r="F114" s="20" t="s">
        <v>135</v>
      </c>
      <c r="G114" s="26">
        <f>G115</f>
        <v>1286.2</v>
      </c>
      <c r="H114" s="26">
        <f>H115</f>
        <v>282.50599999999997</v>
      </c>
      <c r="I114" s="381">
        <f t="shared" si="3"/>
        <v>21.964391229979782</v>
      </c>
    </row>
    <row r="115" spans="1:10" ht="31.5" x14ac:dyDescent="0.25">
      <c r="A115" s="25" t="s">
        <v>136</v>
      </c>
      <c r="B115" s="16">
        <v>902</v>
      </c>
      <c r="C115" s="20" t="s">
        <v>125</v>
      </c>
      <c r="D115" s="20" t="s">
        <v>127</v>
      </c>
      <c r="E115" s="20" t="s">
        <v>870</v>
      </c>
      <c r="F115" s="20" t="s">
        <v>137</v>
      </c>
      <c r="G115" s="27">
        <v>1286.2</v>
      </c>
      <c r="H115" s="27">
        <v>282.50599999999997</v>
      </c>
      <c r="I115" s="381">
        <f t="shared" si="3"/>
        <v>21.964391229979782</v>
      </c>
    </row>
    <row r="116" spans="1:10" ht="31.7" customHeight="1" x14ac:dyDescent="0.25">
      <c r="A116" s="25" t="s">
        <v>849</v>
      </c>
      <c r="B116" s="16">
        <v>902</v>
      </c>
      <c r="C116" s="20" t="s">
        <v>125</v>
      </c>
      <c r="D116" s="20" t="s">
        <v>127</v>
      </c>
      <c r="E116" s="20" t="s">
        <v>872</v>
      </c>
      <c r="F116" s="20"/>
      <c r="G116" s="26">
        <f>G117</f>
        <v>46</v>
      </c>
      <c r="H116" s="26">
        <f>H117</f>
        <v>0</v>
      </c>
      <c r="I116" s="381">
        <f t="shared" si="3"/>
        <v>0</v>
      </c>
    </row>
    <row r="117" spans="1:10" s="203" customFormat="1" ht="31.7" customHeight="1" x14ac:dyDescent="0.25">
      <c r="A117" s="25" t="s">
        <v>134</v>
      </c>
      <c r="B117" s="16">
        <v>902</v>
      </c>
      <c r="C117" s="20" t="s">
        <v>125</v>
      </c>
      <c r="D117" s="20" t="s">
        <v>127</v>
      </c>
      <c r="E117" s="20" t="s">
        <v>872</v>
      </c>
      <c r="F117" s="20" t="s">
        <v>135</v>
      </c>
      <c r="G117" s="26">
        <f>G118</f>
        <v>46</v>
      </c>
      <c r="H117" s="26">
        <f>H118</f>
        <v>0</v>
      </c>
      <c r="I117" s="381">
        <f t="shared" si="3"/>
        <v>0</v>
      </c>
    </row>
    <row r="118" spans="1:10" ht="34.5" customHeight="1" x14ac:dyDescent="0.25">
      <c r="A118" s="25" t="s">
        <v>136</v>
      </c>
      <c r="B118" s="16">
        <v>902</v>
      </c>
      <c r="C118" s="20" t="s">
        <v>125</v>
      </c>
      <c r="D118" s="20" t="s">
        <v>127</v>
      </c>
      <c r="E118" s="20" t="s">
        <v>872</v>
      </c>
      <c r="F118" s="20" t="s">
        <v>137</v>
      </c>
      <c r="G118" s="26">
        <v>46</v>
      </c>
      <c r="H118" s="26">
        <v>0</v>
      </c>
      <c r="I118" s="381">
        <f t="shared" si="3"/>
        <v>0</v>
      </c>
    </row>
    <row r="119" spans="1:10" s="203" customFormat="1" ht="17.45" hidden="1" customHeight="1" x14ac:dyDescent="0.25">
      <c r="A119" s="23" t="s">
        <v>1161</v>
      </c>
      <c r="B119" s="19">
        <v>902</v>
      </c>
      <c r="C119" s="24" t="s">
        <v>125</v>
      </c>
      <c r="D119" s="24" t="s">
        <v>271</v>
      </c>
      <c r="E119" s="24"/>
      <c r="F119" s="20"/>
      <c r="G119" s="21">
        <f t="shared" ref="G119:H121" si="5">G120</f>
        <v>0</v>
      </c>
      <c r="H119" s="21">
        <f t="shared" si="5"/>
        <v>0</v>
      </c>
      <c r="I119" s="381" t="e">
        <f t="shared" si="3"/>
        <v>#DIV/0!</v>
      </c>
    </row>
    <row r="120" spans="1:10" s="203" customFormat="1" ht="21.75" hidden="1" customHeight="1" x14ac:dyDescent="0.25">
      <c r="A120" s="23" t="s">
        <v>148</v>
      </c>
      <c r="B120" s="19">
        <v>902</v>
      </c>
      <c r="C120" s="24" t="s">
        <v>125</v>
      </c>
      <c r="D120" s="24" t="s">
        <v>271</v>
      </c>
      <c r="E120" s="24" t="s">
        <v>876</v>
      </c>
      <c r="F120" s="20"/>
      <c r="G120" s="21">
        <f t="shared" si="5"/>
        <v>0</v>
      </c>
      <c r="H120" s="21">
        <f t="shared" si="5"/>
        <v>0</v>
      </c>
      <c r="I120" s="381" t="e">
        <f t="shared" si="3"/>
        <v>#DIV/0!</v>
      </c>
    </row>
    <row r="121" spans="1:10" s="203" customFormat="1" ht="34.5" hidden="1" customHeight="1" x14ac:dyDescent="0.25">
      <c r="A121" s="23" t="s">
        <v>880</v>
      </c>
      <c r="B121" s="19">
        <v>902</v>
      </c>
      <c r="C121" s="24" t="s">
        <v>125</v>
      </c>
      <c r="D121" s="24" t="s">
        <v>271</v>
      </c>
      <c r="E121" s="24" t="s">
        <v>875</v>
      </c>
      <c r="F121" s="20"/>
      <c r="G121" s="21">
        <f t="shared" si="5"/>
        <v>0</v>
      </c>
      <c r="H121" s="21">
        <f t="shared" si="5"/>
        <v>0</v>
      </c>
      <c r="I121" s="381" t="e">
        <f t="shared" si="3"/>
        <v>#DIV/0!</v>
      </c>
    </row>
    <row r="122" spans="1:10" s="203" customFormat="1" ht="18" hidden="1" customHeight="1" x14ac:dyDescent="0.25">
      <c r="A122" s="45" t="s">
        <v>206</v>
      </c>
      <c r="B122" s="16">
        <v>902</v>
      </c>
      <c r="C122" s="20" t="s">
        <v>125</v>
      </c>
      <c r="D122" s="20" t="s">
        <v>271</v>
      </c>
      <c r="E122" s="20" t="s">
        <v>1160</v>
      </c>
      <c r="F122" s="20"/>
      <c r="G122" s="26">
        <f>G123+G125</f>
        <v>0</v>
      </c>
      <c r="H122" s="26">
        <f>H123+H125</f>
        <v>0</v>
      </c>
      <c r="I122" s="381" t="e">
        <f t="shared" si="3"/>
        <v>#DIV/0!</v>
      </c>
    </row>
    <row r="123" spans="1:10" s="203" customFormat="1" ht="69.75" hidden="1" customHeight="1" x14ac:dyDescent="0.25">
      <c r="A123" s="25" t="s">
        <v>134</v>
      </c>
      <c r="B123" s="16">
        <v>902</v>
      </c>
      <c r="C123" s="20" t="s">
        <v>125</v>
      </c>
      <c r="D123" s="20" t="s">
        <v>271</v>
      </c>
      <c r="E123" s="20" t="s">
        <v>1160</v>
      </c>
      <c r="F123" s="20" t="s">
        <v>135</v>
      </c>
      <c r="G123" s="26">
        <f>G124</f>
        <v>0</v>
      </c>
      <c r="H123" s="26">
        <f>H124</f>
        <v>0</v>
      </c>
      <c r="I123" s="381" t="e">
        <f t="shared" si="3"/>
        <v>#DIV/0!</v>
      </c>
    </row>
    <row r="124" spans="1:10" s="203" customFormat="1" ht="34.5" hidden="1" customHeight="1" x14ac:dyDescent="0.25">
      <c r="A124" s="25" t="s">
        <v>136</v>
      </c>
      <c r="B124" s="16">
        <v>902</v>
      </c>
      <c r="C124" s="20" t="s">
        <v>125</v>
      </c>
      <c r="D124" s="20" t="s">
        <v>271</v>
      </c>
      <c r="E124" s="20" t="s">
        <v>1160</v>
      </c>
      <c r="F124" s="20" t="s">
        <v>137</v>
      </c>
      <c r="G124" s="26">
        <v>0</v>
      </c>
      <c r="H124" s="26">
        <v>0</v>
      </c>
      <c r="I124" s="381" t="e">
        <f t="shared" si="3"/>
        <v>#DIV/0!</v>
      </c>
    </row>
    <row r="125" spans="1:10" s="203" customFormat="1" ht="34.5" hidden="1" customHeight="1" x14ac:dyDescent="0.25">
      <c r="A125" s="25" t="s">
        <v>205</v>
      </c>
      <c r="B125" s="16">
        <v>902</v>
      </c>
      <c r="C125" s="20" t="s">
        <v>125</v>
      </c>
      <c r="D125" s="20" t="s">
        <v>271</v>
      </c>
      <c r="E125" s="20" t="s">
        <v>1160</v>
      </c>
      <c r="F125" s="20" t="s">
        <v>139</v>
      </c>
      <c r="G125" s="26">
        <f>G126</f>
        <v>0</v>
      </c>
      <c r="H125" s="26">
        <f>H126</f>
        <v>0</v>
      </c>
      <c r="I125" s="381" t="e">
        <f t="shared" si="3"/>
        <v>#DIV/0!</v>
      </c>
    </row>
    <row r="126" spans="1:10" s="203" customFormat="1" ht="34.5" hidden="1" customHeight="1" x14ac:dyDescent="0.25">
      <c r="A126" s="25" t="s">
        <v>140</v>
      </c>
      <c r="B126" s="16">
        <v>902</v>
      </c>
      <c r="C126" s="20" t="s">
        <v>125</v>
      </c>
      <c r="D126" s="20" t="s">
        <v>271</v>
      </c>
      <c r="E126" s="20" t="s">
        <v>1160</v>
      </c>
      <c r="F126" s="20" t="s">
        <v>141</v>
      </c>
      <c r="G126" s="26">
        <v>0</v>
      </c>
      <c r="H126" s="26">
        <v>0</v>
      </c>
      <c r="I126" s="381" t="e">
        <f t="shared" si="3"/>
        <v>#DIV/0!</v>
      </c>
    </row>
    <row r="127" spans="1:10" ht="15.75" x14ac:dyDescent="0.25">
      <c r="A127" s="23" t="s">
        <v>146</v>
      </c>
      <c r="B127" s="19">
        <v>902</v>
      </c>
      <c r="C127" s="24" t="s">
        <v>125</v>
      </c>
      <c r="D127" s="24" t="s">
        <v>147</v>
      </c>
      <c r="E127" s="24"/>
      <c r="F127" s="24"/>
      <c r="G127" s="21">
        <f>G138+G147+G128+G152</f>
        <v>5982</v>
      </c>
      <c r="H127" s="21">
        <f>H138+H147+H128+H152</f>
        <v>905.57799999999997</v>
      </c>
      <c r="I127" s="437">
        <f t="shared" si="3"/>
        <v>15.138381812102974</v>
      </c>
      <c r="J127" s="115"/>
    </row>
    <row r="128" spans="1:10" s="203" customFormat="1" ht="19.5" customHeight="1" x14ac:dyDescent="0.25">
      <c r="A128" s="23" t="s">
        <v>148</v>
      </c>
      <c r="B128" s="19">
        <v>902</v>
      </c>
      <c r="C128" s="24" t="s">
        <v>125</v>
      </c>
      <c r="D128" s="24" t="s">
        <v>147</v>
      </c>
      <c r="E128" s="24" t="s">
        <v>876</v>
      </c>
      <c r="F128" s="24"/>
      <c r="G128" s="21">
        <f>G129</f>
        <v>5829</v>
      </c>
      <c r="H128" s="21">
        <f>H129</f>
        <v>905.57799999999997</v>
      </c>
      <c r="I128" s="437">
        <f t="shared" si="3"/>
        <v>15.53573511751587</v>
      </c>
    </row>
    <row r="129" spans="1:9" s="203" customFormat="1" ht="34.5" customHeight="1" x14ac:dyDescent="0.25">
      <c r="A129" s="23" t="s">
        <v>932</v>
      </c>
      <c r="B129" s="19">
        <v>902</v>
      </c>
      <c r="C129" s="24" t="s">
        <v>125</v>
      </c>
      <c r="D129" s="24" t="s">
        <v>147</v>
      </c>
      <c r="E129" s="24" t="s">
        <v>877</v>
      </c>
      <c r="F129" s="24"/>
      <c r="G129" s="21">
        <f>G130+G135</f>
        <v>5829</v>
      </c>
      <c r="H129" s="21">
        <f>H130+H135</f>
        <v>905.57799999999997</v>
      </c>
      <c r="I129" s="437">
        <f t="shared" si="3"/>
        <v>15.53573511751587</v>
      </c>
    </row>
    <row r="130" spans="1:9" s="203" customFormat="1" ht="21.75" customHeight="1" x14ac:dyDescent="0.25">
      <c r="A130" s="25" t="s">
        <v>938</v>
      </c>
      <c r="B130" s="16">
        <v>902</v>
      </c>
      <c r="C130" s="20" t="s">
        <v>125</v>
      </c>
      <c r="D130" s="20" t="s">
        <v>147</v>
      </c>
      <c r="E130" s="20" t="s">
        <v>878</v>
      </c>
      <c r="F130" s="20"/>
      <c r="G130" s="26">
        <f>G131+G133</f>
        <v>5701</v>
      </c>
      <c r="H130" s="26">
        <f>H131+H133</f>
        <v>905.57799999999997</v>
      </c>
      <c r="I130" s="381">
        <f t="shared" si="3"/>
        <v>15.884546570777056</v>
      </c>
    </row>
    <row r="131" spans="1:9" s="203" customFormat="1" ht="66.75" customHeight="1" x14ac:dyDescent="0.25">
      <c r="A131" s="25" t="s">
        <v>134</v>
      </c>
      <c r="B131" s="16">
        <v>902</v>
      </c>
      <c r="C131" s="20" t="s">
        <v>125</v>
      </c>
      <c r="D131" s="20" t="s">
        <v>147</v>
      </c>
      <c r="E131" s="20" t="s">
        <v>878</v>
      </c>
      <c r="F131" s="20" t="s">
        <v>135</v>
      </c>
      <c r="G131" s="26">
        <f>G132</f>
        <v>4501</v>
      </c>
      <c r="H131" s="26">
        <f>H132</f>
        <v>882.04300000000001</v>
      </c>
      <c r="I131" s="381">
        <f t="shared" si="3"/>
        <v>19.596600755387691</v>
      </c>
    </row>
    <row r="132" spans="1:9" s="203" customFormat="1" ht="20.25" customHeight="1" x14ac:dyDescent="0.25">
      <c r="A132" s="25" t="s">
        <v>215</v>
      </c>
      <c r="B132" s="16">
        <v>902</v>
      </c>
      <c r="C132" s="20" t="s">
        <v>125</v>
      </c>
      <c r="D132" s="20" t="s">
        <v>147</v>
      </c>
      <c r="E132" s="20" t="s">
        <v>878</v>
      </c>
      <c r="F132" s="20" t="s">
        <v>216</v>
      </c>
      <c r="G132" s="27">
        <v>4501</v>
      </c>
      <c r="H132" s="27">
        <v>882.04300000000001</v>
      </c>
      <c r="I132" s="381">
        <f t="shared" si="3"/>
        <v>19.596600755387691</v>
      </c>
    </row>
    <row r="133" spans="1:9" s="203" customFormat="1" ht="39.200000000000003" customHeight="1" x14ac:dyDescent="0.25">
      <c r="A133" s="25" t="s">
        <v>205</v>
      </c>
      <c r="B133" s="16">
        <v>902</v>
      </c>
      <c r="C133" s="20" t="s">
        <v>125</v>
      </c>
      <c r="D133" s="20" t="s">
        <v>147</v>
      </c>
      <c r="E133" s="20" t="s">
        <v>878</v>
      </c>
      <c r="F133" s="20" t="s">
        <v>139</v>
      </c>
      <c r="G133" s="26">
        <f>G134</f>
        <v>1200</v>
      </c>
      <c r="H133" s="26">
        <f>H134</f>
        <v>23.535</v>
      </c>
      <c r="I133" s="381">
        <f t="shared" si="3"/>
        <v>1.9612500000000002</v>
      </c>
    </row>
    <row r="134" spans="1:9" s="203" customFormat="1" ht="39.200000000000003" customHeight="1" x14ac:dyDescent="0.25">
      <c r="A134" s="25" t="s">
        <v>140</v>
      </c>
      <c r="B134" s="16">
        <v>902</v>
      </c>
      <c r="C134" s="20" t="s">
        <v>125</v>
      </c>
      <c r="D134" s="20" t="s">
        <v>147</v>
      </c>
      <c r="E134" s="20" t="s">
        <v>878</v>
      </c>
      <c r="F134" s="20" t="s">
        <v>141</v>
      </c>
      <c r="G134" s="27">
        <f>1174.7+113.8-77.5-11</f>
        <v>1200</v>
      </c>
      <c r="H134" s="27">
        <v>23.535</v>
      </c>
      <c r="I134" s="381">
        <f t="shared" si="3"/>
        <v>1.9612500000000002</v>
      </c>
    </row>
    <row r="135" spans="1:9" s="203" customFormat="1" ht="28.5" customHeight="1" x14ac:dyDescent="0.25">
      <c r="A135" s="25" t="s">
        <v>849</v>
      </c>
      <c r="B135" s="16">
        <v>902</v>
      </c>
      <c r="C135" s="20" t="s">
        <v>125</v>
      </c>
      <c r="D135" s="20" t="s">
        <v>147</v>
      </c>
      <c r="E135" s="20" t="s">
        <v>879</v>
      </c>
      <c r="F135" s="20"/>
      <c r="G135" s="26">
        <f>G136</f>
        <v>128</v>
      </c>
      <c r="H135" s="26">
        <f>H136</f>
        <v>0</v>
      </c>
      <c r="I135" s="381">
        <f t="shared" si="3"/>
        <v>0</v>
      </c>
    </row>
    <row r="136" spans="1:9" s="203" customFormat="1" ht="63" customHeight="1" x14ac:dyDescent="0.25">
      <c r="A136" s="25" t="s">
        <v>134</v>
      </c>
      <c r="B136" s="16">
        <v>902</v>
      </c>
      <c r="C136" s="20" t="s">
        <v>125</v>
      </c>
      <c r="D136" s="20" t="s">
        <v>147</v>
      </c>
      <c r="E136" s="20" t="s">
        <v>879</v>
      </c>
      <c r="F136" s="20" t="s">
        <v>135</v>
      </c>
      <c r="G136" s="26">
        <f>G137</f>
        <v>128</v>
      </c>
      <c r="H136" s="26">
        <f>H137</f>
        <v>0</v>
      </c>
      <c r="I136" s="381">
        <f t="shared" si="3"/>
        <v>0</v>
      </c>
    </row>
    <row r="137" spans="1:9" s="203" customFormat="1" ht="23.25" customHeight="1" x14ac:dyDescent="0.25">
      <c r="A137" s="25" t="s">
        <v>215</v>
      </c>
      <c r="B137" s="16">
        <v>902</v>
      </c>
      <c r="C137" s="20" t="s">
        <v>125</v>
      </c>
      <c r="D137" s="20" t="s">
        <v>147</v>
      </c>
      <c r="E137" s="20" t="s">
        <v>879</v>
      </c>
      <c r="F137" s="20" t="s">
        <v>216</v>
      </c>
      <c r="G137" s="26">
        <v>128</v>
      </c>
      <c r="H137" s="26">
        <v>0</v>
      </c>
      <c r="I137" s="381">
        <f t="shared" si="3"/>
        <v>0</v>
      </c>
    </row>
    <row r="138" spans="1:9" ht="47.25" x14ac:dyDescent="0.25">
      <c r="A138" s="41" t="s">
        <v>1358</v>
      </c>
      <c r="B138" s="19">
        <v>902</v>
      </c>
      <c r="C138" s="24" t="s">
        <v>125</v>
      </c>
      <c r="D138" s="24" t="s">
        <v>147</v>
      </c>
      <c r="E138" s="24" t="s">
        <v>715</v>
      </c>
      <c r="F138" s="217"/>
      <c r="G138" s="21">
        <f>G139+G143</f>
        <v>43</v>
      </c>
      <c r="H138" s="21">
        <f>H139+H143</f>
        <v>0</v>
      </c>
      <c r="I138" s="437">
        <f t="shared" si="3"/>
        <v>0</v>
      </c>
    </row>
    <row r="139" spans="1:9" s="203" customFormat="1" ht="47.25" customHeight="1" x14ac:dyDescent="0.25">
      <c r="A139" s="206" t="s">
        <v>856</v>
      </c>
      <c r="B139" s="19">
        <v>902</v>
      </c>
      <c r="C139" s="24" t="s">
        <v>125</v>
      </c>
      <c r="D139" s="24" t="s">
        <v>147</v>
      </c>
      <c r="E139" s="24" t="s">
        <v>862</v>
      </c>
      <c r="F139" s="217"/>
      <c r="G139" s="21">
        <f t="shared" ref="G139:H141" si="6">G140</f>
        <v>28</v>
      </c>
      <c r="H139" s="21">
        <f t="shared" si="6"/>
        <v>0</v>
      </c>
      <c r="I139" s="437">
        <f t="shared" ref="I139:I202" si="7">H139/G139*100</f>
        <v>0</v>
      </c>
    </row>
    <row r="140" spans="1:9" ht="36.75" customHeight="1" x14ac:dyDescent="0.25">
      <c r="A140" s="98" t="s">
        <v>786</v>
      </c>
      <c r="B140" s="16">
        <v>902</v>
      </c>
      <c r="C140" s="20" t="s">
        <v>125</v>
      </c>
      <c r="D140" s="20" t="s">
        <v>147</v>
      </c>
      <c r="E140" s="20" t="s">
        <v>857</v>
      </c>
      <c r="F140" s="32"/>
      <c r="G140" s="26">
        <f t="shared" si="6"/>
        <v>28</v>
      </c>
      <c r="H140" s="26">
        <f t="shared" si="6"/>
        <v>0</v>
      </c>
      <c r="I140" s="381">
        <f t="shared" si="7"/>
        <v>0</v>
      </c>
    </row>
    <row r="141" spans="1:9" ht="31.5" x14ac:dyDescent="0.25">
      <c r="A141" s="25" t="s">
        <v>138</v>
      </c>
      <c r="B141" s="16">
        <v>902</v>
      </c>
      <c r="C141" s="20" t="s">
        <v>125</v>
      </c>
      <c r="D141" s="20" t="s">
        <v>147</v>
      </c>
      <c r="E141" s="20" t="s">
        <v>857</v>
      </c>
      <c r="F141" s="32" t="s">
        <v>139</v>
      </c>
      <c r="G141" s="26">
        <f t="shared" si="6"/>
        <v>28</v>
      </c>
      <c r="H141" s="26">
        <f t="shared" si="6"/>
        <v>0</v>
      </c>
      <c r="I141" s="381">
        <f t="shared" si="7"/>
        <v>0</v>
      </c>
    </row>
    <row r="142" spans="1:9" ht="31.5" x14ac:dyDescent="0.25">
      <c r="A142" s="25" t="s">
        <v>140</v>
      </c>
      <c r="B142" s="16">
        <v>902</v>
      </c>
      <c r="C142" s="20" t="s">
        <v>125</v>
      </c>
      <c r="D142" s="20" t="s">
        <v>147</v>
      </c>
      <c r="E142" s="20" t="s">
        <v>857</v>
      </c>
      <c r="F142" s="32" t="s">
        <v>141</v>
      </c>
      <c r="G142" s="26">
        <v>28</v>
      </c>
      <c r="H142" s="26">
        <v>0</v>
      </c>
      <c r="I142" s="381">
        <f t="shared" si="7"/>
        <v>0</v>
      </c>
    </row>
    <row r="143" spans="1:9" s="203" customFormat="1" ht="34.5" customHeight="1" x14ac:dyDescent="0.25">
      <c r="A143" s="207" t="s">
        <v>1033</v>
      </c>
      <c r="B143" s="19">
        <v>902</v>
      </c>
      <c r="C143" s="24" t="s">
        <v>125</v>
      </c>
      <c r="D143" s="24" t="s">
        <v>147</v>
      </c>
      <c r="E143" s="24" t="s">
        <v>863</v>
      </c>
      <c r="F143" s="217"/>
      <c r="G143" s="21">
        <f t="shared" ref="G143:H145" si="8">G144</f>
        <v>15</v>
      </c>
      <c r="H143" s="21">
        <f t="shared" si="8"/>
        <v>0</v>
      </c>
      <c r="I143" s="381">
        <f t="shared" si="7"/>
        <v>0</v>
      </c>
    </row>
    <row r="144" spans="1:9" ht="39.200000000000003" customHeight="1" x14ac:dyDescent="0.25">
      <c r="A144" s="98" t="s">
        <v>787</v>
      </c>
      <c r="B144" s="16">
        <v>902</v>
      </c>
      <c r="C144" s="20" t="s">
        <v>125</v>
      </c>
      <c r="D144" s="20" t="s">
        <v>147</v>
      </c>
      <c r="E144" s="20" t="s">
        <v>858</v>
      </c>
      <c r="F144" s="32"/>
      <c r="G144" s="26">
        <f t="shared" si="8"/>
        <v>15</v>
      </c>
      <c r="H144" s="26">
        <f t="shared" si="8"/>
        <v>0</v>
      </c>
      <c r="I144" s="381">
        <f t="shared" si="7"/>
        <v>0</v>
      </c>
    </row>
    <row r="145" spans="1:9" ht="31.7" customHeight="1" x14ac:dyDescent="0.25">
      <c r="A145" s="25" t="s">
        <v>138</v>
      </c>
      <c r="B145" s="16">
        <v>902</v>
      </c>
      <c r="C145" s="20" t="s">
        <v>125</v>
      </c>
      <c r="D145" s="20" t="s">
        <v>147</v>
      </c>
      <c r="E145" s="20" t="s">
        <v>858</v>
      </c>
      <c r="F145" s="32" t="s">
        <v>139</v>
      </c>
      <c r="G145" s="26">
        <f t="shared" si="8"/>
        <v>15</v>
      </c>
      <c r="H145" s="26">
        <f t="shared" si="8"/>
        <v>0</v>
      </c>
      <c r="I145" s="381">
        <f t="shared" si="7"/>
        <v>0</v>
      </c>
    </row>
    <row r="146" spans="1:9" ht="32.25" customHeight="1" x14ac:dyDescent="0.25">
      <c r="A146" s="25" t="s">
        <v>140</v>
      </c>
      <c r="B146" s="16">
        <v>902</v>
      </c>
      <c r="C146" s="20" t="s">
        <v>125</v>
      </c>
      <c r="D146" s="20" t="s">
        <v>147</v>
      </c>
      <c r="E146" s="20" t="s">
        <v>858</v>
      </c>
      <c r="F146" s="32" t="s">
        <v>141</v>
      </c>
      <c r="G146" s="26">
        <v>15</v>
      </c>
      <c r="H146" s="26">
        <v>0</v>
      </c>
      <c r="I146" s="381">
        <f t="shared" si="7"/>
        <v>0</v>
      </c>
    </row>
    <row r="147" spans="1:9" ht="68.25" customHeight="1" x14ac:dyDescent="0.25">
      <c r="A147" s="41" t="s">
        <v>1359</v>
      </c>
      <c r="B147" s="19">
        <v>902</v>
      </c>
      <c r="C147" s="8" t="s">
        <v>125</v>
      </c>
      <c r="D147" s="8" t="s">
        <v>147</v>
      </c>
      <c r="E147" s="434" t="s">
        <v>827</v>
      </c>
      <c r="F147" s="8"/>
      <c r="G147" s="21">
        <f>G149</f>
        <v>40</v>
      </c>
      <c r="H147" s="21">
        <f>H149</f>
        <v>0</v>
      </c>
      <c r="I147" s="437">
        <f t="shared" si="7"/>
        <v>0</v>
      </c>
    </row>
    <row r="148" spans="1:9" s="203" customFormat="1" ht="35.450000000000003" customHeight="1" x14ac:dyDescent="0.25">
      <c r="A148" s="208" t="s">
        <v>864</v>
      </c>
      <c r="B148" s="19">
        <v>902</v>
      </c>
      <c r="C148" s="8" t="s">
        <v>125</v>
      </c>
      <c r="D148" s="8" t="s">
        <v>147</v>
      </c>
      <c r="E148" s="196" t="s">
        <v>1086</v>
      </c>
      <c r="F148" s="8"/>
      <c r="G148" s="21">
        <f t="shared" ref="G148:H150" si="9">G149</f>
        <v>40</v>
      </c>
      <c r="H148" s="21">
        <f t="shared" si="9"/>
        <v>0</v>
      </c>
      <c r="I148" s="437">
        <f t="shared" si="7"/>
        <v>0</v>
      </c>
    </row>
    <row r="149" spans="1:9" ht="31.7" customHeight="1" x14ac:dyDescent="0.25">
      <c r="A149" s="97" t="s">
        <v>178</v>
      </c>
      <c r="B149" s="16">
        <v>902</v>
      </c>
      <c r="C149" s="9" t="s">
        <v>125</v>
      </c>
      <c r="D149" s="9" t="s">
        <v>147</v>
      </c>
      <c r="E149" s="5" t="s">
        <v>865</v>
      </c>
      <c r="F149" s="9"/>
      <c r="G149" s="26">
        <f t="shared" si="9"/>
        <v>40</v>
      </c>
      <c r="H149" s="26">
        <f t="shared" si="9"/>
        <v>0</v>
      </c>
      <c r="I149" s="381">
        <f t="shared" si="7"/>
        <v>0</v>
      </c>
    </row>
    <row r="150" spans="1:9" ht="35.450000000000003" customHeight="1" x14ac:dyDescent="0.25">
      <c r="A150" s="25" t="s">
        <v>138</v>
      </c>
      <c r="B150" s="16">
        <v>902</v>
      </c>
      <c r="C150" s="9" t="s">
        <v>125</v>
      </c>
      <c r="D150" s="9" t="s">
        <v>147</v>
      </c>
      <c r="E150" s="5" t="s">
        <v>865</v>
      </c>
      <c r="F150" s="9" t="s">
        <v>139</v>
      </c>
      <c r="G150" s="26">
        <f t="shared" si="9"/>
        <v>40</v>
      </c>
      <c r="H150" s="26">
        <f t="shared" si="9"/>
        <v>0</v>
      </c>
      <c r="I150" s="381">
        <f t="shared" si="7"/>
        <v>0</v>
      </c>
    </row>
    <row r="151" spans="1:9" ht="33" customHeight="1" x14ac:dyDescent="0.25">
      <c r="A151" s="25" t="s">
        <v>140</v>
      </c>
      <c r="B151" s="16">
        <v>902</v>
      </c>
      <c r="C151" s="9" t="s">
        <v>125</v>
      </c>
      <c r="D151" s="9" t="s">
        <v>147</v>
      </c>
      <c r="E151" s="5" t="s">
        <v>865</v>
      </c>
      <c r="F151" s="9" t="s">
        <v>141</v>
      </c>
      <c r="G151" s="26">
        <v>40</v>
      </c>
      <c r="H151" s="26">
        <v>0</v>
      </c>
      <c r="I151" s="381">
        <f t="shared" si="7"/>
        <v>0</v>
      </c>
    </row>
    <row r="152" spans="1:9" s="203" customFormat="1" ht="63" x14ac:dyDescent="0.25">
      <c r="A152" s="41" t="s">
        <v>1360</v>
      </c>
      <c r="B152" s="19">
        <v>902</v>
      </c>
      <c r="C152" s="8" t="s">
        <v>125</v>
      </c>
      <c r="D152" s="8" t="s">
        <v>147</v>
      </c>
      <c r="E152" s="196" t="s">
        <v>828</v>
      </c>
      <c r="F152" s="8"/>
      <c r="G152" s="21">
        <f>G154</f>
        <v>70</v>
      </c>
      <c r="H152" s="21">
        <f>H154</f>
        <v>0</v>
      </c>
      <c r="I152" s="437">
        <f t="shared" si="7"/>
        <v>0</v>
      </c>
    </row>
    <row r="153" spans="1:9" s="203" customFormat="1" ht="31.5" x14ac:dyDescent="0.25">
      <c r="A153" s="58" t="s">
        <v>866</v>
      </c>
      <c r="B153" s="19">
        <v>902</v>
      </c>
      <c r="C153" s="8" t="s">
        <v>125</v>
      </c>
      <c r="D153" s="8" t="s">
        <v>147</v>
      </c>
      <c r="E153" s="196" t="s">
        <v>874</v>
      </c>
      <c r="F153" s="8"/>
      <c r="G153" s="21">
        <f t="shared" ref="G153:H155" si="10">G154</f>
        <v>70</v>
      </c>
      <c r="H153" s="21">
        <f t="shared" si="10"/>
        <v>0</v>
      </c>
      <c r="I153" s="437">
        <f t="shared" si="7"/>
        <v>0</v>
      </c>
    </row>
    <row r="154" spans="1:9" s="203" customFormat="1" ht="15.75" x14ac:dyDescent="0.25">
      <c r="A154" s="45" t="s">
        <v>832</v>
      </c>
      <c r="B154" s="16">
        <v>902</v>
      </c>
      <c r="C154" s="9" t="s">
        <v>125</v>
      </c>
      <c r="D154" s="9" t="s">
        <v>147</v>
      </c>
      <c r="E154" s="5" t="s">
        <v>867</v>
      </c>
      <c r="F154" s="9"/>
      <c r="G154" s="26">
        <f t="shared" si="10"/>
        <v>70</v>
      </c>
      <c r="H154" s="26">
        <f t="shared" si="10"/>
        <v>0</v>
      </c>
      <c r="I154" s="381">
        <f t="shared" si="7"/>
        <v>0</v>
      </c>
    </row>
    <row r="155" spans="1:9" s="203" customFormat="1" ht="31.5" x14ac:dyDescent="0.25">
      <c r="A155" s="25" t="s">
        <v>138</v>
      </c>
      <c r="B155" s="16">
        <v>902</v>
      </c>
      <c r="C155" s="9" t="s">
        <v>125</v>
      </c>
      <c r="D155" s="9" t="s">
        <v>147</v>
      </c>
      <c r="E155" s="5" t="s">
        <v>867</v>
      </c>
      <c r="F155" s="9" t="s">
        <v>139</v>
      </c>
      <c r="G155" s="26">
        <f t="shared" si="10"/>
        <v>70</v>
      </c>
      <c r="H155" s="26">
        <f t="shared" si="10"/>
        <v>0</v>
      </c>
      <c r="I155" s="381">
        <f t="shared" si="7"/>
        <v>0</v>
      </c>
    </row>
    <row r="156" spans="1:9" s="203" customFormat="1" ht="31.5" x14ac:dyDescent="0.25">
      <c r="A156" s="25" t="s">
        <v>140</v>
      </c>
      <c r="B156" s="16">
        <v>902</v>
      </c>
      <c r="C156" s="9" t="s">
        <v>125</v>
      </c>
      <c r="D156" s="9" t="s">
        <v>147</v>
      </c>
      <c r="E156" s="5" t="s">
        <v>867</v>
      </c>
      <c r="F156" s="9" t="s">
        <v>141</v>
      </c>
      <c r="G156" s="26">
        <v>70</v>
      </c>
      <c r="H156" s="26">
        <v>0</v>
      </c>
      <c r="I156" s="381">
        <f t="shared" si="7"/>
        <v>0</v>
      </c>
    </row>
    <row r="157" spans="1:9" ht="15.75" hidden="1" customHeight="1" x14ac:dyDescent="0.25">
      <c r="A157" s="23" t="s">
        <v>219</v>
      </c>
      <c r="B157" s="19">
        <v>902</v>
      </c>
      <c r="C157" s="24" t="s">
        <v>220</v>
      </c>
      <c r="D157" s="24"/>
      <c r="E157" s="24"/>
      <c r="F157" s="24"/>
      <c r="G157" s="21">
        <f t="shared" ref="G157:H162" si="11">G158</f>
        <v>0</v>
      </c>
      <c r="H157" s="21">
        <f t="shared" si="11"/>
        <v>0</v>
      </c>
      <c r="I157" s="381" t="e">
        <f t="shared" si="7"/>
        <v>#DIV/0!</v>
      </c>
    </row>
    <row r="158" spans="1:9" ht="20.25" hidden="1" customHeight="1" x14ac:dyDescent="0.25">
      <c r="A158" s="23" t="s">
        <v>225</v>
      </c>
      <c r="B158" s="19">
        <v>902</v>
      </c>
      <c r="C158" s="24" t="s">
        <v>220</v>
      </c>
      <c r="D158" s="24" t="s">
        <v>226</v>
      </c>
      <c r="E158" s="24"/>
      <c r="F158" s="24"/>
      <c r="G158" s="21">
        <f t="shared" si="11"/>
        <v>0</v>
      </c>
      <c r="H158" s="21">
        <f t="shared" si="11"/>
        <v>0</v>
      </c>
      <c r="I158" s="381" t="e">
        <f t="shared" si="7"/>
        <v>#DIV/0!</v>
      </c>
    </row>
    <row r="159" spans="1:9" ht="15.75" hidden="1" customHeight="1" x14ac:dyDescent="0.25">
      <c r="A159" s="23" t="s">
        <v>148</v>
      </c>
      <c r="B159" s="19">
        <v>902</v>
      </c>
      <c r="C159" s="24" t="s">
        <v>220</v>
      </c>
      <c r="D159" s="24" t="s">
        <v>226</v>
      </c>
      <c r="E159" s="24" t="s">
        <v>876</v>
      </c>
      <c r="F159" s="24"/>
      <c r="G159" s="21">
        <f t="shared" si="11"/>
        <v>0</v>
      </c>
      <c r="H159" s="21">
        <f t="shared" si="11"/>
        <v>0</v>
      </c>
      <c r="I159" s="381" t="e">
        <f t="shared" si="7"/>
        <v>#DIV/0!</v>
      </c>
    </row>
    <row r="160" spans="1:9" ht="33.75" hidden="1" customHeight="1" x14ac:dyDescent="0.25">
      <c r="A160" s="23" t="s">
        <v>880</v>
      </c>
      <c r="B160" s="19">
        <v>902</v>
      </c>
      <c r="C160" s="24" t="s">
        <v>220</v>
      </c>
      <c r="D160" s="24" t="s">
        <v>226</v>
      </c>
      <c r="E160" s="24" t="s">
        <v>875</v>
      </c>
      <c r="F160" s="24"/>
      <c r="G160" s="21">
        <f t="shared" si="11"/>
        <v>0</v>
      </c>
      <c r="H160" s="21">
        <f t="shared" si="11"/>
        <v>0</v>
      </c>
      <c r="I160" s="381" t="e">
        <f t="shared" si="7"/>
        <v>#DIV/0!</v>
      </c>
    </row>
    <row r="161" spans="1:9" ht="15.75" hidden="1" customHeight="1" x14ac:dyDescent="0.25">
      <c r="A161" s="25" t="s">
        <v>227</v>
      </c>
      <c r="B161" s="16">
        <v>902</v>
      </c>
      <c r="C161" s="20" t="s">
        <v>220</v>
      </c>
      <c r="D161" s="20" t="s">
        <v>226</v>
      </c>
      <c r="E161" s="20" t="s">
        <v>881</v>
      </c>
      <c r="F161" s="20"/>
      <c r="G161" s="26">
        <f t="shared" si="11"/>
        <v>0</v>
      </c>
      <c r="H161" s="26">
        <f t="shared" si="11"/>
        <v>0</v>
      </c>
      <c r="I161" s="381" t="e">
        <f t="shared" si="7"/>
        <v>#DIV/0!</v>
      </c>
    </row>
    <row r="162" spans="1:9" ht="33.75" hidden="1" customHeight="1" x14ac:dyDescent="0.25">
      <c r="A162" s="25" t="s">
        <v>205</v>
      </c>
      <c r="B162" s="16">
        <v>902</v>
      </c>
      <c r="C162" s="20" t="s">
        <v>220</v>
      </c>
      <c r="D162" s="20" t="s">
        <v>226</v>
      </c>
      <c r="E162" s="20" t="s">
        <v>881</v>
      </c>
      <c r="F162" s="20" t="s">
        <v>139</v>
      </c>
      <c r="G162" s="26">
        <f t="shared" si="11"/>
        <v>0</v>
      </c>
      <c r="H162" s="26">
        <f t="shared" si="11"/>
        <v>0</v>
      </c>
      <c r="I162" s="381" t="e">
        <f t="shared" si="7"/>
        <v>#DIV/0!</v>
      </c>
    </row>
    <row r="163" spans="1:9" ht="40.700000000000003" hidden="1" customHeight="1" x14ac:dyDescent="0.25">
      <c r="A163" s="25" t="s">
        <v>140</v>
      </c>
      <c r="B163" s="16">
        <v>902</v>
      </c>
      <c r="C163" s="20" t="s">
        <v>220</v>
      </c>
      <c r="D163" s="20" t="s">
        <v>226</v>
      </c>
      <c r="E163" s="20" t="s">
        <v>881</v>
      </c>
      <c r="F163" s="20" t="s">
        <v>141</v>
      </c>
      <c r="G163" s="27">
        <v>0</v>
      </c>
      <c r="H163" s="27">
        <v>0</v>
      </c>
      <c r="I163" s="381" t="e">
        <f t="shared" si="7"/>
        <v>#DIV/0!</v>
      </c>
    </row>
    <row r="164" spans="1:9" ht="31.5" x14ac:dyDescent="0.25">
      <c r="A164" s="23" t="s">
        <v>229</v>
      </c>
      <c r="B164" s="19">
        <v>902</v>
      </c>
      <c r="C164" s="24" t="s">
        <v>222</v>
      </c>
      <c r="D164" s="24"/>
      <c r="E164" s="24"/>
      <c r="F164" s="24"/>
      <c r="G164" s="21">
        <f>G165</f>
        <v>8090.1</v>
      </c>
      <c r="H164" s="21">
        <f>H165</f>
        <v>1399.7279999999998</v>
      </c>
      <c r="I164" s="437">
        <f t="shared" si="7"/>
        <v>17.30173916268031</v>
      </c>
    </row>
    <row r="165" spans="1:9" ht="47.25" customHeight="1" x14ac:dyDescent="0.25">
      <c r="A165" s="23" t="s">
        <v>1362</v>
      </c>
      <c r="B165" s="19">
        <v>902</v>
      </c>
      <c r="C165" s="24" t="s">
        <v>222</v>
      </c>
      <c r="D165" s="24" t="s">
        <v>251</v>
      </c>
      <c r="E165" s="20"/>
      <c r="F165" s="20"/>
      <c r="G165" s="21">
        <f>G166</f>
        <v>8090.1</v>
      </c>
      <c r="H165" s="21">
        <f>H166</f>
        <v>1399.7279999999998</v>
      </c>
      <c r="I165" s="437">
        <f t="shared" si="7"/>
        <v>17.30173916268031</v>
      </c>
    </row>
    <row r="166" spans="1:9" ht="15.75" x14ac:dyDescent="0.25">
      <c r="A166" s="23" t="s">
        <v>148</v>
      </c>
      <c r="B166" s="19">
        <v>902</v>
      </c>
      <c r="C166" s="24" t="s">
        <v>222</v>
      </c>
      <c r="D166" s="24" t="s">
        <v>251</v>
      </c>
      <c r="E166" s="24" t="s">
        <v>876</v>
      </c>
      <c r="F166" s="24"/>
      <c r="G166" s="21">
        <f>G167+G174</f>
        <v>8090.1</v>
      </c>
      <c r="H166" s="21">
        <f>H167+H174</f>
        <v>1399.7279999999998</v>
      </c>
      <c r="I166" s="437">
        <f t="shared" si="7"/>
        <v>17.30173916268031</v>
      </c>
    </row>
    <row r="167" spans="1:9" s="203" customFormat="1" ht="31.5" x14ac:dyDescent="0.25">
      <c r="A167" s="23" t="s">
        <v>880</v>
      </c>
      <c r="B167" s="19">
        <v>902</v>
      </c>
      <c r="C167" s="24" t="s">
        <v>222</v>
      </c>
      <c r="D167" s="24" t="s">
        <v>251</v>
      </c>
      <c r="E167" s="24" t="s">
        <v>875</v>
      </c>
      <c r="F167" s="24"/>
      <c r="G167" s="21">
        <f>G168+G171</f>
        <v>1982</v>
      </c>
      <c r="H167" s="21">
        <f>H168+H171</f>
        <v>26.221</v>
      </c>
      <c r="I167" s="437">
        <f t="shared" si="7"/>
        <v>1.3229566094853684</v>
      </c>
    </row>
    <row r="168" spans="1:9" s="203" customFormat="1" ht="31.5" x14ac:dyDescent="0.25">
      <c r="A168" s="25" t="s">
        <v>231</v>
      </c>
      <c r="B168" s="16">
        <v>902</v>
      </c>
      <c r="C168" s="20" t="s">
        <v>222</v>
      </c>
      <c r="D168" s="20" t="s">
        <v>251</v>
      </c>
      <c r="E168" s="20" t="s">
        <v>885</v>
      </c>
      <c r="F168" s="20"/>
      <c r="G168" s="26">
        <f>G169</f>
        <v>1785</v>
      </c>
      <c r="H168" s="26">
        <f>H169</f>
        <v>26.221</v>
      </c>
      <c r="I168" s="381">
        <f t="shared" si="7"/>
        <v>1.4689635854341738</v>
      </c>
    </row>
    <row r="169" spans="1:9" s="203" customFormat="1" ht="31.5" x14ac:dyDescent="0.25">
      <c r="A169" s="25" t="s">
        <v>205</v>
      </c>
      <c r="B169" s="16">
        <v>902</v>
      </c>
      <c r="C169" s="20" t="s">
        <v>222</v>
      </c>
      <c r="D169" s="20" t="s">
        <v>251</v>
      </c>
      <c r="E169" s="20" t="s">
        <v>885</v>
      </c>
      <c r="F169" s="20" t="s">
        <v>139</v>
      </c>
      <c r="G169" s="26">
        <f>G170</f>
        <v>1785</v>
      </c>
      <c r="H169" s="26">
        <f>H170</f>
        <v>26.221</v>
      </c>
      <c r="I169" s="381">
        <f t="shared" si="7"/>
        <v>1.4689635854341738</v>
      </c>
    </row>
    <row r="170" spans="1:9" s="203" customFormat="1" ht="31.5" x14ac:dyDescent="0.25">
      <c r="A170" s="25" t="s">
        <v>140</v>
      </c>
      <c r="B170" s="16">
        <v>902</v>
      </c>
      <c r="C170" s="20" t="s">
        <v>222</v>
      </c>
      <c r="D170" s="20" t="s">
        <v>251</v>
      </c>
      <c r="E170" s="20" t="s">
        <v>885</v>
      </c>
      <c r="F170" s="20" t="s">
        <v>141</v>
      </c>
      <c r="G170" s="249">
        <v>1785</v>
      </c>
      <c r="H170" s="249">
        <v>26.221</v>
      </c>
      <c r="I170" s="381">
        <f t="shared" si="7"/>
        <v>1.4689635854341738</v>
      </c>
    </row>
    <row r="171" spans="1:9" s="203" customFormat="1" ht="15.75" x14ac:dyDescent="0.25">
      <c r="A171" s="25" t="s">
        <v>237</v>
      </c>
      <c r="B171" s="16">
        <v>902</v>
      </c>
      <c r="C171" s="20" t="s">
        <v>222</v>
      </c>
      <c r="D171" s="20" t="s">
        <v>251</v>
      </c>
      <c r="E171" s="20" t="s">
        <v>886</v>
      </c>
      <c r="F171" s="20"/>
      <c r="G171" s="27">
        <f>G172</f>
        <v>197</v>
      </c>
      <c r="H171" s="27">
        <f>H172</f>
        <v>0</v>
      </c>
      <c r="I171" s="381">
        <f t="shared" si="7"/>
        <v>0</v>
      </c>
    </row>
    <row r="172" spans="1:9" s="203" customFormat="1" ht="31.5" x14ac:dyDescent="0.25">
      <c r="A172" s="25" t="s">
        <v>205</v>
      </c>
      <c r="B172" s="16">
        <v>902</v>
      </c>
      <c r="C172" s="20" t="s">
        <v>222</v>
      </c>
      <c r="D172" s="20" t="s">
        <v>251</v>
      </c>
      <c r="E172" s="20" t="s">
        <v>886</v>
      </c>
      <c r="F172" s="20" t="s">
        <v>139</v>
      </c>
      <c r="G172" s="27">
        <f>G173</f>
        <v>197</v>
      </c>
      <c r="H172" s="27">
        <f>H173</f>
        <v>0</v>
      </c>
      <c r="I172" s="381">
        <f t="shared" si="7"/>
        <v>0</v>
      </c>
    </row>
    <row r="173" spans="1:9" s="203" customFormat="1" ht="31.5" x14ac:dyDescent="0.25">
      <c r="A173" s="25" t="s">
        <v>140</v>
      </c>
      <c r="B173" s="16">
        <v>902</v>
      </c>
      <c r="C173" s="20" t="s">
        <v>222</v>
      </c>
      <c r="D173" s="20" t="s">
        <v>251</v>
      </c>
      <c r="E173" s="20" t="s">
        <v>886</v>
      </c>
      <c r="F173" s="20" t="s">
        <v>141</v>
      </c>
      <c r="G173" s="27">
        <f>99+98</f>
        <v>197</v>
      </c>
      <c r="H173" s="27">
        <v>0</v>
      </c>
      <c r="I173" s="381">
        <f t="shared" si="7"/>
        <v>0</v>
      </c>
    </row>
    <row r="174" spans="1:9" s="203" customFormat="1" ht="34.5" customHeight="1" x14ac:dyDescent="0.25">
      <c r="A174" s="23" t="s">
        <v>933</v>
      </c>
      <c r="B174" s="19">
        <v>902</v>
      </c>
      <c r="C174" s="24" t="s">
        <v>222</v>
      </c>
      <c r="D174" s="24" t="s">
        <v>251</v>
      </c>
      <c r="E174" s="24" t="s">
        <v>882</v>
      </c>
      <c r="F174" s="24"/>
      <c r="G174" s="21">
        <f>G175+G180</f>
        <v>6108.1</v>
      </c>
      <c r="H174" s="21">
        <f>H175+H180</f>
        <v>1373.5069999999998</v>
      </c>
      <c r="I174" s="437">
        <f t="shared" si="7"/>
        <v>22.486648876082572</v>
      </c>
    </row>
    <row r="175" spans="1:9" s="203" customFormat="1" ht="31.5" x14ac:dyDescent="0.25">
      <c r="A175" s="25" t="s">
        <v>937</v>
      </c>
      <c r="B175" s="16">
        <v>902</v>
      </c>
      <c r="C175" s="20" t="s">
        <v>222</v>
      </c>
      <c r="D175" s="20" t="s">
        <v>251</v>
      </c>
      <c r="E175" s="20" t="s">
        <v>883</v>
      </c>
      <c r="F175" s="20"/>
      <c r="G175" s="26">
        <f>G176+G178</f>
        <v>5856.1</v>
      </c>
      <c r="H175" s="26">
        <f>H176+H178</f>
        <v>1293.5069999999998</v>
      </c>
      <c r="I175" s="381">
        <f t="shared" si="7"/>
        <v>22.088198630487863</v>
      </c>
    </row>
    <row r="176" spans="1:9" s="203" customFormat="1" ht="63" x14ac:dyDescent="0.25">
      <c r="A176" s="25" t="s">
        <v>134</v>
      </c>
      <c r="B176" s="16">
        <v>902</v>
      </c>
      <c r="C176" s="20" t="s">
        <v>222</v>
      </c>
      <c r="D176" s="20" t="s">
        <v>251</v>
      </c>
      <c r="E176" s="20" t="s">
        <v>883</v>
      </c>
      <c r="F176" s="20" t="s">
        <v>135</v>
      </c>
      <c r="G176" s="26">
        <f>G177</f>
        <v>5693.1</v>
      </c>
      <c r="H176" s="26">
        <f>H177</f>
        <v>1265.0409999999999</v>
      </c>
      <c r="I176" s="381">
        <f t="shared" si="7"/>
        <v>22.220600375893625</v>
      </c>
    </row>
    <row r="177" spans="1:9" s="203" customFormat="1" ht="15.75" x14ac:dyDescent="0.25">
      <c r="A177" s="25" t="s">
        <v>215</v>
      </c>
      <c r="B177" s="16">
        <v>902</v>
      </c>
      <c r="C177" s="20" t="s">
        <v>222</v>
      </c>
      <c r="D177" s="20" t="s">
        <v>251</v>
      </c>
      <c r="E177" s="20" t="s">
        <v>883</v>
      </c>
      <c r="F177" s="20" t="s">
        <v>216</v>
      </c>
      <c r="G177" s="27">
        <v>5693.1</v>
      </c>
      <c r="H177" s="27">
        <v>1265.0409999999999</v>
      </c>
      <c r="I177" s="381">
        <f t="shared" si="7"/>
        <v>22.220600375893625</v>
      </c>
    </row>
    <row r="178" spans="1:9" s="203" customFormat="1" ht="31.5" x14ac:dyDescent="0.25">
      <c r="A178" s="25" t="s">
        <v>205</v>
      </c>
      <c r="B178" s="16">
        <v>902</v>
      </c>
      <c r="C178" s="20" t="s">
        <v>222</v>
      </c>
      <c r="D178" s="20" t="s">
        <v>251</v>
      </c>
      <c r="E178" s="20" t="s">
        <v>883</v>
      </c>
      <c r="F178" s="20" t="s">
        <v>139</v>
      </c>
      <c r="G178" s="26">
        <f>G179</f>
        <v>163</v>
      </c>
      <c r="H178" s="26">
        <f>H179</f>
        <v>28.466000000000001</v>
      </c>
      <c r="I178" s="381">
        <f t="shared" si="7"/>
        <v>17.463803680981595</v>
      </c>
    </row>
    <row r="179" spans="1:9" s="203" customFormat="1" ht="31.5" x14ac:dyDescent="0.25">
      <c r="A179" s="25" t="s">
        <v>140</v>
      </c>
      <c r="B179" s="16">
        <v>902</v>
      </c>
      <c r="C179" s="20" t="s">
        <v>222</v>
      </c>
      <c r="D179" s="20" t="s">
        <v>251</v>
      </c>
      <c r="E179" s="20" t="s">
        <v>883</v>
      </c>
      <c r="F179" s="20" t="s">
        <v>141</v>
      </c>
      <c r="G179" s="27">
        <v>163</v>
      </c>
      <c r="H179" s="27">
        <v>28.466000000000001</v>
      </c>
      <c r="I179" s="381">
        <f t="shared" si="7"/>
        <v>17.463803680981595</v>
      </c>
    </row>
    <row r="180" spans="1:9" s="203" customFormat="1" ht="31.5" x14ac:dyDescent="0.25">
      <c r="A180" s="25" t="s">
        <v>849</v>
      </c>
      <c r="B180" s="16">
        <v>902</v>
      </c>
      <c r="C180" s="20" t="s">
        <v>222</v>
      </c>
      <c r="D180" s="20" t="s">
        <v>251</v>
      </c>
      <c r="E180" s="20" t="s">
        <v>884</v>
      </c>
      <c r="F180" s="20"/>
      <c r="G180" s="26">
        <f>G181</f>
        <v>252</v>
      </c>
      <c r="H180" s="26">
        <f>H181</f>
        <v>80</v>
      </c>
      <c r="I180" s="381">
        <f t="shared" si="7"/>
        <v>31.746031746031743</v>
      </c>
    </row>
    <row r="181" spans="1:9" s="203" customFormat="1" ht="63" x14ac:dyDescent="0.25">
      <c r="A181" s="25" t="s">
        <v>134</v>
      </c>
      <c r="B181" s="16">
        <v>902</v>
      </c>
      <c r="C181" s="20" t="s">
        <v>222</v>
      </c>
      <c r="D181" s="20" t="s">
        <v>251</v>
      </c>
      <c r="E181" s="20" t="s">
        <v>884</v>
      </c>
      <c r="F181" s="20" t="s">
        <v>135</v>
      </c>
      <c r="G181" s="26">
        <f>G182</f>
        <v>252</v>
      </c>
      <c r="H181" s="26">
        <f>H182</f>
        <v>80</v>
      </c>
      <c r="I181" s="381">
        <f t="shared" si="7"/>
        <v>31.746031746031743</v>
      </c>
    </row>
    <row r="182" spans="1:9" s="203" customFormat="1" ht="15.75" x14ac:dyDescent="0.25">
      <c r="A182" s="25" t="s">
        <v>215</v>
      </c>
      <c r="B182" s="16">
        <v>902</v>
      </c>
      <c r="C182" s="20" t="s">
        <v>222</v>
      </c>
      <c r="D182" s="20" t="s">
        <v>251</v>
      </c>
      <c r="E182" s="20" t="s">
        <v>884</v>
      </c>
      <c r="F182" s="20" t="s">
        <v>216</v>
      </c>
      <c r="G182" s="26">
        <v>252</v>
      </c>
      <c r="H182" s="26">
        <v>80</v>
      </c>
      <c r="I182" s="381">
        <f t="shared" si="7"/>
        <v>31.746031746031743</v>
      </c>
    </row>
    <row r="183" spans="1:9" ht="15.75" x14ac:dyDescent="0.25">
      <c r="A183" s="23" t="s">
        <v>239</v>
      </c>
      <c r="B183" s="19">
        <v>902</v>
      </c>
      <c r="C183" s="24" t="s">
        <v>157</v>
      </c>
      <c r="D183" s="24"/>
      <c r="E183" s="24"/>
      <c r="F183" s="20"/>
      <c r="G183" s="21">
        <f>G194+G184</f>
        <v>688.2</v>
      </c>
      <c r="H183" s="21">
        <f>H194+H184</f>
        <v>41.9</v>
      </c>
      <c r="I183" s="437">
        <f t="shared" si="7"/>
        <v>6.0883464109270555</v>
      </c>
    </row>
    <row r="184" spans="1:9" ht="15.75" x14ac:dyDescent="0.25">
      <c r="A184" s="23" t="s">
        <v>240</v>
      </c>
      <c r="B184" s="19">
        <v>902</v>
      </c>
      <c r="C184" s="24" t="s">
        <v>157</v>
      </c>
      <c r="D184" s="24" t="s">
        <v>241</v>
      </c>
      <c r="E184" s="24"/>
      <c r="F184" s="20"/>
      <c r="G184" s="21">
        <f>G185</f>
        <v>274</v>
      </c>
      <c r="H184" s="21">
        <f>H185</f>
        <v>0</v>
      </c>
      <c r="I184" s="437">
        <f t="shared" si="7"/>
        <v>0</v>
      </c>
    </row>
    <row r="185" spans="1:9" ht="42.4" customHeight="1" x14ac:dyDescent="0.25">
      <c r="A185" s="34" t="s">
        <v>1361</v>
      </c>
      <c r="B185" s="19">
        <v>902</v>
      </c>
      <c r="C185" s="24" t="s">
        <v>157</v>
      </c>
      <c r="D185" s="24" t="s">
        <v>241</v>
      </c>
      <c r="E185" s="196" t="s">
        <v>189</v>
      </c>
      <c r="F185" s="217"/>
      <c r="G185" s="21">
        <f>G186+G190</f>
        <v>274</v>
      </c>
      <c r="H185" s="21">
        <f>H186+H190</f>
        <v>0</v>
      </c>
      <c r="I185" s="437">
        <f t="shared" si="7"/>
        <v>0</v>
      </c>
    </row>
    <row r="186" spans="1:9" s="203" customFormat="1" ht="35.450000000000003" customHeight="1" x14ac:dyDescent="0.25">
      <c r="A186" s="34" t="s">
        <v>1016</v>
      </c>
      <c r="B186" s="19">
        <v>902</v>
      </c>
      <c r="C186" s="24" t="s">
        <v>157</v>
      </c>
      <c r="D186" s="24" t="s">
        <v>241</v>
      </c>
      <c r="E186" s="246" t="s">
        <v>887</v>
      </c>
      <c r="F186" s="217"/>
      <c r="G186" s="21">
        <f t="shared" ref="G186:H188" si="12">G187</f>
        <v>274</v>
      </c>
      <c r="H186" s="21">
        <f t="shared" si="12"/>
        <v>0</v>
      </c>
      <c r="I186" s="437">
        <f t="shared" si="7"/>
        <v>0</v>
      </c>
    </row>
    <row r="187" spans="1:9" ht="31.5" x14ac:dyDescent="0.25">
      <c r="A187" s="25" t="s">
        <v>242</v>
      </c>
      <c r="B187" s="16">
        <v>902</v>
      </c>
      <c r="C187" s="20" t="s">
        <v>157</v>
      </c>
      <c r="D187" s="20" t="s">
        <v>241</v>
      </c>
      <c r="E187" s="20" t="s">
        <v>908</v>
      </c>
      <c r="F187" s="32"/>
      <c r="G187" s="26">
        <f t="shared" si="12"/>
        <v>274</v>
      </c>
      <c r="H187" s="26">
        <f t="shared" si="12"/>
        <v>0</v>
      </c>
      <c r="I187" s="381">
        <f t="shared" si="7"/>
        <v>0</v>
      </c>
    </row>
    <row r="188" spans="1:9" ht="15.75" x14ac:dyDescent="0.25">
      <c r="A188" s="29" t="s">
        <v>142</v>
      </c>
      <c r="B188" s="16">
        <v>902</v>
      </c>
      <c r="C188" s="20" t="s">
        <v>157</v>
      </c>
      <c r="D188" s="20" t="s">
        <v>241</v>
      </c>
      <c r="E188" s="20" t="s">
        <v>908</v>
      </c>
      <c r="F188" s="32" t="s">
        <v>152</v>
      </c>
      <c r="G188" s="26">
        <f t="shared" si="12"/>
        <v>274</v>
      </c>
      <c r="H188" s="26">
        <f t="shared" si="12"/>
        <v>0</v>
      </c>
      <c r="I188" s="381">
        <f t="shared" si="7"/>
        <v>0</v>
      </c>
    </row>
    <row r="189" spans="1:9" ht="47.25" x14ac:dyDescent="0.25">
      <c r="A189" s="29" t="s">
        <v>191</v>
      </c>
      <c r="B189" s="16">
        <v>902</v>
      </c>
      <c r="C189" s="20" t="s">
        <v>157</v>
      </c>
      <c r="D189" s="20" t="s">
        <v>241</v>
      </c>
      <c r="E189" s="20" t="s">
        <v>908</v>
      </c>
      <c r="F189" s="32" t="s">
        <v>167</v>
      </c>
      <c r="G189" s="26">
        <f>30-11+255</f>
        <v>274</v>
      </c>
      <c r="H189" s="26">
        <v>0</v>
      </c>
      <c r="I189" s="381">
        <f t="shared" si="7"/>
        <v>0</v>
      </c>
    </row>
    <row r="190" spans="1:9" s="203" customFormat="1" ht="31.5" hidden="1" x14ac:dyDescent="0.25">
      <c r="A190" s="238" t="s">
        <v>1017</v>
      </c>
      <c r="B190" s="19">
        <v>902</v>
      </c>
      <c r="C190" s="24" t="s">
        <v>157</v>
      </c>
      <c r="D190" s="24" t="s">
        <v>241</v>
      </c>
      <c r="E190" s="196" t="s">
        <v>889</v>
      </c>
      <c r="F190" s="217"/>
      <c r="G190" s="21">
        <f t="shared" ref="G190:H192" si="13">G191</f>
        <v>0</v>
      </c>
      <c r="H190" s="21">
        <f t="shared" si="13"/>
        <v>0</v>
      </c>
      <c r="I190" s="381"/>
    </row>
    <row r="191" spans="1:9" s="203" customFormat="1" ht="15.75" hidden="1" x14ac:dyDescent="0.25">
      <c r="A191" s="25" t="s">
        <v>888</v>
      </c>
      <c r="B191" s="16">
        <v>902</v>
      </c>
      <c r="C191" s="20" t="s">
        <v>157</v>
      </c>
      <c r="D191" s="20" t="s">
        <v>241</v>
      </c>
      <c r="E191" s="5" t="s">
        <v>909</v>
      </c>
      <c r="F191" s="32"/>
      <c r="G191" s="26">
        <f t="shared" si="13"/>
        <v>0</v>
      </c>
      <c r="H191" s="26">
        <f t="shared" si="13"/>
        <v>0</v>
      </c>
      <c r="I191" s="381"/>
    </row>
    <row r="192" spans="1:9" s="203" customFormat="1" ht="15.75" hidden="1" x14ac:dyDescent="0.25">
      <c r="A192" s="29" t="s">
        <v>142</v>
      </c>
      <c r="B192" s="16">
        <v>902</v>
      </c>
      <c r="C192" s="20" t="s">
        <v>157</v>
      </c>
      <c r="D192" s="20" t="s">
        <v>241</v>
      </c>
      <c r="E192" s="5" t="s">
        <v>909</v>
      </c>
      <c r="F192" s="32" t="s">
        <v>152</v>
      </c>
      <c r="G192" s="26">
        <f t="shared" si="13"/>
        <v>0</v>
      </c>
      <c r="H192" s="26">
        <f t="shared" si="13"/>
        <v>0</v>
      </c>
      <c r="I192" s="381"/>
    </row>
    <row r="193" spans="1:9" s="203" customFormat="1" ht="47.25" hidden="1" x14ac:dyDescent="0.25">
      <c r="A193" s="29" t="s">
        <v>191</v>
      </c>
      <c r="B193" s="16">
        <v>902</v>
      </c>
      <c r="C193" s="20" t="s">
        <v>157</v>
      </c>
      <c r="D193" s="20" t="s">
        <v>241</v>
      </c>
      <c r="E193" s="5" t="s">
        <v>909</v>
      </c>
      <c r="F193" s="32" t="s">
        <v>167</v>
      </c>
      <c r="G193" s="26">
        <v>0</v>
      </c>
      <c r="H193" s="26"/>
      <c r="I193" s="381"/>
    </row>
    <row r="194" spans="1:9" ht="15.75" x14ac:dyDescent="0.25">
      <c r="A194" s="23" t="s">
        <v>244</v>
      </c>
      <c r="B194" s="19">
        <v>902</v>
      </c>
      <c r="C194" s="24" t="s">
        <v>157</v>
      </c>
      <c r="D194" s="24" t="s">
        <v>245</v>
      </c>
      <c r="E194" s="24"/>
      <c r="F194" s="24"/>
      <c r="G194" s="21">
        <f>G195+G202</f>
        <v>414.2</v>
      </c>
      <c r="H194" s="21">
        <f>H195+H202</f>
        <v>41.9</v>
      </c>
      <c r="I194" s="437">
        <f t="shared" si="7"/>
        <v>10.115886045388702</v>
      </c>
    </row>
    <row r="195" spans="1:9" ht="31.5" x14ac:dyDescent="0.25">
      <c r="A195" s="23" t="s">
        <v>927</v>
      </c>
      <c r="B195" s="19">
        <v>902</v>
      </c>
      <c r="C195" s="24" t="s">
        <v>157</v>
      </c>
      <c r="D195" s="24" t="s">
        <v>245</v>
      </c>
      <c r="E195" s="24" t="s">
        <v>868</v>
      </c>
      <c r="F195" s="24"/>
      <c r="G195" s="21">
        <f>G196</f>
        <v>264.2</v>
      </c>
      <c r="H195" s="21">
        <f>H196</f>
        <v>41.9</v>
      </c>
      <c r="I195" s="437">
        <f t="shared" si="7"/>
        <v>15.859197577592731</v>
      </c>
    </row>
    <row r="196" spans="1:9" ht="31.5" x14ac:dyDescent="0.25">
      <c r="A196" s="23" t="s">
        <v>895</v>
      </c>
      <c r="B196" s="19">
        <v>902</v>
      </c>
      <c r="C196" s="24" t="s">
        <v>157</v>
      </c>
      <c r="D196" s="24" t="s">
        <v>245</v>
      </c>
      <c r="E196" s="24" t="s">
        <v>873</v>
      </c>
      <c r="F196" s="24"/>
      <c r="G196" s="21">
        <f>G197</f>
        <v>264.2</v>
      </c>
      <c r="H196" s="21">
        <f>H197</f>
        <v>41.9</v>
      </c>
      <c r="I196" s="437">
        <f t="shared" si="7"/>
        <v>15.859197577592731</v>
      </c>
    </row>
    <row r="197" spans="1:9" ht="69.75" customHeight="1" x14ac:dyDescent="0.25">
      <c r="A197" s="31" t="s">
        <v>248</v>
      </c>
      <c r="B197" s="16">
        <v>902</v>
      </c>
      <c r="C197" s="20" t="s">
        <v>157</v>
      </c>
      <c r="D197" s="20" t="s">
        <v>245</v>
      </c>
      <c r="E197" s="20" t="s">
        <v>934</v>
      </c>
      <c r="F197" s="20"/>
      <c r="G197" s="26">
        <f>G198+G200</f>
        <v>264.2</v>
      </c>
      <c r="H197" s="26">
        <f>H198+H200</f>
        <v>41.9</v>
      </c>
      <c r="I197" s="381">
        <f t="shared" si="7"/>
        <v>15.859197577592731</v>
      </c>
    </row>
    <row r="198" spans="1:9" ht="63" x14ac:dyDescent="0.25">
      <c r="A198" s="25" t="s">
        <v>134</v>
      </c>
      <c r="B198" s="16">
        <v>902</v>
      </c>
      <c r="C198" s="20" t="s">
        <v>157</v>
      </c>
      <c r="D198" s="20" t="s">
        <v>245</v>
      </c>
      <c r="E198" s="20" t="s">
        <v>934</v>
      </c>
      <c r="F198" s="20" t="s">
        <v>135</v>
      </c>
      <c r="G198" s="26">
        <f>G199</f>
        <v>240.2</v>
      </c>
      <c r="H198" s="26">
        <f>H199</f>
        <v>39.799999999999997</v>
      </c>
      <c r="I198" s="381">
        <f t="shared" si="7"/>
        <v>16.569525395503746</v>
      </c>
    </row>
    <row r="199" spans="1:9" ht="31.5" x14ac:dyDescent="0.25">
      <c r="A199" s="25" t="s">
        <v>136</v>
      </c>
      <c r="B199" s="16">
        <v>902</v>
      </c>
      <c r="C199" s="20" t="s">
        <v>157</v>
      </c>
      <c r="D199" s="20" t="s">
        <v>245</v>
      </c>
      <c r="E199" s="20" t="s">
        <v>934</v>
      </c>
      <c r="F199" s="20" t="s">
        <v>137</v>
      </c>
      <c r="G199" s="26">
        <f>187+11.4+41.8</f>
        <v>240.2</v>
      </c>
      <c r="H199" s="26">
        <v>39.799999999999997</v>
      </c>
      <c r="I199" s="381">
        <f t="shared" si="7"/>
        <v>16.569525395503746</v>
      </c>
    </row>
    <row r="200" spans="1:9" ht="31.5" x14ac:dyDescent="0.25">
      <c r="A200" s="25" t="s">
        <v>138</v>
      </c>
      <c r="B200" s="16">
        <v>902</v>
      </c>
      <c r="C200" s="20" t="s">
        <v>157</v>
      </c>
      <c r="D200" s="20" t="s">
        <v>245</v>
      </c>
      <c r="E200" s="20" t="s">
        <v>934</v>
      </c>
      <c r="F200" s="20" t="s">
        <v>139</v>
      </c>
      <c r="G200" s="26">
        <f>G201</f>
        <v>24</v>
      </c>
      <c r="H200" s="26">
        <f>H201</f>
        <v>2.1</v>
      </c>
      <c r="I200" s="381">
        <f t="shared" si="7"/>
        <v>8.75</v>
      </c>
    </row>
    <row r="201" spans="1:9" ht="31.5" x14ac:dyDescent="0.25">
      <c r="A201" s="25" t="s">
        <v>140</v>
      </c>
      <c r="B201" s="16">
        <v>902</v>
      </c>
      <c r="C201" s="20" t="s">
        <v>157</v>
      </c>
      <c r="D201" s="20" t="s">
        <v>245</v>
      </c>
      <c r="E201" s="20" t="s">
        <v>934</v>
      </c>
      <c r="F201" s="20" t="s">
        <v>141</v>
      </c>
      <c r="G201" s="26">
        <f>101.8-36-41.8</f>
        <v>24</v>
      </c>
      <c r="H201" s="26">
        <v>2.1</v>
      </c>
      <c r="I201" s="381">
        <f t="shared" si="7"/>
        <v>8.75</v>
      </c>
    </row>
    <row r="202" spans="1:9" s="203" customFormat="1" ht="33.4" customHeight="1" x14ac:dyDescent="0.25">
      <c r="A202" s="23" t="s">
        <v>1353</v>
      </c>
      <c r="B202" s="19">
        <v>902</v>
      </c>
      <c r="C202" s="24" t="s">
        <v>157</v>
      </c>
      <c r="D202" s="24" t="s">
        <v>245</v>
      </c>
      <c r="E202" s="24" t="s">
        <v>163</v>
      </c>
      <c r="F202" s="24"/>
      <c r="G202" s="21">
        <f t="shared" ref="G202:H205" si="14">G203</f>
        <v>150</v>
      </c>
      <c r="H202" s="21">
        <f t="shared" si="14"/>
        <v>0</v>
      </c>
      <c r="I202" s="437">
        <f t="shared" si="7"/>
        <v>0</v>
      </c>
    </row>
    <row r="203" spans="1:9" s="203" customFormat="1" ht="31.5" x14ac:dyDescent="0.25">
      <c r="A203" s="23" t="s">
        <v>1075</v>
      </c>
      <c r="B203" s="19">
        <v>902</v>
      </c>
      <c r="C203" s="24" t="s">
        <v>157</v>
      </c>
      <c r="D203" s="24" t="s">
        <v>245</v>
      </c>
      <c r="E203" s="24" t="s">
        <v>1072</v>
      </c>
      <c r="F203" s="24"/>
      <c r="G203" s="21">
        <f t="shared" si="14"/>
        <v>150</v>
      </c>
      <c r="H203" s="21">
        <f t="shared" si="14"/>
        <v>0</v>
      </c>
      <c r="I203" s="437">
        <f t="shared" ref="I203:I266" si="15">H203/G203*100</f>
        <v>0</v>
      </c>
    </row>
    <row r="204" spans="1:9" s="203" customFormat="1" ht="31.5" x14ac:dyDescent="0.25">
      <c r="A204" s="25" t="s">
        <v>1076</v>
      </c>
      <c r="B204" s="16">
        <v>902</v>
      </c>
      <c r="C204" s="20" t="s">
        <v>157</v>
      </c>
      <c r="D204" s="20" t="s">
        <v>245</v>
      </c>
      <c r="E204" s="20" t="s">
        <v>1073</v>
      </c>
      <c r="F204" s="20"/>
      <c r="G204" s="26">
        <f t="shared" si="14"/>
        <v>150</v>
      </c>
      <c r="H204" s="26">
        <f t="shared" si="14"/>
        <v>0</v>
      </c>
      <c r="I204" s="381">
        <f t="shared" si="15"/>
        <v>0</v>
      </c>
    </row>
    <row r="205" spans="1:9" s="203" customFormat="1" ht="15.75" x14ac:dyDescent="0.25">
      <c r="A205" s="25" t="s">
        <v>142</v>
      </c>
      <c r="B205" s="16">
        <v>902</v>
      </c>
      <c r="C205" s="20" t="s">
        <v>157</v>
      </c>
      <c r="D205" s="20" t="s">
        <v>245</v>
      </c>
      <c r="E205" s="20" t="s">
        <v>1073</v>
      </c>
      <c r="F205" s="20" t="s">
        <v>152</v>
      </c>
      <c r="G205" s="26">
        <f t="shared" si="14"/>
        <v>150</v>
      </c>
      <c r="H205" s="26">
        <f t="shared" si="14"/>
        <v>0</v>
      </c>
      <c r="I205" s="381">
        <f t="shared" si="15"/>
        <v>0</v>
      </c>
    </row>
    <row r="206" spans="1:9" s="203" customFormat="1" ht="47.25" x14ac:dyDescent="0.25">
      <c r="A206" s="25" t="s">
        <v>191</v>
      </c>
      <c r="B206" s="16">
        <v>902</v>
      </c>
      <c r="C206" s="20" t="s">
        <v>157</v>
      </c>
      <c r="D206" s="20" t="s">
        <v>245</v>
      </c>
      <c r="E206" s="20" t="s">
        <v>1073</v>
      </c>
      <c r="F206" s="20" t="s">
        <v>167</v>
      </c>
      <c r="G206" s="26">
        <v>150</v>
      </c>
      <c r="H206" s="26">
        <v>0</v>
      </c>
      <c r="I206" s="381">
        <f t="shared" si="15"/>
        <v>0</v>
      </c>
    </row>
    <row r="207" spans="1:9" ht="16.5" customHeight="1" x14ac:dyDescent="0.25">
      <c r="A207" s="23" t="s">
        <v>250</v>
      </c>
      <c r="B207" s="19">
        <v>902</v>
      </c>
      <c r="C207" s="24" t="s">
        <v>251</v>
      </c>
      <c r="D207" s="24"/>
      <c r="E207" s="24"/>
      <c r="F207" s="24"/>
      <c r="G207" s="21">
        <f>G208+G214+G220</f>
        <v>13444.5</v>
      </c>
      <c r="H207" s="21">
        <f>H208+H214+H220</f>
        <v>3082.172</v>
      </c>
      <c r="I207" s="437">
        <f t="shared" si="15"/>
        <v>22.925151548960542</v>
      </c>
    </row>
    <row r="208" spans="1:9" ht="15.75" x14ac:dyDescent="0.25">
      <c r="A208" s="23" t="s">
        <v>252</v>
      </c>
      <c r="B208" s="19">
        <v>902</v>
      </c>
      <c r="C208" s="24" t="s">
        <v>251</v>
      </c>
      <c r="D208" s="24" t="s">
        <v>125</v>
      </c>
      <c r="E208" s="24"/>
      <c r="F208" s="24"/>
      <c r="G208" s="21">
        <f t="shared" ref="G208:H212" si="16">G209</f>
        <v>9815.2999999999993</v>
      </c>
      <c r="H208" s="21">
        <f t="shared" si="16"/>
        <v>2663.7150000000001</v>
      </c>
      <c r="I208" s="437">
        <f t="shared" si="15"/>
        <v>27.138396177396519</v>
      </c>
    </row>
    <row r="209" spans="1:9" ht="15.75" x14ac:dyDescent="0.25">
      <c r="A209" s="23" t="s">
        <v>148</v>
      </c>
      <c r="B209" s="19">
        <v>902</v>
      </c>
      <c r="C209" s="24" t="s">
        <v>251</v>
      </c>
      <c r="D209" s="24" t="s">
        <v>125</v>
      </c>
      <c r="E209" s="24" t="s">
        <v>876</v>
      </c>
      <c r="F209" s="24"/>
      <c r="G209" s="21">
        <f t="shared" si="16"/>
        <v>9815.2999999999993</v>
      </c>
      <c r="H209" s="21">
        <f t="shared" si="16"/>
        <v>2663.7150000000001</v>
      </c>
      <c r="I209" s="437">
        <f t="shared" si="15"/>
        <v>27.138396177396519</v>
      </c>
    </row>
    <row r="210" spans="1:9" ht="31.5" x14ac:dyDescent="0.25">
      <c r="A210" s="23" t="s">
        <v>880</v>
      </c>
      <c r="B210" s="19">
        <v>902</v>
      </c>
      <c r="C210" s="24" t="s">
        <v>251</v>
      </c>
      <c r="D210" s="24" t="s">
        <v>125</v>
      </c>
      <c r="E210" s="24" t="s">
        <v>875</v>
      </c>
      <c r="F210" s="24"/>
      <c r="G210" s="21">
        <f t="shared" si="16"/>
        <v>9815.2999999999993</v>
      </c>
      <c r="H210" s="21">
        <f t="shared" si="16"/>
        <v>2663.7150000000001</v>
      </c>
      <c r="I210" s="437">
        <f t="shared" si="15"/>
        <v>27.138396177396519</v>
      </c>
    </row>
    <row r="211" spans="1:9" ht="15.75" x14ac:dyDescent="0.25">
      <c r="A211" s="25" t="s">
        <v>253</v>
      </c>
      <c r="B211" s="16">
        <v>902</v>
      </c>
      <c r="C211" s="20" t="s">
        <v>251</v>
      </c>
      <c r="D211" s="20" t="s">
        <v>125</v>
      </c>
      <c r="E211" s="20" t="s">
        <v>891</v>
      </c>
      <c r="F211" s="20"/>
      <c r="G211" s="26">
        <f t="shared" si="16"/>
        <v>9815.2999999999993</v>
      </c>
      <c r="H211" s="26">
        <f t="shared" si="16"/>
        <v>2663.7150000000001</v>
      </c>
      <c r="I211" s="381">
        <f t="shared" si="15"/>
        <v>27.138396177396519</v>
      </c>
    </row>
    <row r="212" spans="1:9" ht="15.75" x14ac:dyDescent="0.25">
      <c r="A212" s="25" t="s">
        <v>255</v>
      </c>
      <c r="B212" s="16">
        <v>902</v>
      </c>
      <c r="C212" s="20" t="s">
        <v>251</v>
      </c>
      <c r="D212" s="20" t="s">
        <v>125</v>
      </c>
      <c r="E212" s="20" t="s">
        <v>891</v>
      </c>
      <c r="F212" s="20" t="s">
        <v>256</v>
      </c>
      <c r="G212" s="26">
        <f t="shared" si="16"/>
        <v>9815.2999999999993</v>
      </c>
      <c r="H212" s="26">
        <f t="shared" si="16"/>
        <v>2663.7150000000001</v>
      </c>
      <c r="I212" s="381">
        <f t="shared" si="15"/>
        <v>27.138396177396519</v>
      </c>
    </row>
    <row r="213" spans="1:9" ht="15.75" x14ac:dyDescent="0.25">
      <c r="A213" s="25" t="s">
        <v>355</v>
      </c>
      <c r="B213" s="16">
        <v>902</v>
      </c>
      <c r="C213" s="20" t="s">
        <v>251</v>
      </c>
      <c r="D213" s="20" t="s">
        <v>125</v>
      </c>
      <c r="E213" s="20" t="s">
        <v>891</v>
      </c>
      <c r="F213" s="20" t="s">
        <v>356</v>
      </c>
      <c r="G213" s="27">
        <v>9815.2999999999993</v>
      </c>
      <c r="H213" s="27">
        <v>2663.7150000000001</v>
      </c>
      <c r="I213" s="381">
        <f t="shared" si="15"/>
        <v>27.138396177396519</v>
      </c>
    </row>
    <row r="214" spans="1:9" ht="15.75" x14ac:dyDescent="0.25">
      <c r="A214" s="23" t="s">
        <v>259</v>
      </c>
      <c r="B214" s="19">
        <v>902</v>
      </c>
      <c r="C214" s="24" t="s">
        <v>251</v>
      </c>
      <c r="D214" s="24" t="s">
        <v>222</v>
      </c>
      <c r="E214" s="20"/>
      <c r="F214" s="20"/>
      <c r="G214" s="21">
        <f t="shared" ref="G214:H218" si="17">G215</f>
        <v>10</v>
      </c>
      <c r="H214" s="21">
        <f t="shared" si="17"/>
        <v>0</v>
      </c>
      <c r="I214" s="437">
        <f t="shared" si="15"/>
        <v>0</v>
      </c>
    </row>
    <row r="215" spans="1:9" ht="47.25" x14ac:dyDescent="0.25">
      <c r="A215" s="23" t="s">
        <v>1363</v>
      </c>
      <c r="B215" s="19">
        <v>902</v>
      </c>
      <c r="C215" s="24" t="s">
        <v>251</v>
      </c>
      <c r="D215" s="24" t="s">
        <v>222</v>
      </c>
      <c r="E215" s="24" t="s">
        <v>261</v>
      </c>
      <c r="F215" s="24"/>
      <c r="G215" s="21">
        <f t="shared" si="17"/>
        <v>10</v>
      </c>
      <c r="H215" s="21">
        <f t="shared" si="17"/>
        <v>0</v>
      </c>
      <c r="I215" s="437">
        <f t="shared" si="15"/>
        <v>0</v>
      </c>
    </row>
    <row r="216" spans="1:9" s="203" customFormat="1" ht="31.5" x14ac:dyDescent="0.25">
      <c r="A216" s="34" t="s">
        <v>894</v>
      </c>
      <c r="B216" s="19">
        <v>902</v>
      </c>
      <c r="C216" s="24" t="s">
        <v>251</v>
      </c>
      <c r="D216" s="24" t="s">
        <v>222</v>
      </c>
      <c r="E216" s="24" t="s">
        <v>892</v>
      </c>
      <c r="F216" s="24"/>
      <c r="G216" s="21">
        <f t="shared" si="17"/>
        <v>10</v>
      </c>
      <c r="H216" s="21">
        <f t="shared" si="17"/>
        <v>0</v>
      </c>
      <c r="I216" s="437">
        <f t="shared" si="15"/>
        <v>0</v>
      </c>
    </row>
    <row r="217" spans="1:9" ht="28.5" customHeight="1" x14ac:dyDescent="0.25">
      <c r="A217" s="25" t="s">
        <v>1205</v>
      </c>
      <c r="B217" s="16">
        <v>902</v>
      </c>
      <c r="C217" s="20" t="s">
        <v>251</v>
      </c>
      <c r="D217" s="20" t="s">
        <v>222</v>
      </c>
      <c r="E217" s="20" t="s">
        <v>1202</v>
      </c>
      <c r="F217" s="20"/>
      <c r="G217" s="26">
        <f t="shared" si="17"/>
        <v>10</v>
      </c>
      <c r="H217" s="26">
        <f t="shared" si="17"/>
        <v>0</v>
      </c>
      <c r="I217" s="381">
        <f t="shared" si="15"/>
        <v>0</v>
      </c>
    </row>
    <row r="218" spans="1:9" ht="19.5" customHeight="1" x14ac:dyDescent="0.25">
      <c r="A218" s="25" t="s">
        <v>255</v>
      </c>
      <c r="B218" s="16">
        <v>902</v>
      </c>
      <c r="C218" s="20" t="s">
        <v>251</v>
      </c>
      <c r="D218" s="20" t="s">
        <v>222</v>
      </c>
      <c r="E218" s="20" t="s">
        <v>1202</v>
      </c>
      <c r="F218" s="20" t="s">
        <v>256</v>
      </c>
      <c r="G218" s="26">
        <f t="shared" si="17"/>
        <v>10</v>
      </c>
      <c r="H218" s="26">
        <f t="shared" si="17"/>
        <v>0</v>
      </c>
      <c r="I218" s="381">
        <f t="shared" si="15"/>
        <v>0</v>
      </c>
    </row>
    <row r="219" spans="1:9" ht="31.5" x14ac:dyDescent="0.25">
      <c r="A219" s="25" t="s">
        <v>257</v>
      </c>
      <c r="B219" s="16">
        <v>902</v>
      </c>
      <c r="C219" s="20" t="s">
        <v>251</v>
      </c>
      <c r="D219" s="20" t="s">
        <v>222</v>
      </c>
      <c r="E219" s="20" t="s">
        <v>1202</v>
      </c>
      <c r="F219" s="20" t="s">
        <v>258</v>
      </c>
      <c r="G219" s="26">
        <v>10</v>
      </c>
      <c r="H219" s="26">
        <v>0</v>
      </c>
      <c r="I219" s="381">
        <f t="shared" si="15"/>
        <v>0</v>
      </c>
    </row>
    <row r="220" spans="1:9" ht="15.75" x14ac:dyDescent="0.25">
      <c r="A220" s="23" t="s">
        <v>265</v>
      </c>
      <c r="B220" s="19">
        <v>902</v>
      </c>
      <c r="C220" s="24" t="s">
        <v>251</v>
      </c>
      <c r="D220" s="24" t="s">
        <v>127</v>
      </c>
      <c r="E220" s="24"/>
      <c r="F220" s="24"/>
      <c r="G220" s="21">
        <f t="shared" ref="G220:H222" si="18">G221</f>
        <v>3619.2000000000007</v>
      </c>
      <c r="H220" s="21">
        <f t="shared" si="18"/>
        <v>418.45699999999999</v>
      </c>
      <c r="I220" s="437">
        <f t="shared" si="15"/>
        <v>11.562140804597698</v>
      </c>
    </row>
    <row r="221" spans="1:9" ht="31.5" x14ac:dyDescent="0.25">
      <c r="A221" s="23" t="s">
        <v>927</v>
      </c>
      <c r="B221" s="19">
        <v>902</v>
      </c>
      <c r="C221" s="24" t="s">
        <v>251</v>
      </c>
      <c r="D221" s="24" t="s">
        <v>127</v>
      </c>
      <c r="E221" s="24" t="s">
        <v>868</v>
      </c>
      <c r="F221" s="24"/>
      <c r="G221" s="21">
        <f t="shared" si="18"/>
        <v>3619.2000000000007</v>
      </c>
      <c r="H221" s="21">
        <f t="shared" si="18"/>
        <v>418.45699999999999</v>
      </c>
      <c r="I221" s="437">
        <f t="shared" si="15"/>
        <v>11.562140804597698</v>
      </c>
    </row>
    <row r="222" spans="1:9" ht="31.5" x14ac:dyDescent="0.25">
      <c r="A222" s="23" t="s">
        <v>895</v>
      </c>
      <c r="B222" s="19">
        <v>902</v>
      </c>
      <c r="C222" s="24" t="s">
        <v>251</v>
      </c>
      <c r="D222" s="24" t="s">
        <v>127</v>
      </c>
      <c r="E222" s="24" t="s">
        <v>873</v>
      </c>
      <c r="F222" s="24"/>
      <c r="G222" s="21">
        <f t="shared" si="18"/>
        <v>3619.2000000000007</v>
      </c>
      <c r="H222" s="21">
        <f t="shared" si="18"/>
        <v>418.45699999999999</v>
      </c>
      <c r="I222" s="437">
        <f t="shared" si="15"/>
        <v>11.562140804597698</v>
      </c>
    </row>
    <row r="223" spans="1:9" ht="47.25" customHeight="1" x14ac:dyDescent="0.25">
      <c r="A223" s="31" t="s">
        <v>266</v>
      </c>
      <c r="B223" s="16">
        <v>902</v>
      </c>
      <c r="C223" s="20" t="s">
        <v>251</v>
      </c>
      <c r="D223" s="20" t="s">
        <v>127</v>
      </c>
      <c r="E223" s="20" t="s">
        <v>935</v>
      </c>
      <c r="F223" s="20"/>
      <c r="G223" s="26">
        <f>G224+G226</f>
        <v>3619.2000000000007</v>
      </c>
      <c r="H223" s="26">
        <f>H224+H226</f>
        <v>418.45699999999999</v>
      </c>
      <c r="I223" s="381">
        <f t="shared" si="15"/>
        <v>11.562140804597698</v>
      </c>
    </row>
    <row r="224" spans="1:9" ht="63" x14ac:dyDescent="0.25">
      <c r="A224" s="25" t="s">
        <v>134</v>
      </c>
      <c r="B224" s="16">
        <v>902</v>
      </c>
      <c r="C224" s="20" t="s">
        <v>251</v>
      </c>
      <c r="D224" s="20" t="s">
        <v>127</v>
      </c>
      <c r="E224" s="20" t="s">
        <v>935</v>
      </c>
      <c r="F224" s="20" t="s">
        <v>135</v>
      </c>
      <c r="G224" s="26">
        <f>G225</f>
        <v>3313.0000000000005</v>
      </c>
      <c r="H224" s="26">
        <f>H225</f>
        <v>408.779</v>
      </c>
      <c r="I224" s="381">
        <f t="shared" si="15"/>
        <v>12.338635677633562</v>
      </c>
    </row>
    <row r="225" spans="1:10" ht="31.5" x14ac:dyDescent="0.25">
      <c r="A225" s="25" t="s">
        <v>136</v>
      </c>
      <c r="B225" s="16">
        <v>902</v>
      </c>
      <c r="C225" s="20" t="s">
        <v>251</v>
      </c>
      <c r="D225" s="20" t="s">
        <v>127</v>
      </c>
      <c r="E225" s="20" t="s">
        <v>935</v>
      </c>
      <c r="F225" s="20" t="s">
        <v>137</v>
      </c>
      <c r="G225" s="27">
        <f>3353.3-132.5-2.2+94.4</f>
        <v>3313.0000000000005</v>
      </c>
      <c r="H225" s="27">
        <v>408.779</v>
      </c>
      <c r="I225" s="381">
        <f t="shared" si="15"/>
        <v>12.338635677633562</v>
      </c>
    </row>
    <row r="226" spans="1:10" ht="31.5" x14ac:dyDescent="0.25">
      <c r="A226" s="25" t="s">
        <v>138</v>
      </c>
      <c r="B226" s="16">
        <v>902</v>
      </c>
      <c r="C226" s="20" t="s">
        <v>251</v>
      </c>
      <c r="D226" s="20" t="s">
        <v>127</v>
      </c>
      <c r="E226" s="20" t="s">
        <v>935</v>
      </c>
      <c r="F226" s="20" t="s">
        <v>139</v>
      </c>
      <c r="G226" s="26">
        <f>G227</f>
        <v>306.20000000000005</v>
      </c>
      <c r="H226" s="26">
        <f>H227</f>
        <v>9.6780000000000008</v>
      </c>
      <c r="I226" s="381">
        <f t="shared" si="15"/>
        <v>3.1606792945787068</v>
      </c>
    </row>
    <row r="227" spans="1:10" ht="31.5" x14ac:dyDescent="0.25">
      <c r="A227" s="25" t="s">
        <v>140</v>
      </c>
      <c r="B227" s="16">
        <v>902</v>
      </c>
      <c r="C227" s="20" t="s">
        <v>251</v>
      </c>
      <c r="D227" s="20" t="s">
        <v>127</v>
      </c>
      <c r="E227" s="20" t="s">
        <v>935</v>
      </c>
      <c r="F227" s="20" t="s">
        <v>141</v>
      </c>
      <c r="G227" s="27">
        <f>268.1+132.5-94.4</f>
        <v>306.20000000000005</v>
      </c>
      <c r="H227" s="27">
        <v>9.6780000000000008</v>
      </c>
      <c r="I227" s="381">
        <f t="shared" si="15"/>
        <v>3.1606792945787068</v>
      </c>
    </row>
    <row r="228" spans="1:10" ht="48.75" customHeight="1" x14ac:dyDescent="0.25">
      <c r="A228" s="19" t="s">
        <v>268</v>
      </c>
      <c r="B228" s="19">
        <v>903</v>
      </c>
      <c r="C228" s="20"/>
      <c r="D228" s="20"/>
      <c r="E228" s="20"/>
      <c r="F228" s="20"/>
      <c r="G228" s="21">
        <f>G279+G346+G437+G229+G259+G460</f>
        <v>104136.89</v>
      </c>
      <c r="H228" s="21">
        <f>H279+H346+H437+H229+H259+H460</f>
        <v>21224.916000000001</v>
      </c>
      <c r="I228" s="437">
        <f t="shared" si="15"/>
        <v>20.381745604271455</v>
      </c>
      <c r="J228" s="115"/>
    </row>
    <row r="229" spans="1:10" ht="15.75" x14ac:dyDescent="0.25">
      <c r="A229" s="23" t="s">
        <v>124</v>
      </c>
      <c r="B229" s="19">
        <v>903</v>
      </c>
      <c r="C229" s="24" t="s">
        <v>125</v>
      </c>
      <c r="D229" s="20"/>
      <c r="E229" s="20"/>
      <c r="F229" s="20"/>
      <c r="G229" s="21">
        <f>G230</f>
        <v>225</v>
      </c>
      <c r="H229" s="21">
        <f>H230</f>
        <v>62.5</v>
      </c>
      <c r="I229" s="437">
        <f t="shared" si="15"/>
        <v>27.777777777777779</v>
      </c>
    </row>
    <row r="230" spans="1:10" ht="15.75" x14ac:dyDescent="0.25">
      <c r="A230" s="23" t="s">
        <v>146</v>
      </c>
      <c r="B230" s="19">
        <v>903</v>
      </c>
      <c r="C230" s="24" t="s">
        <v>125</v>
      </c>
      <c r="D230" s="24" t="s">
        <v>147</v>
      </c>
      <c r="E230" s="20"/>
      <c r="F230" s="20"/>
      <c r="G230" s="21">
        <f>G231+G237+G254</f>
        <v>225</v>
      </c>
      <c r="H230" s="21">
        <f>H231+H237+H254</f>
        <v>62.5</v>
      </c>
      <c r="I230" s="437">
        <f t="shared" si="15"/>
        <v>27.777777777777779</v>
      </c>
    </row>
    <row r="231" spans="1:10" ht="47.25" x14ac:dyDescent="0.25">
      <c r="A231" s="23" t="s">
        <v>1364</v>
      </c>
      <c r="B231" s="19">
        <v>903</v>
      </c>
      <c r="C231" s="8" t="s">
        <v>125</v>
      </c>
      <c r="D231" s="8" t="s">
        <v>147</v>
      </c>
      <c r="E231" s="196" t="s">
        <v>351</v>
      </c>
      <c r="F231" s="8"/>
      <c r="G231" s="21">
        <f t="shared" ref="G231:H235" si="19">G232</f>
        <v>200</v>
      </c>
      <c r="H231" s="21">
        <f t="shared" si="19"/>
        <v>62.5</v>
      </c>
      <c r="I231" s="437">
        <f t="shared" si="15"/>
        <v>31.25</v>
      </c>
    </row>
    <row r="232" spans="1:10" ht="73.5" customHeight="1" x14ac:dyDescent="0.25">
      <c r="A232" s="41" t="s">
        <v>1365</v>
      </c>
      <c r="B232" s="19">
        <v>903</v>
      </c>
      <c r="C232" s="7" t="s">
        <v>125</v>
      </c>
      <c r="D232" s="7" t="s">
        <v>147</v>
      </c>
      <c r="E232" s="7" t="s">
        <v>366</v>
      </c>
      <c r="F232" s="7"/>
      <c r="G232" s="21">
        <f t="shared" si="19"/>
        <v>200</v>
      </c>
      <c r="H232" s="21">
        <f t="shared" si="19"/>
        <v>62.5</v>
      </c>
      <c r="I232" s="437">
        <f t="shared" si="15"/>
        <v>31.25</v>
      </c>
    </row>
    <row r="233" spans="1:10" s="203" customFormat="1" ht="47.25" x14ac:dyDescent="0.25">
      <c r="A233" s="245" t="s">
        <v>1055</v>
      </c>
      <c r="B233" s="19">
        <v>903</v>
      </c>
      <c r="C233" s="7" t="s">
        <v>125</v>
      </c>
      <c r="D233" s="7" t="s">
        <v>147</v>
      </c>
      <c r="E233" s="7" t="s">
        <v>919</v>
      </c>
      <c r="F233" s="7"/>
      <c r="G233" s="21">
        <f t="shared" si="19"/>
        <v>200</v>
      </c>
      <c r="H233" s="21">
        <f t="shared" si="19"/>
        <v>62.5</v>
      </c>
      <c r="I233" s="437">
        <f t="shared" si="15"/>
        <v>31.25</v>
      </c>
    </row>
    <row r="234" spans="1:10" ht="31.5" x14ac:dyDescent="0.25">
      <c r="A234" s="98" t="s">
        <v>1106</v>
      </c>
      <c r="B234" s="16">
        <v>903</v>
      </c>
      <c r="C234" s="40" t="s">
        <v>125</v>
      </c>
      <c r="D234" s="40" t="s">
        <v>147</v>
      </c>
      <c r="E234" s="40" t="s">
        <v>1213</v>
      </c>
      <c r="F234" s="40"/>
      <c r="G234" s="26">
        <f t="shared" si="19"/>
        <v>200</v>
      </c>
      <c r="H234" s="26">
        <f t="shared" si="19"/>
        <v>62.5</v>
      </c>
      <c r="I234" s="381">
        <f t="shared" si="15"/>
        <v>31.25</v>
      </c>
    </row>
    <row r="235" spans="1:10" ht="31.5" x14ac:dyDescent="0.25">
      <c r="A235" s="29" t="s">
        <v>138</v>
      </c>
      <c r="B235" s="16">
        <v>903</v>
      </c>
      <c r="C235" s="40" t="s">
        <v>125</v>
      </c>
      <c r="D235" s="40" t="s">
        <v>147</v>
      </c>
      <c r="E235" s="40" t="s">
        <v>1213</v>
      </c>
      <c r="F235" s="40" t="s">
        <v>139</v>
      </c>
      <c r="G235" s="26">
        <f t="shared" si="19"/>
        <v>200</v>
      </c>
      <c r="H235" s="26">
        <f t="shared" si="19"/>
        <v>62.5</v>
      </c>
      <c r="I235" s="381">
        <f t="shared" si="15"/>
        <v>31.25</v>
      </c>
    </row>
    <row r="236" spans="1:10" ht="31.5" x14ac:dyDescent="0.25">
      <c r="A236" s="29" t="s">
        <v>140</v>
      </c>
      <c r="B236" s="16">
        <v>903</v>
      </c>
      <c r="C236" s="40" t="s">
        <v>125</v>
      </c>
      <c r="D236" s="40" t="s">
        <v>147</v>
      </c>
      <c r="E236" s="40" t="s">
        <v>1213</v>
      </c>
      <c r="F236" s="40" t="s">
        <v>141</v>
      </c>
      <c r="G236" s="26">
        <f>200</f>
        <v>200</v>
      </c>
      <c r="H236" s="26">
        <v>62.5</v>
      </c>
      <c r="I236" s="381">
        <f t="shared" si="15"/>
        <v>31.25</v>
      </c>
    </row>
    <row r="237" spans="1:10" ht="31.5" x14ac:dyDescent="0.25">
      <c r="A237" s="23" t="s">
        <v>1366</v>
      </c>
      <c r="B237" s="19">
        <v>903</v>
      </c>
      <c r="C237" s="24" t="s">
        <v>125</v>
      </c>
      <c r="D237" s="24" t="s">
        <v>147</v>
      </c>
      <c r="E237" s="24" t="s">
        <v>342</v>
      </c>
      <c r="F237" s="24"/>
      <c r="G237" s="21">
        <f>G238</f>
        <v>20</v>
      </c>
      <c r="H237" s="21">
        <f>H238</f>
        <v>0</v>
      </c>
      <c r="I237" s="437">
        <f t="shared" si="15"/>
        <v>0</v>
      </c>
    </row>
    <row r="238" spans="1:10" s="203" customFormat="1" ht="31.5" x14ac:dyDescent="0.25">
      <c r="A238" s="23" t="s">
        <v>1060</v>
      </c>
      <c r="B238" s="19">
        <v>903</v>
      </c>
      <c r="C238" s="24" t="s">
        <v>125</v>
      </c>
      <c r="D238" s="24" t="s">
        <v>147</v>
      </c>
      <c r="E238" s="24" t="s">
        <v>1061</v>
      </c>
      <c r="F238" s="24"/>
      <c r="G238" s="21">
        <f>G239+G242+G245+G248+G251</f>
        <v>20</v>
      </c>
      <c r="H238" s="21">
        <f>H239+H242+H245+H248+H251</f>
        <v>0</v>
      </c>
      <c r="I238" s="437">
        <f t="shared" si="15"/>
        <v>0</v>
      </c>
    </row>
    <row r="239" spans="1:10" ht="31.5" hidden="1" x14ac:dyDescent="0.25">
      <c r="A239" s="97" t="s">
        <v>343</v>
      </c>
      <c r="B239" s="16">
        <v>903</v>
      </c>
      <c r="C239" s="20" t="s">
        <v>125</v>
      </c>
      <c r="D239" s="20" t="s">
        <v>147</v>
      </c>
      <c r="E239" s="20" t="s">
        <v>1062</v>
      </c>
      <c r="F239" s="20"/>
      <c r="G239" s="26">
        <f>G240</f>
        <v>0</v>
      </c>
      <c r="H239" s="26">
        <f>H240</f>
        <v>0</v>
      </c>
      <c r="I239" s="381" t="e">
        <f t="shared" si="15"/>
        <v>#DIV/0!</v>
      </c>
    </row>
    <row r="240" spans="1:10" ht="31.5" hidden="1" x14ac:dyDescent="0.25">
      <c r="A240" s="25" t="s">
        <v>138</v>
      </c>
      <c r="B240" s="16">
        <v>903</v>
      </c>
      <c r="C240" s="20" t="s">
        <v>125</v>
      </c>
      <c r="D240" s="20" t="s">
        <v>147</v>
      </c>
      <c r="E240" s="20" t="s">
        <v>1062</v>
      </c>
      <c r="F240" s="20" t="s">
        <v>139</v>
      </c>
      <c r="G240" s="26">
        <f>G241</f>
        <v>0</v>
      </c>
      <c r="H240" s="26">
        <f>H241</f>
        <v>0</v>
      </c>
      <c r="I240" s="381" t="e">
        <f t="shared" si="15"/>
        <v>#DIV/0!</v>
      </c>
    </row>
    <row r="241" spans="1:9" ht="31.5" hidden="1" x14ac:dyDescent="0.25">
      <c r="A241" s="25" t="s">
        <v>140</v>
      </c>
      <c r="B241" s="16">
        <v>903</v>
      </c>
      <c r="C241" s="20" t="s">
        <v>125</v>
      </c>
      <c r="D241" s="20" t="s">
        <v>147</v>
      </c>
      <c r="E241" s="20" t="s">
        <v>1062</v>
      </c>
      <c r="F241" s="20" t="s">
        <v>141</v>
      </c>
      <c r="G241" s="26">
        <v>0</v>
      </c>
      <c r="H241" s="26">
        <v>0</v>
      </c>
      <c r="I241" s="381" t="e">
        <f t="shared" si="15"/>
        <v>#DIV/0!</v>
      </c>
    </row>
    <row r="242" spans="1:9" ht="15.75" x14ac:dyDescent="0.25">
      <c r="A242" s="25" t="s">
        <v>345</v>
      </c>
      <c r="B242" s="16">
        <v>903</v>
      </c>
      <c r="C242" s="20" t="s">
        <v>125</v>
      </c>
      <c r="D242" s="20" t="s">
        <v>147</v>
      </c>
      <c r="E242" s="20" t="s">
        <v>1063</v>
      </c>
      <c r="F242" s="20"/>
      <c r="G242" s="26">
        <f>G243</f>
        <v>20</v>
      </c>
      <c r="H242" s="26">
        <f>H243</f>
        <v>0</v>
      </c>
      <c r="I242" s="381">
        <f t="shared" si="15"/>
        <v>0</v>
      </c>
    </row>
    <row r="243" spans="1:9" ht="31.5" x14ac:dyDescent="0.25">
      <c r="A243" s="25" t="s">
        <v>138</v>
      </c>
      <c r="B243" s="16">
        <v>903</v>
      </c>
      <c r="C243" s="20" t="s">
        <v>125</v>
      </c>
      <c r="D243" s="20" t="s">
        <v>147</v>
      </c>
      <c r="E243" s="20" t="s">
        <v>1063</v>
      </c>
      <c r="F243" s="20" t="s">
        <v>139</v>
      </c>
      <c r="G243" s="26">
        <f>G244</f>
        <v>20</v>
      </c>
      <c r="H243" s="26">
        <f>H244</f>
        <v>0</v>
      </c>
      <c r="I243" s="381">
        <f t="shared" si="15"/>
        <v>0</v>
      </c>
    </row>
    <row r="244" spans="1:9" ht="31.5" x14ac:dyDescent="0.25">
      <c r="A244" s="25" t="s">
        <v>140</v>
      </c>
      <c r="B244" s="16">
        <v>903</v>
      </c>
      <c r="C244" s="20" t="s">
        <v>125</v>
      </c>
      <c r="D244" s="20" t="s">
        <v>147</v>
      </c>
      <c r="E244" s="20" t="s">
        <v>1063</v>
      </c>
      <c r="F244" s="20" t="s">
        <v>141</v>
      </c>
      <c r="G244" s="26">
        <v>20</v>
      </c>
      <c r="H244" s="26">
        <v>0</v>
      </c>
      <c r="I244" s="381">
        <f t="shared" si="15"/>
        <v>0</v>
      </c>
    </row>
    <row r="245" spans="1:9" ht="36.75" hidden="1" customHeight="1" x14ac:dyDescent="0.25">
      <c r="A245" s="31" t="s">
        <v>781</v>
      </c>
      <c r="B245" s="16">
        <v>903</v>
      </c>
      <c r="C245" s="20" t="s">
        <v>125</v>
      </c>
      <c r="D245" s="20" t="s">
        <v>147</v>
      </c>
      <c r="E245" s="20" t="s">
        <v>1064</v>
      </c>
      <c r="F245" s="20"/>
      <c r="G245" s="26">
        <f>G246</f>
        <v>0</v>
      </c>
      <c r="H245" s="26">
        <f>H246</f>
        <v>0</v>
      </c>
      <c r="I245" s="381" t="e">
        <f t="shared" si="15"/>
        <v>#DIV/0!</v>
      </c>
    </row>
    <row r="246" spans="1:9" ht="31.5" hidden="1" x14ac:dyDescent="0.25">
      <c r="A246" s="25" t="s">
        <v>138</v>
      </c>
      <c r="B246" s="16">
        <v>903</v>
      </c>
      <c r="C246" s="20" t="s">
        <v>125</v>
      </c>
      <c r="D246" s="20" t="s">
        <v>147</v>
      </c>
      <c r="E246" s="20" t="s">
        <v>1064</v>
      </c>
      <c r="F246" s="20" t="s">
        <v>139</v>
      </c>
      <c r="G246" s="26">
        <f>G247</f>
        <v>0</v>
      </c>
      <c r="H246" s="26">
        <f>H247</f>
        <v>0</v>
      </c>
      <c r="I246" s="381" t="e">
        <f t="shared" si="15"/>
        <v>#DIV/0!</v>
      </c>
    </row>
    <row r="247" spans="1:9" ht="31.5" hidden="1" x14ac:dyDescent="0.25">
      <c r="A247" s="25" t="s">
        <v>140</v>
      </c>
      <c r="B247" s="16">
        <v>903</v>
      </c>
      <c r="C247" s="20" t="s">
        <v>125</v>
      </c>
      <c r="D247" s="20" t="s">
        <v>147</v>
      </c>
      <c r="E247" s="20" t="s">
        <v>1064</v>
      </c>
      <c r="F247" s="20" t="s">
        <v>141</v>
      </c>
      <c r="G247" s="26">
        <v>0</v>
      </c>
      <c r="H247" s="26">
        <v>0</v>
      </c>
      <c r="I247" s="381" t="e">
        <f t="shared" si="15"/>
        <v>#DIV/0!</v>
      </c>
    </row>
    <row r="248" spans="1:9" ht="15.75" hidden="1" x14ac:dyDescent="0.25">
      <c r="A248" s="25" t="s">
        <v>1004</v>
      </c>
      <c r="B248" s="16">
        <v>903</v>
      </c>
      <c r="C248" s="20" t="s">
        <v>125</v>
      </c>
      <c r="D248" s="20" t="s">
        <v>147</v>
      </c>
      <c r="E248" s="20" t="s">
        <v>1065</v>
      </c>
      <c r="F248" s="20"/>
      <c r="G248" s="26">
        <f>G249</f>
        <v>0</v>
      </c>
      <c r="H248" s="26">
        <f>H249</f>
        <v>0</v>
      </c>
      <c r="I248" s="381" t="e">
        <f t="shared" si="15"/>
        <v>#DIV/0!</v>
      </c>
    </row>
    <row r="249" spans="1:9" ht="31.5" hidden="1" x14ac:dyDescent="0.25">
      <c r="A249" s="25" t="s">
        <v>138</v>
      </c>
      <c r="B249" s="16">
        <v>903</v>
      </c>
      <c r="C249" s="20" t="s">
        <v>125</v>
      </c>
      <c r="D249" s="20" t="s">
        <v>147</v>
      </c>
      <c r="E249" s="20" t="s">
        <v>1065</v>
      </c>
      <c r="F249" s="20" t="s">
        <v>139</v>
      </c>
      <c r="G249" s="26">
        <f>G250</f>
        <v>0</v>
      </c>
      <c r="H249" s="26">
        <f>H250</f>
        <v>0</v>
      </c>
      <c r="I249" s="381" t="e">
        <f t="shared" si="15"/>
        <v>#DIV/0!</v>
      </c>
    </row>
    <row r="250" spans="1:9" ht="31.5" hidden="1" x14ac:dyDescent="0.25">
      <c r="A250" s="25" t="s">
        <v>140</v>
      </c>
      <c r="B250" s="16">
        <v>903</v>
      </c>
      <c r="C250" s="20" t="s">
        <v>125</v>
      </c>
      <c r="D250" s="20" t="s">
        <v>147</v>
      </c>
      <c r="E250" s="20" t="s">
        <v>1065</v>
      </c>
      <c r="F250" s="20" t="s">
        <v>141</v>
      </c>
      <c r="G250" s="26">
        <v>0</v>
      </c>
      <c r="H250" s="26">
        <v>0</v>
      </c>
      <c r="I250" s="381" t="e">
        <f t="shared" si="15"/>
        <v>#DIV/0!</v>
      </c>
    </row>
    <row r="251" spans="1:9" ht="40.700000000000003" hidden="1" customHeight="1" x14ac:dyDescent="0.25">
      <c r="A251" s="31" t="s">
        <v>782</v>
      </c>
      <c r="B251" s="16">
        <v>903</v>
      </c>
      <c r="C251" s="20" t="s">
        <v>125</v>
      </c>
      <c r="D251" s="20" t="s">
        <v>147</v>
      </c>
      <c r="E251" s="20" t="s">
        <v>1066</v>
      </c>
      <c r="F251" s="20"/>
      <c r="G251" s="26">
        <f>G252</f>
        <v>0</v>
      </c>
      <c r="H251" s="26">
        <f>H252</f>
        <v>0</v>
      </c>
      <c r="I251" s="381" t="e">
        <f t="shared" si="15"/>
        <v>#DIV/0!</v>
      </c>
    </row>
    <row r="252" spans="1:9" ht="31.5" hidden="1" x14ac:dyDescent="0.25">
      <c r="A252" s="25" t="s">
        <v>138</v>
      </c>
      <c r="B252" s="16">
        <v>903</v>
      </c>
      <c r="C252" s="20" t="s">
        <v>125</v>
      </c>
      <c r="D252" s="20" t="s">
        <v>147</v>
      </c>
      <c r="E252" s="20" t="s">
        <v>1066</v>
      </c>
      <c r="F252" s="20" t="s">
        <v>139</v>
      </c>
      <c r="G252" s="26">
        <f>G253</f>
        <v>0</v>
      </c>
      <c r="H252" s="26">
        <f>H253</f>
        <v>0</v>
      </c>
      <c r="I252" s="381" t="e">
        <f t="shared" si="15"/>
        <v>#DIV/0!</v>
      </c>
    </row>
    <row r="253" spans="1:9" ht="31.5" hidden="1" x14ac:dyDescent="0.25">
      <c r="A253" s="25" t="s">
        <v>140</v>
      </c>
      <c r="B253" s="16">
        <v>903</v>
      </c>
      <c r="C253" s="20" t="s">
        <v>125</v>
      </c>
      <c r="D253" s="20" t="s">
        <v>147</v>
      </c>
      <c r="E253" s="20" t="s">
        <v>1066</v>
      </c>
      <c r="F253" s="20" t="s">
        <v>141</v>
      </c>
      <c r="G253" s="26">
        <v>0</v>
      </c>
      <c r="H253" s="26">
        <v>0</v>
      </c>
      <c r="I253" s="381" t="e">
        <f t="shared" si="15"/>
        <v>#DIV/0!</v>
      </c>
    </row>
    <row r="254" spans="1:9" ht="47.25" x14ac:dyDescent="0.25">
      <c r="A254" s="41" t="s">
        <v>1367</v>
      </c>
      <c r="B254" s="19">
        <v>903</v>
      </c>
      <c r="C254" s="24" t="s">
        <v>125</v>
      </c>
      <c r="D254" s="24" t="s">
        <v>147</v>
      </c>
      <c r="E254" s="24" t="s">
        <v>715</v>
      </c>
      <c r="F254" s="24"/>
      <c r="G254" s="21">
        <f>G256</f>
        <v>5</v>
      </c>
      <c r="H254" s="21">
        <f>H256</f>
        <v>0</v>
      </c>
      <c r="I254" s="437">
        <f t="shared" si="15"/>
        <v>0</v>
      </c>
    </row>
    <row r="255" spans="1:9" s="203" customFormat="1" ht="44.45" customHeight="1" x14ac:dyDescent="0.25">
      <c r="A255" s="206" t="s">
        <v>856</v>
      </c>
      <c r="B255" s="19">
        <v>903</v>
      </c>
      <c r="C255" s="24" t="s">
        <v>125</v>
      </c>
      <c r="D255" s="24" t="s">
        <v>147</v>
      </c>
      <c r="E255" s="24" t="s">
        <v>862</v>
      </c>
      <c r="F255" s="24"/>
      <c r="G255" s="21">
        <f t="shared" ref="G255:H257" si="20">G256</f>
        <v>5</v>
      </c>
      <c r="H255" s="21">
        <f t="shared" si="20"/>
        <v>0</v>
      </c>
      <c r="I255" s="437">
        <f t="shared" si="15"/>
        <v>0</v>
      </c>
    </row>
    <row r="256" spans="1:9" ht="31.5" x14ac:dyDescent="0.25">
      <c r="A256" s="98" t="s">
        <v>786</v>
      </c>
      <c r="B256" s="16">
        <v>903</v>
      </c>
      <c r="C256" s="20" t="s">
        <v>125</v>
      </c>
      <c r="D256" s="20" t="s">
        <v>147</v>
      </c>
      <c r="E256" s="20" t="s">
        <v>857</v>
      </c>
      <c r="F256" s="20"/>
      <c r="G256" s="26">
        <f t="shared" si="20"/>
        <v>5</v>
      </c>
      <c r="H256" s="26">
        <f t="shared" si="20"/>
        <v>0</v>
      </c>
      <c r="I256" s="381">
        <f t="shared" si="15"/>
        <v>0</v>
      </c>
    </row>
    <row r="257" spans="1:9" ht="31.5" x14ac:dyDescent="0.25">
      <c r="A257" s="25" t="s">
        <v>138</v>
      </c>
      <c r="B257" s="16">
        <v>903</v>
      </c>
      <c r="C257" s="20" t="s">
        <v>125</v>
      </c>
      <c r="D257" s="20" t="s">
        <v>147</v>
      </c>
      <c r="E257" s="20" t="s">
        <v>857</v>
      </c>
      <c r="F257" s="20" t="s">
        <v>139</v>
      </c>
      <c r="G257" s="26">
        <f t="shared" si="20"/>
        <v>5</v>
      </c>
      <c r="H257" s="26">
        <f t="shared" si="20"/>
        <v>0</v>
      </c>
      <c r="I257" s="381">
        <f t="shared" si="15"/>
        <v>0</v>
      </c>
    </row>
    <row r="258" spans="1:9" ht="31.5" x14ac:dyDescent="0.25">
      <c r="A258" s="25" t="s">
        <v>140</v>
      </c>
      <c r="B258" s="16">
        <v>903</v>
      </c>
      <c r="C258" s="20" t="s">
        <v>125</v>
      </c>
      <c r="D258" s="20" t="s">
        <v>147</v>
      </c>
      <c r="E258" s="20" t="s">
        <v>857</v>
      </c>
      <c r="F258" s="20" t="s">
        <v>141</v>
      </c>
      <c r="G258" s="26">
        <v>5</v>
      </c>
      <c r="H258" s="26">
        <v>0</v>
      </c>
      <c r="I258" s="381">
        <f t="shared" si="15"/>
        <v>0</v>
      </c>
    </row>
    <row r="259" spans="1:9" ht="21.2" customHeight="1" x14ac:dyDescent="0.25">
      <c r="A259" s="212" t="s">
        <v>239</v>
      </c>
      <c r="B259" s="19">
        <v>903</v>
      </c>
      <c r="C259" s="24" t="s">
        <v>157</v>
      </c>
      <c r="D259" s="20"/>
      <c r="E259" s="20"/>
      <c r="F259" s="32"/>
      <c r="G259" s="21">
        <f t="shared" ref="G259:H261" si="21">G260</f>
        <v>208.6</v>
      </c>
      <c r="H259" s="21">
        <f t="shared" si="21"/>
        <v>0</v>
      </c>
      <c r="I259" s="437">
        <f t="shared" si="15"/>
        <v>0</v>
      </c>
    </row>
    <row r="260" spans="1:9" ht="21.2" customHeight="1" x14ac:dyDescent="0.25">
      <c r="A260" s="23" t="s">
        <v>244</v>
      </c>
      <c r="B260" s="19">
        <v>903</v>
      </c>
      <c r="C260" s="24" t="s">
        <v>157</v>
      </c>
      <c r="D260" s="24" t="s">
        <v>245</v>
      </c>
      <c r="E260" s="20"/>
      <c r="F260" s="32"/>
      <c r="G260" s="21">
        <f t="shared" si="21"/>
        <v>208.6</v>
      </c>
      <c r="H260" s="21">
        <f t="shared" si="21"/>
        <v>0</v>
      </c>
      <c r="I260" s="437">
        <f t="shared" si="15"/>
        <v>0</v>
      </c>
    </row>
    <row r="261" spans="1:9" ht="54" customHeight="1" x14ac:dyDescent="0.25">
      <c r="A261" s="23" t="s">
        <v>1364</v>
      </c>
      <c r="B261" s="19">
        <v>903</v>
      </c>
      <c r="C261" s="24" t="s">
        <v>157</v>
      </c>
      <c r="D261" s="24" t="s">
        <v>245</v>
      </c>
      <c r="E261" s="24" t="s">
        <v>351</v>
      </c>
      <c r="F261" s="217"/>
      <c r="G261" s="21">
        <f t="shared" si="21"/>
        <v>208.6</v>
      </c>
      <c r="H261" s="21">
        <f t="shared" si="21"/>
        <v>0</v>
      </c>
      <c r="I261" s="437">
        <f t="shared" si="15"/>
        <v>0</v>
      </c>
    </row>
    <row r="262" spans="1:9" ht="53.45" customHeight="1" x14ac:dyDescent="0.25">
      <c r="A262" s="23" t="s">
        <v>374</v>
      </c>
      <c r="B262" s="19">
        <v>903</v>
      </c>
      <c r="C262" s="24" t="s">
        <v>157</v>
      </c>
      <c r="D262" s="24" t="s">
        <v>245</v>
      </c>
      <c r="E262" s="24" t="s">
        <v>363</v>
      </c>
      <c r="F262" s="24"/>
      <c r="G262" s="21">
        <f>G263+G267+G271+G275</f>
        <v>208.6</v>
      </c>
      <c r="H262" s="21">
        <f>H263+H267+H271+H275</f>
        <v>0</v>
      </c>
      <c r="I262" s="437">
        <f t="shared" si="15"/>
        <v>0</v>
      </c>
    </row>
    <row r="263" spans="1:9" s="203" customFormat="1" ht="33" hidden="1" customHeight="1" x14ac:dyDescent="0.25">
      <c r="A263" s="210" t="s">
        <v>1053</v>
      </c>
      <c r="B263" s="19">
        <v>903</v>
      </c>
      <c r="C263" s="24" t="s">
        <v>157</v>
      </c>
      <c r="D263" s="24" t="s">
        <v>245</v>
      </c>
      <c r="E263" s="24" t="s">
        <v>917</v>
      </c>
      <c r="F263" s="24"/>
      <c r="G263" s="21">
        <f t="shared" ref="G263:H265" si="22">G264</f>
        <v>0</v>
      </c>
      <c r="H263" s="21">
        <f t="shared" si="22"/>
        <v>0</v>
      </c>
      <c r="I263" s="437" t="e">
        <f t="shared" si="15"/>
        <v>#DIV/0!</v>
      </c>
    </row>
    <row r="264" spans="1:9" ht="47.25" hidden="1" customHeight="1" x14ac:dyDescent="0.25">
      <c r="A264" s="25" t="s">
        <v>1104</v>
      </c>
      <c r="B264" s="16">
        <v>903</v>
      </c>
      <c r="C264" s="20" t="s">
        <v>157</v>
      </c>
      <c r="D264" s="20" t="s">
        <v>245</v>
      </c>
      <c r="E264" s="20" t="s">
        <v>1331</v>
      </c>
      <c r="F264" s="20"/>
      <c r="G264" s="26">
        <f t="shared" si="22"/>
        <v>0</v>
      </c>
      <c r="H264" s="26">
        <f t="shared" si="22"/>
        <v>0</v>
      </c>
      <c r="I264" s="437" t="e">
        <f t="shared" si="15"/>
        <v>#DIV/0!</v>
      </c>
    </row>
    <row r="265" spans="1:9" ht="21.2" hidden="1" customHeight="1" x14ac:dyDescent="0.25">
      <c r="A265" s="25" t="s">
        <v>255</v>
      </c>
      <c r="B265" s="16">
        <v>903</v>
      </c>
      <c r="C265" s="20" t="s">
        <v>157</v>
      </c>
      <c r="D265" s="20" t="s">
        <v>245</v>
      </c>
      <c r="E265" s="20" t="s">
        <v>1331</v>
      </c>
      <c r="F265" s="20" t="s">
        <v>256</v>
      </c>
      <c r="G265" s="26">
        <f t="shared" si="22"/>
        <v>0</v>
      </c>
      <c r="H265" s="26">
        <f t="shared" si="22"/>
        <v>0</v>
      </c>
      <c r="I265" s="437" t="e">
        <f t="shared" si="15"/>
        <v>#DIV/0!</v>
      </c>
    </row>
    <row r="266" spans="1:9" ht="29.25" hidden="1" customHeight="1" x14ac:dyDescent="0.25">
      <c r="A266" s="25" t="s">
        <v>257</v>
      </c>
      <c r="B266" s="16">
        <v>903</v>
      </c>
      <c r="C266" s="20" t="s">
        <v>157</v>
      </c>
      <c r="D266" s="20" t="s">
        <v>245</v>
      </c>
      <c r="E266" s="20" t="s">
        <v>1331</v>
      </c>
      <c r="F266" s="20" t="s">
        <v>258</v>
      </c>
      <c r="G266" s="26">
        <v>0</v>
      </c>
      <c r="H266" s="26">
        <v>0</v>
      </c>
      <c r="I266" s="437" t="e">
        <f t="shared" si="15"/>
        <v>#DIV/0!</v>
      </c>
    </row>
    <row r="267" spans="1:9" s="203" customFormat="1" ht="33" customHeight="1" x14ac:dyDescent="0.25">
      <c r="A267" s="23" t="s">
        <v>1051</v>
      </c>
      <c r="B267" s="19">
        <v>903</v>
      </c>
      <c r="C267" s="24" t="s">
        <v>157</v>
      </c>
      <c r="D267" s="24" t="s">
        <v>245</v>
      </c>
      <c r="E267" s="24" t="s">
        <v>1214</v>
      </c>
      <c r="F267" s="24"/>
      <c r="G267" s="21">
        <f t="shared" ref="G267:H269" si="23">G268</f>
        <v>208.6</v>
      </c>
      <c r="H267" s="21">
        <f t="shared" si="23"/>
        <v>0</v>
      </c>
      <c r="I267" s="437">
        <f t="shared" ref="I267:I330" si="24">H267/G267*100</f>
        <v>0</v>
      </c>
    </row>
    <row r="268" spans="1:9" s="203" customFormat="1" ht="94.5" x14ac:dyDescent="0.25">
      <c r="A268" s="25" t="s">
        <v>380</v>
      </c>
      <c r="B268" s="16">
        <v>903</v>
      </c>
      <c r="C268" s="20" t="s">
        <v>157</v>
      </c>
      <c r="D268" s="20" t="s">
        <v>245</v>
      </c>
      <c r="E268" s="20" t="s">
        <v>1215</v>
      </c>
      <c r="F268" s="20"/>
      <c r="G268" s="26">
        <f t="shared" si="23"/>
        <v>208.6</v>
      </c>
      <c r="H268" s="26">
        <f t="shared" si="23"/>
        <v>0</v>
      </c>
      <c r="I268" s="381">
        <f t="shared" si="24"/>
        <v>0</v>
      </c>
    </row>
    <row r="269" spans="1:9" s="203" customFormat="1" ht="39.200000000000003" customHeight="1" x14ac:dyDescent="0.25">
      <c r="A269" s="25" t="s">
        <v>279</v>
      </c>
      <c r="B269" s="16">
        <v>903</v>
      </c>
      <c r="C269" s="20" t="s">
        <v>157</v>
      </c>
      <c r="D269" s="20" t="s">
        <v>245</v>
      </c>
      <c r="E269" s="20" t="s">
        <v>1215</v>
      </c>
      <c r="F269" s="20" t="s">
        <v>280</v>
      </c>
      <c r="G269" s="26">
        <f t="shared" si="23"/>
        <v>208.6</v>
      </c>
      <c r="H269" s="26">
        <f t="shared" si="23"/>
        <v>0</v>
      </c>
      <c r="I269" s="381">
        <f t="shared" si="24"/>
        <v>0</v>
      </c>
    </row>
    <row r="270" spans="1:9" s="203" customFormat="1" ht="73.5" customHeight="1" x14ac:dyDescent="0.25">
      <c r="A270" s="25" t="s">
        <v>1100</v>
      </c>
      <c r="B270" s="16">
        <v>903</v>
      </c>
      <c r="C270" s="20" t="s">
        <v>157</v>
      </c>
      <c r="D270" s="20" t="s">
        <v>245</v>
      </c>
      <c r="E270" s="20" t="s">
        <v>1215</v>
      </c>
      <c r="F270" s="20" t="s">
        <v>379</v>
      </c>
      <c r="G270" s="26">
        <f>8.6+200</f>
        <v>208.6</v>
      </c>
      <c r="H270" s="26">
        <v>0</v>
      </c>
      <c r="I270" s="381">
        <f t="shared" si="24"/>
        <v>0</v>
      </c>
    </row>
    <row r="271" spans="1:9" s="203" customFormat="1" ht="21.2" hidden="1" customHeight="1" x14ac:dyDescent="0.25">
      <c r="A271" s="23" t="s">
        <v>1005</v>
      </c>
      <c r="B271" s="19">
        <v>903</v>
      </c>
      <c r="C271" s="24" t="s">
        <v>157</v>
      </c>
      <c r="D271" s="24" t="s">
        <v>245</v>
      </c>
      <c r="E271" s="24" t="s">
        <v>1324</v>
      </c>
      <c r="F271" s="24"/>
      <c r="G271" s="21">
        <f t="shared" ref="G271:H273" si="25">G272</f>
        <v>0</v>
      </c>
      <c r="H271" s="21">
        <f t="shared" si="25"/>
        <v>0</v>
      </c>
      <c r="I271" s="381" t="e">
        <f t="shared" si="24"/>
        <v>#DIV/0!</v>
      </c>
    </row>
    <row r="272" spans="1:9" s="203" customFormat="1" ht="41.25" hidden="1" customHeight="1" x14ac:dyDescent="0.25">
      <c r="A272" s="25" t="s">
        <v>384</v>
      </c>
      <c r="B272" s="16">
        <v>903</v>
      </c>
      <c r="C272" s="20" t="s">
        <v>157</v>
      </c>
      <c r="D272" s="20" t="s">
        <v>245</v>
      </c>
      <c r="E272" s="20" t="s">
        <v>1325</v>
      </c>
      <c r="F272" s="20"/>
      <c r="G272" s="26">
        <f t="shared" si="25"/>
        <v>0</v>
      </c>
      <c r="H272" s="26">
        <f t="shared" si="25"/>
        <v>0</v>
      </c>
      <c r="I272" s="381" t="e">
        <f t="shared" si="24"/>
        <v>#DIV/0!</v>
      </c>
    </row>
    <row r="273" spans="1:9" s="203" customFormat="1" ht="29.25" hidden="1" customHeight="1" x14ac:dyDescent="0.25">
      <c r="A273" s="25" t="s">
        <v>138</v>
      </c>
      <c r="B273" s="16">
        <v>903</v>
      </c>
      <c r="C273" s="20" t="s">
        <v>157</v>
      </c>
      <c r="D273" s="20" t="s">
        <v>245</v>
      </c>
      <c r="E273" s="20" t="s">
        <v>1325</v>
      </c>
      <c r="F273" s="20" t="s">
        <v>139</v>
      </c>
      <c r="G273" s="26">
        <f t="shared" si="25"/>
        <v>0</v>
      </c>
      <c r="H273" s="26">
        <f t="shared" si="25"/>
        <v>0</v>
      </c>
      <c r="I273" s="381" t="e">
        <f t="shared" si="24"/>
        <v>#DIV/0!</v>
      </c>
    </row>
    <row r="274" spans="1:9" s="203" customFormat="1" ht="29.25" hidden="1" customHeight="1" x14ac:dyDescent="0.25">
      <c r="A274" s="25" t="s">
        <v>140</v>
      </c>
      <c r="B274" s="16">
        <v>903</v>
      </c>
      <c r="C274" s="20" t="s">
        <v>157</v>
      </c>
      <c r="D274" s="20" t="s">
        <v>245</v>
      </c>
      <c r="E274" s="20" t="s">
        <v>1325</v>
      </c>
      <c r="F274" s="20" t="s">
        <v>141</v>
      </c>
      <c r="G274" s="26">
        <v>0</v>
      </c>
      <c r="H274" s="26">
        <v>0</v>
      </c>
      <c r="I274" s="381" t="e">
        <f t="shared" si="24"/>
        <v>#DIV/0!</v>
      </c>
    </row>
    <row r="275" spans="1:9" s="203" customFormat="1" ht="33.75" hidden="1" customHeight="1" x14ac:dyDescent="0.25">
      <c r="A275" s="207" t="s">
        <v>1113</v>
      </c>
      <c r="B275" s="19">
        <v>903</v>
      </c>
      <c r="C275" s="24" t="s">
        <v>157</v>
      </c>
      <c r="D275" s="24" t="s">
        <v>245</v>
      </c>
      <c r="E275" s="24" t="s">
        <v>1216</v>
      </c>
      <c r="F275" s="24"/>
      <c r="G275" s="21">
        <f t="shared" ref="G275:H277" si="26">G276</f>
        <v>0</v>
      </c>
      <c r="H275" s="21">
        <f t="shared" si="26"/>
        <v>0</v>
      </c>
      <c r="I275" s="381" t="e">
        <f t="shared" si="24"/>
        <v>#DIV/0!</v>
      </c>
    </row>
    <row r="276" spans="1:9" s="203" customFormat="1" ht="29.25" hidden="1" customHeight="1" x14ac:dyDescent="0.25">
      <c r="A276" s="226" t="s">
        <v>1162</v>
      </c>
      <c r="B276" s="16">
        <v>903</v>
      </c>
      <c r="C276" s="20" t="s">
        <v>157</v>
      </c>
      <c r="D276" s="20" t="s">
        <v>245</v>
      </c>
      <c r="E276" s="20" t="s">
        <v>1217</v>
      </c>
      <c r="F276" s="20"/>
      <c r="G276" s="26">
        <f t="shared" si="26"/>
        <v>0</v>
      </c>
      <c r="H276" s="26">
        <f t="shared" si="26"/>
        <v>0</v>
      </c>
      <c r="I276" s="381" t="e">
        <f t="shared" si="24"/>
        <v>#DIV/0!</v>
      </c>
    </row>
    <row r="277" spans="1:9" s="203" customFormat="1" ht="29.25" hidden="1" customHeight="1" x14ac:dyDescent="0.25">
      <c r="A277" s="25" t="s">
        <v>138</v>
      </c>
      <c r="B277" s="16">
        <v>903</v>
      </c>
      <c r="C277" s="20" t="s">
        <v>157</v>
      </c>
      <c r="D277" s="20" t="s">
        <v>245</v>
      </c>
      <c r="E277" s="20" t="s">
        <v>1217</v>
      </c>
      <c r="F277" s="20" t="s">
        <v>139</v>
      </c>
      <c r="G277" s="26">
        <f t="shared" si="26"/>
        <v>0</v>
      </c>
      <c r="H277" s="26">
        <f t="shared" si="26"/>
        <v>0</v>
      </c>
      <c r="I277" s="381" t="e">
        <f t="shared" si="24"/>
        <v>#DIV/0!</v>
      </c>
    </row>
    <row r="278" spans="1:9" s="203" customFormat="1" ht="29.25" hidden="1" customHeight="1" x14ac:dyDescent="0.25">
      <c r="A278" s="25" t="s">
        <v>140</v>
      </c>
      <c r="B278" s="16">
        <v>903</v>
      </c>
      <c r="C278" s="20" t="s">
        <v>157</v>
      </c>
      <c r="D278" s="20" t="s">
        <v>245</v>
      </c>
      <c r="E278" s="20" t="s">
        <v>1217</v>
      </c>
      <c r="F278" s="20" t="s">
        <v>141</v>
      </c>
      <c r="G278" s="26">
        <v>0</v>
      </c>
      <c r="H278" s="26">
        <v>0</v>
      </c>
      <c r="I278" s="381" t="e">
        <f t="shared" si="24"/>
        <v>#DIV/0!</v>
      </c>
    </row>
    <row r="279" spans="1:9" ht="15.75" x14ac:dyDescent="0.25">
      <c r="A279" s="23" t="s">
        <v>270</v>
      </c>
      <c r="B279" s="19">
        <v>903</v>
      </c>
      <c r="C279" s="24" t="s">
        <v>271</v>
      </c>
      <c r="D279" s="20"/>
      <c r="E279" s="20"/>
      <c r="F279" s="20"/>
      <c r="G279" s="21">
        <f>G280+G326</f>
        <v>18860.620000000003</v>
      </c>
      <c r="H279" s="21">
        <f>H280+H326</f>
        <v>3852.971</v>
      </c>
      <c r="I279" s="437">
        <f t="shared" si="24"/>
        <v>20.428655049515868</v>
      </c>
    </row>
    <row r="280" spans="1:9" ht="15.75" x14ac:dyDescent="0.25">
      <c r="A280" s="23" t="s">
        <v>272</v>
      </c>
      <c r="B280" s="19">
        <v>903</v>
      </c>
      <c r="C280" s="24" t="s">
        <v>271</v>
      </c>
      <c r="D280" s="24" t="s">
        <v>222</v>
      </c>
      <c r="E280" s="24"/>
      <c r="F280" s="24"/>
      <c r="G280" s="21">
        <f>G281+G321+G316</f>
        <v>18100.620000000003</v>
      </c>
      <c r="H280" s="21">
        <f>H281+H321+H316</f>
        <v>3704.6550000000002</v>
      </c>
      <c r="I280" s="437">
        <f t="shared" si="24"/>
        <v>20.467006102553391</v>
      </c>
    </row>
    <row r="281" spans="1:9" ht="31.5" x14ac:dyDescent="0.25">
      <c r="A281" s="23" t="s">
        <v>1368</v>
      </c>
      <c r="B281" s="19">
        <v>903</v>
      </c>
      <c r="C281" s="24" t="s">
        <v>271</v>
      </c>
      <c r="D281" s="24" t="s">
        <v>222</v>
      </c>
      <c r="E281" s="24" t="s">
        <v>274</v>
      </c>
      <c r="F281" s="24"/>
      <c r="G281" s="21">
        <f>G282+G293+G302+G306</f>
        <v>17696.72</v>
      </c>
      <c r="H281" s="21">
        <f>H282+H293+H302+H306</f>
        <v>3650.721</v>
      </c>
      <c r="I281" s="437">
        <f t="shared" si="24"/>
        <v>20.629365215700986</v>
      </c>
    </row>
    <row r="282" spans="1:9" s="203" customFormat="1" ht="31.5" x14ac:dyDescent="0.25">
      <c r="A282" s="23" t="s">
        <v>1314</v>
      </c>
      <c r="B282" s="19">
        <v>903</v>
      </c>
      <c r="C282" s="24" t="s">
        <v>271</v>
      </c>
      <c r="D282" s="24" t="s">
        <v>222</v>
      </c>
      <c r="E282" s="24" t="s">
        <v>1218</v>
      </c>
      <c r="F282" s="24"/>
      <c r="G282" s="44">
        <f>G283+G290</f>
        <v>15820.32</v>
      </c>
      <c r="H282" s="44">
        <f>H283+H290</f>
        <v>2990.1059999999998</v>
      </c>
      <c r="I282" s="437">
        <f t="shared" si="24"/>
        <v>18.90041415091477</v>
      </c>
    </row>
    <row r="283" spans="1:9" s="203" customFormat="1" ht="15.75" x14ac:dyDescent="0.25">
      <c r="A283" s="25" t="s">
        <v>810</v>
      </c>
      <c r="B283" s="16">
        <v>903</v>
      </c>
      <c r="C283" s="20" t="s">
        <v>271</v>
      </c>
      <c r="D283" s="20" t="s">
        <v>222</v>
      </c>
      <c r="E283" s="20" t="s">
        <v>1219</v>
      </c>
      <c r="F283" s="20"/>
      <c r="G283" s="27">
        <f>G284+G286+G288</f>
        <v>8901.2199999999993</v>
      </c>
      <c r="H283" s="27">
        <f>H284+H286+H288</f>
        <v>1624.5029999999999</v>
      </c>
      <c r="I283" s="381">
        <f t="shared" si="24"/>
        <v>18.250340964497003</v>
      </c>
    </row>
    <row r="284" spans="1:9" s="203" customFormat="1" ht="63" x14ac:dyDescent="0.25">
      <c r="A284" s="25" t="s">
        <v>134</v>
      </c>
      <c r="B284" s="16">
        <v>903</v>
      </c>
      <c r="C284" s="20" t="s">
        <v>271</v>
      </c>
      <c r="D284" s="20" t="s">
        <v>222</v>
      </c>
      <c r="E284" s="20" t="s">
        <v>1219</v>
      </c>
      <c r="F284" s="20" t="s">
        <v>135</v>
      </c>
      <c r="G284" s="27">
        <f>G285</f>
        <v>7320.7199999999993</v>
      </c>
      <c r="H284" s="27">
        <f>H285</f>
        <v>1132.3019999999999</v>
      </c>
      <c r="I284" s="381">
        <f t="shared" si="24"/>
        <v>15.46708520473396</v>
      </c>
    </row>
    <row r="285" spans="1:9" s="203" customFormat="1" ht="15.75" x14ac:dyDescent="0.25">
      <c r="A285" s="46" t="s">
        <v>349</v>
      </c>
      <c r="B285" s="16">
        <v>903</v>
      </c>
      <c r="C285" s="20" t="s">
        <v>271</v>
      </c>
      <c r="D285" s="20" t="s">
        <v>222</v>
      </c>
      <c r="E285" s="20" t="s">
        <v>1219</v>
      </c>
      <c r="F285" s="20" t="s">
        <v>216</v>
      </c>
      <c r="G285" s="27">
        <f>7440.82-126+5.9</f>
        <v>7320.7199999999993</v>
      </c>
      <c r="H285" s="27">
        <v>1132.3019999999999</v>
      </c>
      <c r="I285" s="381">
        <f t="shared" si="24"/>
        <v>15.46708520473396</v>
      </c>
    </row>
    <row r="286" spans="1:9" s="203" customFormat="1" ht="31.5" x14ac:dyDescent="0.25">
      <c r="A286" s="25" t="s">
        <v>138</v>
      </c>
      <c r="B286" s="16">
        <v>903</v>
      </c>
      <c r="C286" s="20" t="s">
        <v>271</v>
      </c>
      <c r="D286" s="20" t="s">
        <v>222</v>
      </c>
      <c r="E286" s="20" t="s">
        <v>1219</v>
      </c>
      <c r="F286" s="20" t="s">
        <v>139</v>
      </c>
      <c r="G286" s="27">
        <f>G287</f>
        <v>1513.7</v>
      </c>
      <c r="H286" s="27">
        <f>H287</f>
        <v>479.43099999999998</v>
      </c>
      <c r="I286" s="381">
        <f t="shared" si="24"/>
        <v>31.672788531413094</v>
      </c>
    </row>
    <row r="287" spans="1:9" s="203" customFormat="1" ht="31.5" x14ac:dyDescent="0.25">
      <c r="A287" s="25" t="s">
        <v>140</v>
      </c>
      <c r="B287" s="16">
        <v>903</v>
      </c>
      <c r="C287" s="20" t="s">
        <v>271</v>
      </c>
      <c r="D287" s="20" t="s">
        <v>222</v>
      </c>
      <c r="E287" s="20" t="s">
        <v>1219</v>
      </c>
      <c r="F287" s="20" t="s">
        <v>141</v>
      </c>
      <c r="G287" s="27">
        <f>1906.9-303.2-30-60</f>
        <v>1513.7</v>
      </c>
      <c r="H287" s="27">
        <v>479.43099999999998</v>
      </c>
      <c r="I287" s="381">
        <f t="shared" si="24"/>
        <v>31.672788531413094</v>
      </c>
    </row>
    <row r="288" spans="1:9" s="203" customFormat="1" ht="15.75" x14ac:dyDescent="0.25">
      <c r="A288" s="25" t="s">
        <v>142</v>
      </c>
      <c r="B288" s="16">
        <v>903</v>
      </c>
      <c r="C288" s="20" t="s">
        <v>271</v>
      </c>
      <c r="D288" s="20" t="s">
        <v>222</v>
      </c>
      <c r="E288" s="20" t="s">
        <v>1219</v>
      </c>
      <c r="F288" s="20" t="s">
        <v>152</v>
      </c>
      <c r="G288" s="27">
        <f>G289</f>
        <v>66.8</v>
      </c>
      <c r="H288" s="27">
        <f>H289</f>
        <v>12.77</v>
      </c>
      <c r="I288" s="381">
        <f t="shared" si="24"/>
        <v>19.116766467065869</v>
      </c>
    </row>
    <row r="289" spans="1:9" s="203" customFormat="1" ht="15.75" x14ac:dyDescent="0.25">
      <c r="A289" s="25" t="s">
        <v>714</v>
      </c>
      <c r="B289" s="16">
        <v>903</v>
      </c>
      <c r="C289" s="20" t="s">
        <v>271</v>
      </c>
      <c r="D289" s="20" t="s">
        <v>222</v>
      </c>
      <c r="E289" s="20" t="s">
        <v>1219</v>
      </c>
      <c r="F289" s="20" t="s">
        <v>145</v>
      </c>
      <c r="G289" s="27">
        <f>78-11.2</f>
        <v>66.8</v>
      </c>
      <c r="H289" s="27">
        <v>12.77</v>
      </c>
      <c r="I289" s="381">
        <f t="shared" si="24"/>
        <v>19.116766467065869</v>
      </c>
    </row>
    <row r="290" spans="1:9" s="203" customFormat="1" ht="22.7" customHeight="1" x14ac:dyDescent="0.25">
      <c r="A290" s="31" t="s">
        <v>1554</v>
      </c>
      <c r="B290" s="16">
        <v>903</v>
      </c>
      <c r="C290" s="20" t="s">
        <v>271</v>
      </c>
      <c r="D290" s="20" t="s">
        <v>222</v>
      </c>
      <c r="E290" s="20" t="s">
        <v>1525</v>
      </c>
      <c r="F290" s="20"/>
      <c r="G290" s="26">
        <f>G291</f>
        <v>6919.1</v>
      </c>
      <c r="H290" s="26">
        <f>H291</f>
        <v>1365.6030000000001</v>
      </c>
      <c r="I290" s="381">
        <f t="shared" si="24"/>
        <v>19.736714312555101</v>
      </c>
    </row>
    <row r="291" spans="1:9" s="203" customFormat="1" ht="63" x14ac:dyDescent="0.25">
      <c r="A291" s="25" t="s">
        <v>134</v>
      </c>
      <c r="B291" s="16">
        <v>903</v>
      </c>
      <c r="C291" s="20" t="s">
        <v>271</v>
      </c>
      <c r="D291" s="20" t="s">
        <v>222</v>
      </c>
      <c r="E291" s="20" t="s">
        <v>1525</v>
      </c>
      <c r="F291" s="20" t="s">
        <v>135</v>
      </c>
      <c r="G291" s="26">
        <f>G292</f>
        <v>6919.1</v>
      </c>
      <c r="H291" s="26">
        <f>H292</f>
        <v>1365.6030000000001</v>
      </c>
      <c r="I291" s="381">
        <f t="shared" si="24"/>
        <v>19.736714312555101</v>
      </c>
    </row>
    <row r="292" spans="1:9" s="203" customFormat="1" ht="15.75" x14ac:dyDescent="0.25">
      <c r="A292" s="25" t="s">
        <v>215</v>
      </c>
      <c r="B292" s="16">
        <v>903</v>
      </c>
      <c r="C292" s="20" t="s">
        <v>271</v>
      </c>
      <c r="D292" s="20" t="s">
        <v>222</v>
      </c>
      <c r="E292" s="20" t="s">
        <v>1525</v>
      </c>
      <c r="F292" s="20" t="s">
        <v>216</v>
      </c>
      <c r="G292" s="26">
        <f>6346.52+1155.4-582.82</f>
        <v>6919.1</v>
      </c>
      <c r="H292" s="26">
        <v>1365.6030000000001</v>
      </c>
      <c r="I292" s="381">
        <f t="shared" si="24"/>
        <v>19.736714312555101</v>
      </c>
    </row>
    <row r="293" spans="1:9" s="203" customFormat="1" ht="29.25" customHeight="1" x14ac:dyDescent="0.25">
      <c r="A293" s="211" t="s">
        <v>1317</v>
      </c>
      <c r="B293" s="19">
        <v>903</v>
      </c>
      <c r="C293" s="24" t="s">
        <v>271</v>
      </c>
      <c r="D293" s="24" t="s">
        <v>222</v>
      </c>
      <c r="E293" s="24" t="s">
        <v>1220</v>
      </c>
      <c r="F293" s="24"/>
      <c r="G293" s="44">
        <f>G294+G297</f>
        <v>295</v>
      </c>
      <c r="H293" s="44">
        <f>H294+H297</f>
        <v>239.87299999999999</v>
      </c>
      <c r="I293" s="437">
        <f t="shared" si="24"/>
        <v>81.312881355932205</v>
      </c>
    </row>
    <row r="294" spans="1:9" ht="15.75" x14ac:dyDescent="0.25">
      <c r="A294" s="197" t="s">
        <v>809</v>
      </c>
      <c r="B294" s="16">
        <v>903</v>
      </c>
      <c r="C294" s="20" t="s">
        <v>271</v>
      </c>
      <c r="D294" s="20" t="s">
        <v>222</v>
      </c>
      <c r="E294" s="20" t="s">
        <v>1221</v>
      </c>
      <c r="F294" s="20"/>
      <c r="G294" s="27">
        <f>G295</f>
        <v>45</v>
      </c>
      <c r="H294" s="27">
        <f>H295</f>
        <v>0</v>
      </c>
      <c r="I294" s="381">
        <f t="shared" si="24"/>
        <v>0</v>
      </c>
    </row>
    <row r="295" spans="1:9" ht="15.75" x14ac:dyDescent="0.25">
      <c r="A295" s="25" t="s">
        <v>255</v>
      </c>
      <c r="B295" s="16">
        <v>903</v>
      </c>
      <c r="C295" s="20" t="s">
        <v>271</v>
      </c>
      <c r="D295" s="20" t="s">
        <v>222</v>
      </c>
      <c r="E295" s="20" t="s">
        <v>1221</v>
      </c>
      <c r="F295" s="20" t="s">
        <v>256</v>
      </c>
      <c r="G295" s="27">
        <f>G296</f>
        <v>45</v>
      </c>
      <c r="H295" s="27">
        <f>H296</f>
        <v>0</v>
      </c>
      <c r="I295" s="381">
        <f t="shared" si="24"/>
        <v>0</v>
      </c>
    </row>
    <row r="296" spans="1:9" ht="15.75" x14ac:dyDescent="0.25">
      <c r="A296" s="25" t="s">
        <v>830</v>
      </c>
      <c r="B296" s="16">
        <v>903</v>
      </c>
      <c r="C296" s="20" t="s">
        <v>271</v>
      </c>
      <c r="D296" s="20" t="s">
        <v>222</v>
      </c>
      <c r="E296" s="20" t="s">
        <v>1221</v>
      </c>
      <c r="F296" s="20" t="s">
        <v>829</v>
      </c>
      <c r="G296" s="27">
        <v>45</v>
      </c>
      <c r="H296" s="27">
        <v>0</v>
      </c>
      <c r="I296" s="381">
        <f t="shared" si="24"/>
        <v>0</v>
      </c>
    </row>
    <row r="297" spans="1:9" ht="36" customHeight="1" x14ac:dyDescent="0.25">
      <c r="A297" s="31" t="s">
        <v>826</v>
      </c>
      <c r="B297" s="16">
        <v>903</v>
      </c>
      <c r="C297" s="20" t="s">
        <v>271</v>
      </c>
      <c r="D297" s="20" t="s">
        <v>222</v>
      </c>
      <c r="E297" s="20" t="s">
        <v>1222</v>
      </c>
      <c r="F297" s="20"/>
      <c r="G297" s="27">
        <f>G300+G298</f>
        <v>250.00000000000003</v>
      </c>
      <c r="H297" s="27">
        <f>H300+H298</f>
        <v>239.87299999999999</v>
      </c>
      <c r="I297" s="381">
        <f t="shared" si="24"/>
        <v>95.94919999999999</v>
      </c>
    </row>
    <row r="298" spans="1:9" ht="63" x14ac:dyDescent="0.25">
      <c r="A298" s="25" t="s">
        <v>134</v>
      </c>
      <c r="B298" s="16">
        <v>903</v>
      </c>
      <c r="C298" s="20" t="s">
        <v>271</v>
      </c>
      <c r="D298" s="20" t="s">
        <v>222</v>
      </c>
      <c r="E298" s="20" t="s">
        <v>1222</v>
      </c>
      <c r="F298" s="20" t="s">
        <v>135</v>
      </c>
      <c r="G298" s="27">
        <f>G299</f>
        <v>250.00000000000003</v>
      </c>
      <c r="H298" s="27">
        <f>H299</f>
        <v>239.87299999999999</v>
      </c>
      <c r="I298" s="381">
        <f t="shared" si="24"/>
        <v>95.94919999999999</v>
      </c>
    </row>
    <row r="299" spans="1:9" ht="24.75" customHeight="1" x14ac:dyDescent="0.25">
      <c r="A299" s="46" t="s">
        <v>349</v>
      </c>
      <c r="B299" s="16">
        <v>903</v>
      </c>
      <c r="C299" s="20" t="s">
        <v>271</v>
      </c>
      <c r="D299" s="20" t="s">
        <v>222</v>
      </c>
      <c r="E299" s="20" t="s">
        <v>1222</v>
      </c>
      <c r="F299" s="20" t="s">
        <v>216</v>
      </c>
      <c r="G299" s="27">
        <f>264.6-14.6</f>
        <v>250.00000000000003</v>
      </c>
      <c r="H299" s="27">
        <v>239.87299999999999</v>
      </c>
      <c r="I299" s="381">
        <f t="shared" si="24"/>
        <v>95.94919999999999</v>
      </c>
    </row>
    <row r="300" spans="1:9" ht="30.75" hidden="1" customHeight="1" x14ac:dyDescent="0.25">
      <c r="A300" s="25" t="s">
        <v>138</v>
      </c>
      <c r="B300" s="16">
        <v>903</v>
      </c>
      <c r="C300" s="20" t="s">
        <v>271</v>
      </c>
      <c r="D300" s="20" t="s">
        <v>222</v>
      </c>
      <c r="E300" s="20" t="s">
        <v>1222</v>
      </c>
      <c r="F300" s="20" t="s">
        <v>139</v>
      </c>
      <c r="G300" s="27">
        <f>G301</f>
        <v>0</v>
      </c>
      <c r="H300" s="27">
        <f>H301</f>
        <v>0</v>
      </c>
      <c r="I300" s="381" t="e">
        <f t="shared" si="24"/>
        <v>#DIV/0!</v>
      </c>
    </row>
    <row r="301" spans="1:9" ht="39.200000000000003" hidden="1" customHeight="1" x14ac:dyDescent="0.25">
      <c r="A301" s="25" t="s">
        <v>140</v>
      </c>
      <c r="B301" s="16">
        <v>903</v>
      </c>
      <c r="C301" s="20" t="s">
        <v>271</v>
      </c>
      <c r="D301" s="20" t="s">
        <v>222</v>
      </c>
      <c r="E301" s="20" t="s">
        <v>1222</v>
      </c>
      <c r="F301" s="20" t="s">
        <v>141</v>
      </c>
      <c r="G301" s="27">
        <f>300-300</f>
        <v>0</v>
      </c>
      <c r="H301" s="27">
        <f>300-300</f>
        <v>0</v>
      </c>
      <c r="I301" s="381" t="e">
        <f t="shared" si="24"/>
        <v>#DIV/0!</v>
      </c>
    </row>
    <row r="302" spans="1:9" s="203" customFormat="1" ht="39.200000000000003" customHeight="1" x14ac:dyDescent="0.25">
      <c r="A302" s="23" t="s">
        <v>957</v>
      </c>
      <c r="B302" s="19">
        <v>903</v>
      </c>
      <c r="C302" s="24" t="s">
        <v>271</v>
      </c>
      <c r="D302" s="24" t="s">
        <v>222</v>
      </c>
      <c r="E302" s="24" t="s">
        <v>1223</v>
      </c>
      <c r="F302" s="24"/>
      <c r="G302" s="44">
        <f t="shared" ref="G302:H304" si="27">G303</f>
        <v>506</v>
      </c>
      <c r="H302" s="44">
        <f t="shared" si="27"/>
        <v>301.49799999999999</v>
      </c>
      <c r="I302" s="437">
        <f t="shared" si="24"/>
        <v>59.584584980237153</v>
      </c>
    </row>
    <row r="303" spans="1:9" s="203" customFormat="1" ht="39.200000000000003" customHeight="1" x14ac:dyDescent="0.25">
      <c r="A303" s="25" t="s">
        <v>849</v>
      </c>
      <c r="B303" s="16">
        <v>903</v>
      </c>
      <c r="C303" s="20" t="s">
        <v>271</v>
      </c>
      <c r="D303" s="20" t="s">
        <v>222</v>
      </c>
      <c r="E303" s="20" t="s">
        <v>1224</v>
      </c>
      <c r="F303" s="20"/>
      <c r="G303" s="26">
        <f t="shared" si="27"/>
        <v>506</v>
      </c>
      <c r="H303" s="26">
        <f t="shared" si="27"/>
        <v>301.49799999999999</v>
      </c>
      <c r="I303" s="381">
        <f t="shared" si="24"/>
        <v>59.584584980237153</v>
      </c>
    </row>
    <row r="304" spans="1:9" s="203" customFormat="1" ht="70.5" customHeight="1" x14ac:dyDescent="0.25">
      <c r="A304" s="25" t="s">
        <v>134</v>
      </c>
      <c r="B304" s="16">
        <v>903</v>
      </c>
      <c r="C304" s="20" t="s">
        <v>271</v>
      </c>
      <c r="D304" s="20" t="s">
        <v>222</v>
      </c>
      <c r="E304" s="20" t="s">
        <v>1224</v>
      </c>
      <c r="F304" s="20" t="s">
        <v>135</v>
      </c>
      <c r="G304" s="26">
        <f t="shared" si="27"/>
        <v>506</v>
      </c>
      <c r="H304" s="26">
        <f t="shared" si="27"/>
        <v>301.49799999999999</v>
      </c>
      <c r="I304" s="381">
        <f t="shared" si="24"/>
        <v>59.584584980237153</v>
      </c>
    </row>
    <row r="305" spans="1:9" s="203" customFormat="1" ht="19.7" customHeight="1" x14ac:dyDescent="0.25">
      <c r="A305" s="25" t="s">
        <v>349</v>
      </c>
      <c r="B305" s="16">
        <v>903</v>
      </c>
      <c r="C305" s="20" t="s">
        <v>271</v>
      </c>
      <c r="D305" s="20" t="s">
        <v>222</v>
      </c>
      <c r="E305" s="20" t="s">
        <v>1224</v>
      </c>
      <c r="F305" s="20" t="s">
        <v>216</v>
      </c>
      <c r="G305" s="26">
        <v>506</v>
      </c>
      <c r="H305" s="26">
        <v>301.49799999999999</v>
      </c>
      <c r="I305" s="381">
        <f t="shared" si="24"/>
        <v>59.584584980237153</v>
      </c>
    </row>
    <row r="306" spans="1:9" s="203" customFormat="1" ht="39.200000000000003" customHeight="1" x14ac:dyDescent="0.25">
      <c r="A306" s="23" t="s">
        <v>910</v>
      </c>
      <c r="B306" s="19">
        <v>903</v>
      </c>
      <c r="C306" s="24" t="s">
        <v>271</v>
      </c>
      <c r="D306" s="24" t="s">
        <v>222</v>
      </c>
      <c r="E306" s="24" t="s">
        <v>1225</v>
      </c>
      <c r="F306" s="24"/>
      <c r="G306" s="44">
        <f>G310+G313+G307</f>
        <v>1075.4000000000001</v>
      </c>
      <c r="H306" s="44">
        <f>H310+H313+H307</f>
        <v>119.244</v>
      </c>
      <c r="I306" s="437">
        <f t="shared" si="24"/>
        <v>11.08833922261484</v>
      </c>
    </row>
    <row r="307" spans="1:9" s="203" customFormat="1" ht="85.7" customHeight="1" x14ac:dyDescent="0.25">
      <c r="A307" s="31" t="s">
        <v>300</v>
      </c>
      <c r="B307" s="16">
        <v>903</v>
      </c>
      <c r="C307" s="20" t="s">
        <v>271</v>
      </c>
      <c r="D307" s="20" t="s">
        <v>222</v>
      </c>
      <c r="E307" s="20" t="s">
        <v>1420</v>
      </c>
      <c r="F307" s="20"/>
      <c r="G307" s="26">
        <f>G308</f>
        <v>671</v>
      </c>
      <c r="H307" s="26">
        <f>H308</f>
        <v>73.436999999999998</v>
      </c>
      <c r="I307" s="381">
        <f t="shared" si="24"/>
        <v>10.944411326378539</v>
      </c>
    </row>
    <row r="308" spans="1:9" s="203" customFormat="1" ht="61.15" customHeight="1" x14ac:dyDescent="0.25">
      <c r="A308" s="25" t="s">
        <v>134</v>
      </c>
      <c r="B308" s="16">
        <v>903</v>
      </c>
      <c r="C308" s="20" t="s">
        <v>271</v>
      </c>
      <c r="D308" s="20" t="s">
        <v>222</v>
      </c>
      <c r="E308" s="20" t="s">
        <v>1420</v>
      </c>
      <c r="F308" s="20" t="s">
        <v>135</v>
      </c>
      <c r="G308" s="26">
        <f>G309</f>
        <v>671</v>
      </c>
      <c r="H308" s="26">
        <f>H309</f>
        <v>73.436999999999998</v>
      </c>
      <c r="I308" s="381">
        <f t="shared" si="24"/>
        <v>10.944411326378539</v>
      </c>
    </row>
    <row r="309" spans="1:9" s="203" customFormat="1" ht="19.149999999999999" customHeight="1" x14ac:dyDescent="0.25">
      <c r="A309" s="46" t="s">
        <v>349</v>
      </c>
      <c r="B309" s="16">
        <v>903</v>
      </c>
      <c r="C309" s="20" t="s">
        <v>271</v>
      </c>
      <c r="D309" s="20" t="s">
        <v>222</v>
      </c>
      <c r="E309" s="20" t="s">
        <v>1420</v>
      </c>
      <c r="F309" s="20" t="s">
        <v>216</v>
      </c>
      <c r="G309" s="26">
        <v>671</v>
      </c>
      <c r="H309" s="26">
        <v>73.436999999999998</v>
      </c>
      <c r="I309" s="381">
        <f t="shared" si="24"/>
        <v>10.944411326378539</v>
      </c>
    </row>
    <row r="310" spans="1:9" s="203" customFormat="1" ht="51.75" customHeight="1" x14ac:dyDescent="0.25">
      <c r="A310" s="31" t="s">
        <v>296</v>
      </c>
      <c r="B310" s="16">
        <v>903</v>
      </c>
      <c r="C310" s="20" t="s">
        <v>271</v>
      </c>
      <c r="D310" s="20" t="s">
        <v>222</v>
      </c>
      <c r="E310" s="20" t="s">
        <v>1226</v>
      </c>
      <c r="F310" s="20"/>
      <c r="G310" s="26">
        <f>G311</f>
        <v>106</v>
      </c>
      <c r="H310" s="26">
        <f>H311</f>
        <v>12.95</v>
      </c>
      <c r="I310" s="381">
        <f t="shared" si="24"/>
        <v>12.216981132075471</v>
      </c>
    </row>
    <row r="311" spans="1:9" s="203" customFormat="1" ht="70.5" customHeight="1" x14ac:dyDescent="0.25">
      <c r="A311" s="25" t="s">
        <v>134</v>
      </c>
      <c r="B311" s="16">
        <v>903</v>
      </c>
      <c r="C311" s="20" t="s">
        <v>271</v>
      </c>
      <c r="D311" s="20" t="s">
        <v>222</v>
      </c>
      <c r="E311" s="20" t="s">
        <v>1226</v>
      </c>
      <c r="F311" s="20" t="s">
        <v>135</v>
      </c>
      <c r="G311" s="26">
        <f>G312</f>
        <v>106</v>
      </c>
      <c r="H311" s="26">
        <f>H312</f>
        <v>12.95</v>
      </c>
      <c r="I311" s="381">
        <f t="shared" si="24"/>
        <v>12.216981132075471</v>
      </c>
    </row>
    <row r="312" spans="1:9" s="203" customFormat="1" ht="21.75" customHeight="1" x14ac:dyDescent="0.25">
      <c r="A312" s="46" t="s">
        <v>349</v>
      </c>
      <c r="B312" s="16">
        <v>903</v>
      </c>
      <c r="C312" s="20" t="s">
        <v>271</v>
      </c>
      <c r="D312" s="20" t="s">
        <v>222</v>
      </c>
      <c r="E312" s="20" t="s">
        <v>1226</v>
      </c>
      <c r="F312" s="20" t="s">
        <v>216</v>
      </c>
      <c r="G312" s="26">
        <v>106</v>
      </c>
      <c r="H312" s="26">
        <v>12.95</v>
      </c>
      <c r="I312" s="381">
        <f t="shared" si="24"/>
        <v>12.216981132075471</v>
      </c>
    </row>
    <row r="313" spans="1:9" s="203" customFormat="1" ht="55.7" customHeight="1" x14ac:dyDescent="0.25">
      <c r="A313" s="31" t="s">
        <v>298</v>
      </c>
      <c r="B313" s="16">
        <v>903</v>
      </c>
      <c r="C313" s="20" t="s">
        <v>271</v>
      </c>
      <c r="D313" s="20" t="s">
        <v>222</v>
      </c>
      <c r="E313" s="20" t="s">
        <v>1227</v>
      </c>
      <c r="F313" s="20"/>
      <c r="G313" s="26">
        <f>G314</f>
        <v>298.40000000000003</v>
      </c>
      <c r="H313" s="26">
        <f>H314</f>
        <v>32.856999999999999</v>
      </c>
      <c r="I313" s="381">
        <f t="shared" si="24"/>
        <v>11.011058981233242</v>
      </c>
    </row>
    <row r="314" spans="1:9" s="203" customFormat="1" ht="69.75" customHeight="1" x14ac:dyDescent="0.25">
      <c r="A314" s="25" t="s">
        <v>134</v>
      </c>
      <c r="B314" s="16">
        <v>903</v>
      </c>
      <c r="C314" s="20" t="s">
        <v>271</v>
      </c>
      <c r="D314" s="20" t="s">
        <v>222</v>
      </c>
      <c r="E314" s="20" t="s">
        <v>1227</v>
      </c>
      <c r="F314" s="20" t="s">
        <v>135</v>
      </c>
      <c r="G314" s="26">
        <f>G315</f>
        <v>298.40000000000003</v>
      </c>
      <c r="H314" s="26">
        <f>H315</f>
        <v>32.856999999999999</v>
      </c>
      <c r="I314" s="381">
        <f t="shared" si="24"/>
        <v>11.011058981233242</v>
      </c>
    </row>
    <row r="315" spans="1:9" s="203" customFormat="1" ht="21.2" customHeight="1" x14ac:dyDescent="0.25">
      <c r="A315" s="46" t="s">
        <v>349</v>
      </c>
      <c r="B315" s="16">
        <v>903</v>
      </c>
      <c r="C315" s="20" t="s">
        <v>271</v>
      </c>
      <c r="D315" s="20" t="s">
        <v>222</v>
      </c>
      <c r="E315" s="20" t="s">
        <v>1227</v>
      </c>
      <c r="F315" s="20" t="s">
        <v>216</v>
      </c>
      <c r="G315" s="26">
        <f>298.35+0.05</f>
        <v>298.40000000000003</v>
      </c>
      <c r="H315" s="26">
        <v>32.856999999999999</v>
      </c>
      <c r="I315" s="381">
        <f t="shared" si="24"/>
        <v>11.011058981233242</v>
      </c>
    </row>
    <row r="316" spans="1:9" s="203" customFormat="1" ht="50.25" customHeight="1" x14ac:dyDescent="0.25">
      <c r="A316" s="34" t="s">
        <v>1374</v>
      </c>
      <c r="B316" s="19">
        <v>903</v>
      </c>
      <c r="C316" s="24" t="s">
        <v>271</v>
      </c>
      <c r="D316" s="24" t="s">
        <v>222</v>
      </c>
      <c r="E316" s="24" t="s">
        <v>331</v>
      </c>
      <c r="F316" s="24"/>
      <c r="G316" s="21">
        <f>G318</f>
        <v>8</v>
      </c>
      <c r="H316" s="21">
        <f>H318</f>
        <v>0</v>
      </c>
      <c r="I316" s="437">
        <f t="shared" si="24"/>
        <v>0</v>
      </c>
    </row>
    <row r="317" spans="1:9" s="203" customFormat="1" ht="49.7" customHeight="1" x14ac:dyDescent="0.25">
      <c r="A317" s="34" t="s">
        <v>1035</v>
      </c>
      <c r="B317" s="19">
        <v>903</v>
      </c>
      <c r="C317" s="24" t="s">
        <v>271</v>
      </c>
      <c r="D317" s="24" t="s">
        <v>222</v>
      </c>
      <c r="E317" s="24" t="s">
        <v>944</v>
      </c>
      <c r="F317" s="24"/>
      <c r="G317" s="21">
        <f>G320</f>
        <v>8</v>
      </c>
      <c r="H317" s="21">
        <f>H320</f>
        <v>0</v>
      </c>
      <c r="I317" s="437">
        <f t="shared" si="24"/>
        <v>0</v>
      </c>
    </row>
    <row r="318" spans="1:9" s="203" customFormat="1" ht="48.2" customHeight="1" x14ac:dyDescent="0.25">
      <c r="A318" s="31" t="s">
        <v>1091</v>
      </c>
      <c r="B318" s="16">
        <v>903</v>
      </c>
      <c r="C318" s="20" t="s">
        <v>271</v>
      </c>
      <c r="D318" s="20" t="s">
        <v>222</v>
      </c>
      <c r="E318" s="20" t="s">
        <v>1036</v>
      </c>
      <c r="F318" s="20"/>
      <c r="G318" s="26">
        <f>G319</f>
        <v>8</v>
      </c>
      <c r="H318" s="26">
        <f>H319</f>
        <v>0</v>
      </c>
      <c r="I318" s="381">
        <f t="shared" si="24"/>
        <v>0</v>
      </c>
    </row>
    <row r="319" spans="1:9" s="203" customFormat="1" ht="31.9" customHeight="1" x14ac:dyDescent="0.25">
      <c r="A319" s="25" t="s">
        <v>138</v>
      </c>
      <c r="B319" s="16">
        <v>903</v>
      </c>
      <c r="C319" s="20" t="s">
        <v>271</v>
      </c>
      <c r="D319" s="20" t="s">
        <v>222</v>
      </c>
      <c r="E319" s="20" t="s">
        <v>1036</v>
      </c>
      <c r="F319" s="20" t="s">
        <v>139</v>
      </c>
      <c r="G319" s="26">
        <f>G320</f>
        <v>8</v>
      </c>
      <c r="H319" s="26">
        <f>H320</f>
        <v>0</v>
      </c>
      <c r="I319" s="381">
        <f t="shared" si="24"/>
        <v>0</v>
      </c>
    </row>
    <row r="320" spans="1:9" s="203" customFormat="1" ht="34.700000000000003" customHeight="1" x14ac:dyDescent="0.25">
      <c r="A320" s="25" t="s">
        <v>140</v>
      </c>
      <c r="B320" s="16">
        <v>903</v>
      </c>
      <c r="C320" s="20" t="s">
        <v>271</v>
      </c>
      <c r="D320" s="20" t="s">
        <v>222</v>
      </c>
      <c r="E320" s="20" t="s">
        <v>1036</v>
      </c>
      <c r="F320" s="20" t="s">
        <v>141</v>
      </c>
      <c r="G320" s="26">
        <v>8</v>
      </c>
      <c r="H320" s="26">
        <v>0</v>
      </c>
      <c r="I320" s="381">
        <f t="shared" si="24"/>
        <v>0</v>
      </c>
    </row>
    <row r="321" spans="1:9" ht="51" customHeight="1" x14ac:dyDescent="0.25">
      <c r="A321" s="41" t="s">
        <v>1369</v>
      </c>
      <c r="B321" s="19">
        <v>903</v>
      </c>
      <c r="C321" s="24" t="s">
        <v>271</v>
      </c>
      <c r="D321" s="24" t="s">
        <v>222</v>
      </c>
      <c r="E321" s="24" t="s">
        <v>715</v>
      </c>
      <c r="F321" s="24"/>
      <c r="G321" s="21">
        <f>G323</f>
        <v>395.9</v>
      </c>
      <c r="H321" s="21">
        <f>H323</f>
        <v>53.933999999999997</v>
      </c>
      <c r="I321" s="437">
        <f t="shared" si="24"/>
        <v>13.623137155847436</v>
      </c>
    </row>
    <row r="322" spans="1:9" s="203" customFormat="1" ht="48.75" customHeight="1" x14ac:dyDescent="0.25">
      <c r="A322" s="41" t="s">
        <v>900</v>
      </c>
      <c r="B322" s="19">
        <v>903</v>
      </c>
      <c r="C322" s="24" t="s">
        <v>271</v>
      </c>
      <c r="D322" s="24" t="s">
        <v>222</v>
      </c>
      <c r="E322" s="24" t="s">
        <v>898</v>
      </c>
      <c r="F322" s="24"/>
      <c r="G322" s="21">
        <f t="shared" ref="G322:H324" si="28">G323</f>
        <v>395.9</v>
      </c>
      <c r="H322" s="21">
        <f t="shared" si="28"/>
        <v>53.933999999999997</v>
      </c>
      <c r="I322" s="437">
        <f t="shared" si="24"/>
        <v>13.623137155847436</v>
      </c>
    </row>
    <row r="323" spans="1:9" ht="32.25" customHeight="1" x14ac:dyDescent="0.25">
      <c r="A323" s="98" t="s">
        <v>1014</v>
      </c>
      <c r="B323" s="20" t="s">
        <v>635</v>
      </c>
      <c r="C323" s="20" t="s">
        <v>271</v>
      </c>
      <c r="D323" s="20" t="s">
        <v>222</v>
      </c>
      <c r="E323" s="20" t="s">
        <v>899</v>
      </c>
      <c r="F323" s="32"/>
      <c r="G323" s="26">
        <f t="shared" si="28"/>
        <v>395.9</v>
      </c>
      <c r="H323" s="26">
        <f t="shared" si="28"/>
        <v>53.933999999999997</v>
      </c>
      <c r="I323" s="381">
        <f t="shared" si="24"/>
        <v>13.623137155847436</v>
      </c>
    </row>
    <row r="324" spans="1:9" ht="33" customHeight="1" x14ac:dyDescent="0.25">
      <c r="A324" s="25" t="s">
        <v>138</v>
      </c>
      <c r="B324" s="16">
        <v>903</v>
      </c>
      <c r="C324" s="20" t="s">
        <v>271</v>
      </c>
      <c r="D324" s="20" t="s">
        <v>222</v>
      </c>
      <c r="E324" s="20" t="s">
        <v>899</v>
      </c>
      <c r="F324" s="32" t="s">
        <v>139</v>
      </c>
      <c r="G324" s="26">
        <f t="shared" si="28"/>
        <v>395.9</v>
      </c>
      <c r="H324" s="26">
        <f t="shared" si="28"/>
        <v>53.933999999999997</v>
      </c>
      <c r="I324" s="381">
        <f t="shared" si="24"/>
        <v>13.623137155847436</v>
      </c>
    </row>
    <row r="325" spans="1:9" ht="34.5" customHeight="1" x14ac:dyDescent="0.25">
      <c r="A325" s="25" t="s">
        <v>140</v>
      </c>
      <c r="B325" s="16">
        <v>903</v>
      </c>
      <c r="C325" s="20" t="s">
        <v>271</v>
      </c>
      <c r="D325" s="20" t="s">
        <v>222</v>
      </c>
      <c r="E325" s="20" t="s">
        <v>899</v>
      </c>
      <c r="F325" s="32" t="s">
        <v>141</v>
      </c>
      <c r="G325" s="26">
        <f>471.3-223.9+148.5</f>
        <v>395.9</v>
      </c>
      <c r="H325" s="26">
        <v>53.933999999999997</v>
      </c>
      <c r="I325" s="381">
        <f t="shared" si="24"/>
        <v>13.623137155847436</v>
      </c>
    </row>
    <row r="326" spans="1:9" ht="19.5" customHeight="1" x14ac:dyDescent="0.25">
      <c r="A326" s="23" t="s">
        <v>473</v>
      </c>
      <c r="B326" s="19">
        <v>903</v>
      </c>
      <c r="C326" s="24" t="s">
        <v>271</v>
      </c>
      <c r="D326" s="24" t="s">
        <v>271</v>
      </c>
      <c r="E326" s="20"/>
      <c r="F326" s="20"/>
      <c r="G326" s="21">
        <f>G327</f>
        <v>760</v>
      </c>
      <c r="H326" s="21">
        <f>H327</f>
        <v>148.316</v>
      </c>
      <c r="I326" s="437">
        <f t="shared" si="24"/>
        <v>19.51526315789474</v>
      </c>
    </row>
    <row r="327" spans="1:9" ht="50.25" customHeight="1" x14ac:dyDescent="0.25">
      <c r="A327" s="23" t="s">
        <v>1364</v>
      </c>
      <c r="B327" s="19">
        <v>903</v>
      </c>
      <c r="C327" s="24" t="s">
        <v>271</v>
      </c>
      <c r="D327" s="24" t="s">
        <v>271</v>
      </c>
      <c r="E327" s="24" t="s">
        <v>351</v>
      </c>
      <c r="F327" s="24"/>
      <c r="G327" s="21">
        <f>G328</f>
        <v>760</v>
      </c>
      <c r="H327" s="21">
        <f>H328</f>
        <v>148.316</v>
      </c>
      <c r="I327" s="437">
        <f t="shared" si="24"/>
        <v>19.51526315789474</v>
      </c>
    </row>
    <row r="328" spans="1:9" ht="32.25" customHeight="1" x14ac:dyDescent="0.25">
      <c r="A328" s="23" t="s">
        <v>352</v>
      </c>
      <c r="B328" s="19">
        <v>903</v>
      </c>
      <c r="C328" s="24" t="s">
        <v>271</v>
      </c>
      <c r="D328" s="24" t="s">
        <v>271</v>
      </c>
      <c r="E328" s="24" t="s">
        <v>353</v>
      </c>
      <c r="F328" s="24"/>
      <c r="G328" s="21">
        <f>G329+G336+G342</f>
        <v>760</v>
      </c>
      <c r="H328" s="21">
        <f>H329+H336+H342</f>
        <v>148.316</v>
      </c>
      <c r="I328" s="437">
        <f t="shared" si="24"/>
        <v>19.51526315789474</v>
      </c>
    </row>
    <row r="329" spans="1:9" s="203" customFormat="1" ht="48.75" customHeight="1" x14ac:dyDescent="0.25">
      <c r="A329" s="206" t="s">
        <v>1039</v>
      </c>
      <c r="B329" s="19">
        <v>903</v>
      </c>
      <c r="C329" s="24" t="s">
        <v>271</v>
      </c>
      <c r="D329" s="24" t="s">
        <v>271</v>
      </c>
      <c r="E329" s="24" t="s">
        <v>902</v>
      </c>
      <c r="F329" s="24"/>
      <c r="G329" s="21">
        <f>G330+G333</f>
        <v>280</v>
      </c>
      <c r="H329" s="21">
        <f>H330+H333</f>
        <v>0</v>
      </c>
      <c r="I329" s="437">
        <f t="shared" si="24"/>
        <v>0</v>
      </c>
    </row>
    <row r="330" spans="1:9" s="203" customFormat="1" ht="23.25" customHeight="1" x14ac:dyDescent="0.25">
      <c r="A330" s="98" t="s">
        <v>1045</v>
      </c>
      <c r="B330" s="16">
        <v>903</v>
      </c>
      <c r="C330" s="20" t="s">
        <v>271</v>
      </c>
      <c r="D330" s="20" t="s">
        <v>271</v>
      </c>
      <c r="E330" s="20" t="s">
        <v>903</v>
      </c>
      <c r="F330" s="20"/>
      <c r="G330" s="26">
        <f>G331</f>
        <v>280</v>
      </c>
      <c r="H330" s="26">
        <f>H331</f>
        <v>0</v>
      </c>
      <c r="I330" s="381">
        <f t="shared" si="24"/>
        <v>0</v>
      </c>
    </row>
    <row r="331" spans="1:9" s="203" customFormat="1" ht="66.599999999999994" customHeight="1" x14ac:dyDescent="0.25">
      <c r="A331" s="25" t="s">
        <v>134</v>
      </c>
      <c r="B331" s="16">
        <v>903</v>
      </c>
      <c r="C331" s="20" t="s">
        <v>271</v>
      </c>
      <c r="D331" s="20" t="s">
        <v>271</v>
      </c>
      <c r="E331" s="20" t="s">
        <v>903</v>
      </c>
      <c r="F331" s="20" t="s">
        <v>135</v>
      </c>
      <c r="G331" s="26">
        <f>G332</f>
        <v>280</v>
      </c>
      <c r="H331" s="26">
        <f>H332</f>
        <v>0</v>
      </c>
      <c r="I331" s="381">
        <f t="shared" ref="I331:I394" si="29">H331/G331*100</f>
        <v>0</v>
      </c>
    </row>
    <row r="332" spans="1:9" s="203" customFormat="1" ht="18" customHeight="1" x14ac:dyDescent="0.25">
      <c r="A332" s="25" t="s">
        <v>349</v>
      </c>
      <c r="B332" s="16">
        <v>903</v>
      </c>
      <c r="C332" s="20" t="s">
        <v>271</v>
      </c>
      <c r="D332" s="20" t="s">
        <v>271</v>
      </c>
      <c r="E332" s="20" t="s">
        <v>903</v>
      </c>
      <c r="F332" s="20" t="s">
        <v>216</v>
      </c>
      <c r="G332" s="26">
        <f>280</f>
        <v>280</v>
      </c>
      <c r="H332" s="26">
        <v>0</v>
      </c>
      <c r="I332" s="381">
        <f t="shared" si="29"/>
        <v>0</v>
      </c>
    </row>
    <row r="333" spans="1:9" s="203" customFormat="1" ht="19.5" hidden="1" customHeight="1" x14ac:dyDescent="0.25">
      <c r="A333" s="25" t="s">
        <v>1040</v>
      </c>
      <c r="B333" s="16">
        <v>903</v>
      </c>
      <c r="C333" s="20" t="s">
        <v>271</v>
      </c>
      <c r="D333" s="20" t="s">
        <v>271</v>
      </c>
      <c r="E333" s="20" t="s">
        <v>1057</v>
      </c>
      <c r="F333" s="20"/>
      <c r="G333" s="26">
        <f>G334</f>
        <v>0</v>
      </c>
      <c r="H333" s="26">
        <f>H334</f>
        <v>0</v>
      </c>
      <c r="I333" s="381" t="e">
        <f t="shared" si="29"/>
        <v>#DIV/0!</v>
      </c>
    </row>
    <row r="334" spans="1:9" s="203" customFormat="1" ht="32.25" hidden="1" customHeight="1" x14ac:dyDescent="0.25">
      <c r="A334" s="25" t="s">
        <v>138</v>
      </c>
      <c r="B334" s="16">
        <v>903</v>
      </c>
      <c r="C334" s="20" t="s">
        <v>271</v>
      </c>
      <c r="D334" s="20" t="s">
        <v>271</v>
      </c>
      <c r="E334" s="20" t="s">
        <v>1057</v>
      </c>
      <c r="F334" s="20" t="s">
        <v>139</v>
      </c>
      <c r="G334" s="26">
        <f>G335</f>
        <v>0</v>
      </c>
      <c r="H334" s="26">
        <f>H335</f>
        <v>0</v>
      </c>
      <c r="I334" s="381" t="e">
        <f t="shared" si="29"/>
        <v>#DIV/0!</v>
      </c>
    </row>
    <row r="335" spans="1:9" s="203" customFormat="1" ht="37.5" hidden="1" customHeight="1" x14ac:dyDescent="0.25">
      <c r="A335" s="25" t="s">
        <v>140</v>
      </c>
      <c r="B335" s="16">
        <v>903</v>
      </c>
      <c r="C335" s="20" t="s">
        <v>271</v>
      </c>
      <c r="D335" s="20" t="s">
        <v>271</v>
      </c>
      <c r="E335" s="20" t="s">
        <v>1057</v>
      </c>
      <c r="F335" s="20" t="s">
        <v>141</v>
      </c>
      <c r="G335" s="26">
        <v>0</v>
      </c>
      <c r="H335" s="26">
        <v>0</v>
      </c>
      <c r="I335" s="381" t="e">
        <f t="shared" si="29"/>
        <v>#DIV/0!</v>
      </c>
    </row>
    <row r="336" spans="1:9" s="203" customFormat="1" ht="64.5" customHeight="1" x14ac:dyDescent="0.25">
      <c r="A336" s="23" t="s">
        <v>1041</v>
      </c>
      <c r="B336" s="19">
        <v>903</v>
      </c>
      <c r="C336" s="24" t="s">
        <v>271</v>
      </c>
      <c r="D336" s="24" t="s">
        <v>271</v>
      </c>
      <c r="E336" s="24" t="s">
        <v>904</v>
      </c>
      <c r="F336" s="24"/>
      <c r="G336" s="21">
        <f>G337</f>
        <v>455</v>
      </c>
      <c r="H336" s="21">
        <f>H337</f>
        <v>123.316</v>
      </c>
      <c r="I336" s="437">
        <f t="shared" si="29"/>
        <v>27.10241758241758</v>
      </c>
    </row>
    <row r="337" spans="1:10" ht="15.75" customHeight="1" x14ac:dyDescent="0.25">
      <c r="A337" s="25" t="s">
        <v>1042</v>
      </c>
      <c r="B337" s="16">
        <v>903</v>
      </c>
      <c r="C337" s="20" t="s">
        <v>271</v>
      </c>
      <c r="D337" s="20" t="s">
        <v>271</v>
      </c>
      <c r="E337" s="20" t="s">
        <v>911</v>
      </c>
      <c r="F337" s="20"/>
      <c r="G337" s="26">
        <f>G340+G339</f>
        <v>455</v>
      </c>
      <c r="H337" s="26">
        <f>H340+H339</f>
        <v>123.316</v>
      </c>
      <c r="I337" s="381">
        <f t="shared" si="29"/>
        <v>27.10241758241758</v>
      </c>
    </row>
    <row r="338" spans="1:10" ht="63" customHeight="1" x14ac:dyDescent="0.25">
      <c r="A338" s="25" t="s">
        <v>134</v>
      </c>
      <c r="B338" s="16">
        <v>903</v>
      </c>
      <c r="C338" s="20" t="s">
        <v>271</v>
      </c>
      <c r="D338" s="20" t="s">
        <v>271</v>
      </c>
      <c r="E338" s="20" t="s">
        <v>911</v>
      </c>
      <c r="F338" s="20" t="s">
        <v>135</v>
      </c>
      <c r="G338" s="26">
        <f>G339</f>
        <v>40</v>
      </c>
      <c r="H338" s="26">
        <f>H339</f>
        <v>0</v>
      </c>
      <c r="I338" s="381">
        <f t="shared" si="29"/>
        <v>0</v>
      </c>
    </row>
    <row r="339" spans="1:10" ht="20.25" customHeight="1" x14ac:dyDescent="0.25">
      <c r="A339" s="25" t="s">
        <v>349</v>
      </c>
      <c r="B339" s="16">
        <v>903</v>
      </c>
      <c r="C339" s="20" t="s">
        <v>271</v>
      </c>
      <c r="D339" s="20" t="s">
        <v>271</v>
      </c>
      <c r="E339" s="20" t="s">
        <v>911</v>
      </c>
      <c r="F339" s="20" t="s">
        <v>216</v>
      </c>
      <c r="G339" s="26">
        <f>40</f>
        <v>40</v>
      </c>
      <c r="H339" s="26">
        <v>0</v>
      </c>
      <c r="I339" s="381">
        <f t="shared" si="29"/>
        <v>0</v>
      </c>
    </row>
    <row r="340" spans="1:10" ht="36.75" customHeight="1" x14ac:dyDescent="0.25">
      <c r="A340" s="25" t="s">
        <v>138</v>
      </c>
      <c r="B340" s="16">
        <v>903</v>
      </c>
      <c r="C340" s="20" t="s">
        <v>271</v>
      </c>
      <c r="D340" s="20" t="s">
        <v>271</v>
      </c>
      <c r="E340" s="20" t="s">
        <v>911</v>
      </c>
      <c r="F340" s="20" t="s">
        <v>139</v>
      </c>
      <c r="G340" s="26">
        <f>G341</f>
        <v>415</v>
      </c>
      <c r="H340" s="26">
        <f>H341</f>
        <v>123.316</v>
      </c>
      <c r="I340" s="381">
        <f t="shared" si="29"/>
        <v>29.714698795180723</v>
      </c>
    </row>
    <row r="341" spans="1:10" ht="39.200000000000003" customHeight="1" x14ac:dyDescent="0.25">
      <c r="A341" s="25" t="s">
        <v>140</v>
      </c>
      <c r="B341" s="16">
        <v>903</v>
      </c>
      <c r="C341" s="20" t="s">
        <v>271</v>
      </c>
      <c r="D341" s="20" t="s">
        <v>271</v>
      </c>
      <c r="E341" s="20" t="s">
        <v>911</v>
      </c>
      <c r="F341" s="20" t="s">
        <v>141</v>
      </c>
      <c r="G341" s="26">
        <f>415</f>
        <v>415</v>
      </c>
      <c r="H341" s="26">
        <v>123.316</v>
      </c>
      <c r="I341" s="381">
        <f t="shared" si="29"/>
        <v>29.714698795180723</v>
      </c>
    </row>
    <row r="342" spans="1:10" s="203" customFormat="1" ht="35.450000000000003" customHeight="1" x14ac:dyDescent="0.25">
      <c r="A342" s="23" t="s">
        <v>1047</v>
      </c>
      <c r="B342" s="19">
        <v>903</v>
      </c>
      <c r="C342" s="24" t="s">
        <v>271</v>
      </c>
      <c r="D342" s="24" t="s">
        <v>271</v>
      </c>
      <c r="E342" s="24" t="s">
        <v>1043</v>
      </c>
      <c r="F342" s="24"/>
      <c r="G342" s="21">
        <f t="shared" ref="G342:H344" si="30">G343</f>
        <v>25</v>
      </c>
      <c r="H342" s="21">
        <f t="shared" si="30"/>
        <v>25</v>
      </c>
      <c r="I342" s="437">
        <f t="shared" si="29"/>
        <v>100</v>
      </c>
    </row>
    <row r="343" spans="1:10" s="203" customFormat="1" ht="39.75" customHeight="1" x14ac:dyDescent="0.25">
      <c r="A343" s="226" t="s">
        <v>1044</v>
      </c>
      <c r="B343" s="16">
        <v>903</v>
      </c>
      <c r="C343" s="20" t="s">
        <v>271</v>
      </c>
      <c r="D343" s="20" t="s">
        <v>271</v>
      </c>
      <c r="E343" s="20" t="s">
        <v>1058</v>
      </c>
      <c r="F343" s="20"/>
      <c r="G343" s="26">
        <f t="shared" si="30"/>
        <v>25</v>
      </c>
      <c r="H343" s="26">
        <f t="shared" si="30"/>
        <v>25</v>
      </c>
      <c r="I343" s="381">
        <f t="shared" si="29"/>
        <v>100</v>
      </c>
    </row>
    <row r="344" spans="1:10" s="203" customFormat="1" ht="17.45" customHeight="1" x14ac:dyDescent="0.25">
      <c r="A344" s="25" t="s">
        <v>255</v>
      </c>
      <c r="B344" s="16">
        <v>903</v>
      </c>
      <c r="C344" s="20" t="s">
        <v>271</v>
      </c>
      <c r="D344" s="20" t="s">
        <v>271</v>
      </c>
      <c r="E344" s="20" t="s">
        <v>1058</v>
      </c>
      <c r="F344" s="20" t="s">
        <v>256</v>
      </c>
      <c r="G344" s="26">
        <f t="shared" si="30"/>
        <v>25</v>
      </c>
      <c r="H344" s="26">
        <f t="shared" si="30"/>
        <v>25</v>
      </c>
      <c r="I344" s="381">
        <f t="shared" si="29"/>
        <v>100</v>
      </c>
    </row>
    <row r="345" spans="1:10" s="203" customFormat="1" ht="35.450000000000003" customHeight="1" x14ac:dyDescent="0.25">
      <c r="A345" s="25" t="s">
        <v>1211</v>
      </c>
      <c r="B345" s="16">
        <v>903</v>
      </c>
      <c r="C345" s="20" t="s">
        <v>271</v>
      </c>
      <c r="D345" s="20" t="s">
        <v>271</v>
      </c>
      <c r="E345" s="20" t="s">
        <v>1058</v>
      </c>
      <c r="F345" s="20" t="s">
        <v>1210</v>
      </c>
      <c r="G345" s="26">
        <v>25</v>
      </c>
      <c r="H345" s="26">
        <v>25</v>
      </c>
      <c r="I345" s="381">
        <f t="shared" si="29"/>
        <v>100</v>
      </c>
    </row>
    <row r="346" spans="1:10" ht="15.75" x14ac:dyDescent="0.25">
      <c r="A346" s="23" t="s">
        <v>305</v>
      </c>
      <c r="B346" s="19">
        <v>903</v>
      </c>
      <c r="C346" s="24" t="s">
        <v>306</v>
      </c>
      <c r="D346" s="24"/>
      <c r="E346" s="24"/>
      <c r="F346" s="24"/>
      <c r="G346" s="21">
        <f>G347+G403</f>
        <v>77139.37</v>
      </c>
      <c r="H346" s="21">
        <f>H347+H403</f>
        <v>16017.284</v>
      </c>
      <c r="I346" s="437">
        <f t="shared" si="29"/>
        <v>20.764084539451126</v>
      </c>
    </row>
    <row r="347" spans="1:10" ht="15.75" x14ac:dyDescent="0.25">
      <c r="A347" s="23" t="s">
        <v>307</v>
      </c>
      <c r="B347" s="19">
        <v>903</v>
      </c>
      <c r="C347" s="24" t="s">
        <v>306</v>
      </c>
      <c r="D347" s="24" t="s">
        <v>125</v>
      </c>
      <c r="E347" s="24"/>
      <c r="F347" s="24"/>
      <c r="G347" s="21">
        <f>G348+G398+G393</f>
        <v>58628.969999999994</v>
      </c>
      <c r="H347" s="21">
        <f>H348+H398+H393</f>
        <v>11574.496999999999</v>
      </c>
      <c r="I347" s="437">
        <f t="shared" si="29"/>
        <v>19.741941569159412</v>
      </c>
      <c r="J347" s="225"/>
    </row>
    <row r="348" spans="1:10" ht="35.450000000000003" customHeight="1" x14ac:dyDescent="0.25">
      <c r="A348" s="23" t="s">
        <v>1368</v>
      </c>
      <c r="B348" s="19">
        <v>903</v>
      </c>
      <c r="C348" s="24" t="s">
        <v>306</v>
      </c>
      <c r="D348" s="24" t="s">
        <v>125</v>
      </c>
      <c r="E348" s="24" t="s">
        <v>274</v>
      </c>
      <c r="F348" s="24"/>
      <c r="G348" s="21">
        <f>G349+G360+G366+G370+G377+G381+G385+G389</f>
        <v>57757.27</v>
      </c>
      <c r="H348" s="21">
        <f>H349+H360+H366+H370+H377+H381+H385+H389</f>
        <v>11359.664999999999</v>
      </c>
      <c r="I348" s="437">
        <f t="shared" si="29"/>
        <v>19.667939637728722</v>
      </c>
    </row>
    <row r="349" spans="1:10" s="203" customFormat="1" ht="30.2" customHeight="1" x14ac:dyDescent="0.25">
      <c r="A349" s="23" t="s">
        <v>1314</v>
      </c>
      <c r="B349" s="19">
        <v>903</v>
      </c>
      <c r="C349" s="24" t="s">
        <v>306</v>
      </c>
      <c r="D349" s="24" t="s">
        <v>125</v>
      </c>
      <c r="E349" s="24" t="s">
        <v>1218</v>
      </c>
      <c r="F349" s="24"/>
      <c r="G349" s="21">
        <f>G350+G357</f>
        <v>53338.57</v>
      </c>
      <c r="H349" s="21">
        <f>H350+H357</f>
        <v>9938.0290000000005</v>
      </c>
      <c r="I349" s="437">
        <f t="shared" si="29"/>
        <v>18.631974947959797</v>
      </c>
    </row>
    <row r="350" spans="1:10" s="203" customFormat="1" ht="17.45" customHeight="1" x14ac:dyDescent="0.25">
      <c r="A350" s="25" t="s">
        <v>810</v>
      </c>
      <c r="B350" s="16">
        <v>903</v>
      </c>
      <c r="C350" s="20" t="s">
        <v>306</v>
      </c>
      <c r="D350" s="20" t="s">
        <v>125</v>
      </c>
      <c r="E350" s="20" t="s">
        <v>1219</v>
      </c>
      <c r="F350" s="20"/>
      <c r="G350" s="26">
        <f>G351+G353+G355</f>
        <v>11330.67</v>
      </c>
      <c r="H350" s="26">
        <f>H351+H353+H355</f>
        <v>3022.1480000000001</v>
      </c>
      <c r="I350" s="381">
        <f t="shared" si="29"/>
        <v>26.672279750447238</v>
      </c>
    </row>
    <row r="351" spans="1:10" s="203" customFormat="1" ht="46.5" customHeight="1" x14ac:dyDescent="0.25">
      <c r="A351" s="25" t="s">
        <v>134</v>
      </c>
      <c r="B351" s="16">
        <v>903</v>
      </c>
      <c r="C351" s="20" t="s">
        <v>306</v>
      </c>
      <c r="D351" s="20" t="s">
        <v>125</v>
      </c>
      <c r="E351" s="20" t="s">
        <v>1219</v>
      </c>
      <c r="F351" s="20" t="s">
        <v>135</v>
      </c>
      <c r="G351" s="26">
        <f>G352</f>
        <v>2256.17</v>
      </c>
      <c r="H351" s="26">
        <f>H352</f>
        <v>510.08800000000002</v>
      </c>
      <c r="I351" s="381">
        <f t="shared" si="29"/>
        <v>22.608580027214263</v>
      </c>
    </row>
    <row r="352" spans="1:10" s="203" customFormat="1" ht="21.75" customHeight="1" x14ac:dyDescent="0.25">
      <c r="A352" s="25" t="s">
        <v>215</v>
      </c>
      <c r="B352" s="16">
        <v>903</v>
      </c>
      <c r="C352" s="20" t="s">
        <v>306</v>
      </c>
      <c r="D352" s="20" t="s">
        <v>125</v>
      </c>
      <c r="E352" s="20" t="s">
        <v>1219</v>
      </c>
      <c r="F352" s="20" t="s">
        <v>216</v>
      </c>
      <c r="G352" s="27">
        <f>2223.47+26.3+6.4</f>
        <v>2256.17</v>
      </c>
      <c r="H352" s="27">
        <v>510.08800000000002</v>
      </c>
      <c r="I352" s="381">
        <f t="shared" si="29"/>
        <v>22.608580027214263</v>
      </c>
    </row>
    <row r="353" spans="1:9" s="203" customFormat="1" ht="36.75" customHeight="1" x14ac:dyDescent="0.25">
      <c r="A353" s="25" t="s">
        <v>138</v>
      </c>
      <c r="B353" s="16">
        <v>903</v>
      </c>
      <c r="C353" s="20" t="s">
        <v>306</v>
      </c>
      <c r="D353" s="20" t="s">
        <v>125</v>
      </c>
      <c r="E353" s="20" t="s">
        <v>1219</v>
      </c>
      <c r="F353" s="20" t="s">
        <v>139</v>
      </c>
      <c r="G353" s="26">
        <f>G354</f>
        <v>9000.2999999999993</v>
      </c>
      <c r="H353" s="26">
        <f>H354</f>
        <v>2475.777</v>
      </c>
      <c r="I353" s="381">
        <f t="shared" si="29"/>
        <v>27.507716409453021</v>
      </c>
    </row>
    <row r="354" spans="1:9" s="203" customFormat="1" ht="33" customHeight="1" x14ac:dyDescent="0.25">
      <c r="A354" s="25" t="s">
        <v>140</v>
      </c>
      <c r="B354" s="16">
        <v>903</v>
      </c>
      <c r="C354" s="20" t="s">
        <v>306</v>
      </c>
      <c r="D354" s="20" t="s">
        <v>125</v>
      </c>
      <c r="E354" s="20" t="s">
        <v>1219</v>
      </c>
      <c r="F354" s="20" t="s">
        <v>141</v>
      </c>
      <c r="G354" s="27">
        <f>8975.9-469.7+394.1-50+150</f>
        <v>9000.2999999999993</v>
      </c>
      <c r="H354" s="27">
        <v>2475.777</v>
      </c>
      <c r="I354" s="381">
        <f t="shared" si="29"/>
        <v>27.507716409453021</v>
      </c>
    </row>
    <row r="355" spans="1:9" s="203" customFormat="1" ht="18" customHeight="1" x14ac:dyDescent="0.25">
      <c r="A355" s="25" t="s">
        <v>142</v>
      </c>
      <c r="B355" s="16">
        <v>903</v>
      </c>
      <c r="C355" s="20" t="s">
        <v>306</v>
      </c>
      <c r="D355" s="20" t="s">
        <v>125</v>
      </c>
      <c r="E355" s="20" t="s">
        <v>1219</v>
      </c>
      <c r="F355" s="20" t="s">
        <v>152</v>
      </c>
      <c r="G355" s="26">
        <f>G356</f>
        <v>74.2</v>
      </c>
      <c r="H355" s="26">
        <f>H356</f>
        <v>36.283000000000001</v>
      </c>
      <c r="I355" s="381">
        <f t="shared" si="29"/>
        <v>48.898921832884099</v>
      </c>
    </row>
    <row r="356" spans="1:9" s="203" customFormat="1" ht="16.5" customHeight="1" x14ac:dyDescent="0.25">
      <c r="A356" s="25" t="s">
        <v>575</v>
      </c>
      <c r="B356" s="16">
        <v>903</v>
      </c>
      <c r="C356" s="20" t="s">
        <v>306</v>
      </c>
      <c r="D356" s="20" t="s">
        <v>125</v>
      </c>
      <c r="E356" s="20" t="s">
        <v>1219</v>
      </c>
      <c r="F356" s="20" t="s">
        <v>145</v>
      </c>
      <c r="G356" s="26">
        <f>37+26+11.2</f>
        <v>74.2</v>
      </c>
      <c r="H356" s="26">
        <v>36.283000000000001</v>
      </c>
      <c r="I356" s="381">
        <f t="shared" si="29"/>
        <v>48.898921832884099</v>
      </c>
    </row>
    <row r="357" spans="1:9" s="203" customFormat="1" ht="21.75" customHeight="1" x14ac:dyDescent="0.25">
      <c r="A357" s="31" t="s">
        <v>1554</v>
      </c>
      <c r="B357" s="16">
        <v>903</v>
      </c>
      <c r="C357" s="20" t="s">
        <v>306</v>
      </c>
      <c r="D357" s="20" t="s">
        <v>125</v>
      </c>
      <c r="E357" s="20" t="s">
        <v>1525</v>
      </c>
      <c r="F357" s="20"/>
      <c r="G357" s="26">
        <f>G358</f>
        <v>42007.9</v>
      </c>
      <c r="H357" s="26">
        <f>H358</f>
        <v>6915.8810000000003</v>
      </c>
      <c r="I357" s="381">
        <f t="shared" si="29"/>
        <v>16.463286667507777</v>
      </c>
    </row>
    <row r="358" spans="1:9" s="203" customFormat="1" ht="60.4" customHeight="1" x14ac:dyDescent="0.25">
      <c r="A358" s="25" t="s">
        <v>134</v>
      </c>
      <c r="B358" s="16">
        <v>903</v>
      </c>
      <c r="C358" s="20" t="s">
        <v>306</v>
      </c>
      <c r="D358" s="20" t="s">
        <v>125</v>
      </c>
      <c r="E358" s="20" t="s">
        <v>1525</v>
      </c>
      <c r="F358" s="20" t="s">
        <v>135</v>
      </c>
      <c r="G358" s="26">
        <f>G359</f>
        <v>42007.9</v>
      </c>
      <c r="H358" s="26">
        <f>H359</f>
        <v>6915.8810000000003</v>
      </c>
      <c r="I358" s="381">
        <f t="shared" si="29"/>
        <v>16.463286667507777</v>
      </c>
    </row>
    <row r="359" spans="1:9" s="203" customFormat="1" ht="17.100000000000001" customHeight="1" x14ac:dyDescent="0.25">
      <c r="A359" s="25" t="s">
        <v>215</v>
      </c>
      <c r="B359" s="16">
        <v>903</v>
      </c>
      <c r="C359" s="20" t="s">
        <v>306</v>
      </c>
      <c r="D359" s="20" t="s">
        <v>125</v>
      </c>
      <c r="E359" s="20" t="s">
        <v>1525</v>
      </c>
      <c r="F359" s="20" t="s">
        <v>216</v>
      </c>
      <c r="G359" s="26">
        <f>37672.51+3375.3+960.09</f>
        <v>42007.9</v>
      </c>
      <c r="H359" s="26">
        <v>6915.8810000000003</v>
      </c>
      <c r="I359" s="381">
        <f t="shared" si="29"/>
        <v>16.463286667507777</v>
      </c>
    </row>
    <row r="360" spans="1:9" s="203" customFormat="1" ht="35.450000000000003" customHeight="1" x14ac:dyDescent="0.25">
      <c r="A360" s="212" t="s">
        <v>1316</v>
      </c>
      <c r="B360" s="19">
        <v>903</v>
      </c>
      <c r="C360" s="24" t="s">
        <v>306</v>
      </c>
      <c r="D360" s="24" t="s">
        <v>125</v>
      </c>
      <c r="E360" s="24" t="s">
        <v>1220</v>
      </c>
      <c r="F360" s="24"/>
      <c r="G360" s="21">
        <f>G361</f>
        <v>924.9</v>
      </c>
      <c r="H360" s="21">
        <f>H361</f>
        <v>48.14</v>
      </c>
      <c r="I360" s="437">
        <f t="shared" si="29"/>
        <v>5.204887014812412</v>
      </c>
    </row>
    <row r="361" spans="1:9" ht="35.450000000000003" customHeight="1" x14ac:dyDescent="0.25">
      <c r="A361" s="31" t="s">
        <v>826</v>
      </c>
      <c r="B361" s="16">
        <v>903</v>
      </c>
      <c r="C361" s="20" t="s">
        <v>306</v>
      </c>
      <c r="D361" s="20" t="s">
        <v>125</v>
      </c>
      <c r="E361" s="20" t="s">
        <v>1222</v>
      </c>
      <c r="F361" s="20"/>
      <c r="G361" s="27">
        <f>G364+G362</f>
        <v>924.9</v>
      </c>
      <c r="H361" s="27">
        <f>H364+H362</f>
        <v>48.14</v>
      </c>
      <c r="I361" s="381">
        <f t="shared" si="29"/>
        <v>5.204887014812412</v>
      </c>
    </row>
    <row r="362" spans="1:9" ht="66.2" customHeight="1" x14ac:dyDescent="0.25">
      <c r="A362" s="25" t="s">
        <v>134</v>
      </c>
      <c r="B362" s="16">
        <v>903</v>
      </c>
      <c r="C362" s="20" t="s">
        <v>306</v>
      </c>
      <c r="D362" s="20" t="s">
        <v>125</v>
      </c>
      <c r="E362" s="20" t="s">
        <v>1222</v>
      </c>
      <c r="F362" s="20" t="s">
        <v>135</v>
      </c>
      <c r="G362" s="27">
        <f>G363</f>
        <v>924.9</v>
      </c>
      <c r="H362" s="27">
        <f>H363</f>
        <v>48.14</v>
      </c>
      <c r="I362" s="381">
        <f t="shared" si="29"/>
        <v>5.204887014812412</v>
      </c>
    </row>
    <row r="363" spans="1:9" ht="20.25" customHeight="1" x14ac:dyDescent="0.25">
      <c r="A363" s="25" t="s">
        <v>215</v>
      </c>
      <c r="B363" s="16">
        <v>903</v>
      </c>
      <c r="C363" s="20" t="s">
        <v>306</v>
      </c>
      <c r="D363" s="20" t="s">
        <v>125</v>
      </c>
      <c r="E363" s="20" t="s">
        <v>1222</v>
      </c>
      <c r="F363" s="20" t="s">
        <v>216</v>
      </c>
      <c r="G363" s="27">
        <f>603+380-58.1</f>
        <v>924.9</v>
      </c>
      <c r="H363" s="27">
        <v>48.14</v>
      </c>
      <c r="I363" s="381">
        <f t="shared" si="29"/>
        <v>5.204887014812412</v>
      </c>
    </row>
    <row r="364" spans="1:9" ht="33.75" hidden="1" customHeight="1" x14ac:dyDescent="0.25">
      <c r="A364" s="25" t="s">
        <v>138</v>
      </c>
      <c r="B364" s="16">
        <v>903</v>
      </c>
      <c r="C364" s="20" t="s">
        <v>306</v>
      </c>
      <c r="D364" s="20" t="s">
        <v>125</v>
      </c>
      <c r="E364" s="20" t="s">
        <v>1222</v>
      </c>
      <c r="F364" s="20" t="s">
        <v>139</v>
      </c>
      <c r="G364" s="27">
        <f>G365</f>
        <v>0</v>
      </c>
      <c r="H364" s="27">
        <f>H365</f>
        <v>0</v>
      </c>
      <c r="I364" s="381" t="e">
        <f t="shared" si="29"/>
        <v>#DIV/0!</v>
      </c>
    </row>
    <row r="365" spans="1:9" ht="36.75" hidden="1" customHeight="1" x14ac:dyDescent="0.25">
      <c r="A365" s="25" t="s">
        <v>140</v>
      </c>
      <c r="B365" s="16">
        <v>903</v>
      </c>
      <c r="C365" s="20" t="s">
        <v>306</v>
      </c>
      <c r="D365" s="20" t="s">
        <v>125</v>
      </c>
      <c r="E365" s="20" t="s">
        <v>1222</v>
      </c>
      <c r="F365" s="20" t="s">
        <v>141</v>
      </c>
      <c r="G365" s="27">
        <f>1180-800-380</f>
        <v>0</v>
      </c>
      <c r="H365" s="27">
        <f>1180-800-380</f>
        <v>0</v>
      </c>
      <c r="I365" s="381" t="e">
        <f t="shared" si="29"/>
        <v>#DIV/0!</v>
      </c>
    </row>
    <row r="366" spans="1:9" s="203" customFormat="1" ht="36.75" customHeight="1" x14ac:dyDescent="0.25">
      <c r="A366" s="23" t="s">
        <v>957</v>
      </c>
      <c r="B366" s="19">
        <v>903</v>
      </c>
      <c r="C366" s="24" t="s">
        <v>306</v>
      </c>
      <c r="D366" s="24" t="s">
        <v>125</v>
      </c>
      <c r="E366" s="24" t="s">
        <v>1223</v>
      </c>
      <c r="F366" s="24"/>
      <c r="G366" s="44">
        <f t="shared" ref="G366:H368" si="31">G367</f>
        <v>933.1</v>
      </c>
      <c r="H366" s="44">
        <f t="shared" si="31"/>
        <v>933.13099999999997</v>
      </c>
      <c r="I366" s="381">
        <f t="shared" si="29"/>
        <v>100.00332225913621</v>
      </c>
    </row>
    <row r="367" spans="1:9" s="203" customFormat="1" ht="36.75" customHeight="1" x14ac:dyDescent="0.25">
      <c r="A367" s="25" t="s">
        <v>849</v>
      </c>
      <c r="B367" s="16">
        <v>903</v>
      </c>
      <c r="C367" s="20" t="s">
        <v>306</v>
      </c>
      <c r="D367" s="20" t="s">
        <v>125</v>
      </c>
      <c r="E367" s="20" t="s">
        <v>1224</v>
      </c>
      <c r="F367" s="20"/>
      <c r="G367" s="26">
        <f t="shared" si="31"/>
        <v>933.1</v>
      </c>
      <c r="H367" s="26">
        <f t="shared" si="31"/>
        <v>933.13099999999997</v>
      </c>
      <c r="I367" s="381">
        <f t="shared" si="29"/>
        <v>100.00332225913621</v>
      </c>
    </row>
    <row r="368" spans="1:9" s="203" customFormat="1" ht="62.45" customHeight="1" x14ac:dyDescent="0.25">
      <c r="A368" s="25" t="s">
        <v>134</v>
      </c>
      <c r="B368" s="16">
        <v>903</v>
      </c>
      <c r="C368" s="20" t="s">
        <v>306</v>
      </c>
      <c r="D368" s="20" t="s">
        <v>125</v>
      </c>
      <c r="E368" s="20" t="s">
        <v>1224</v>
      </c>
      <c r="F368" s="20" t="s">
        <v>135</v>
      </c>
      <c r="G368" s="26">
        <f t="shared" si="31"/>
        <v>933.1</v>
      </c>
      <c r="H368" s="26">
        <f t="shared" si="31"/>
        <v>933.13099999999997</v>
      </c>
      <c r="I368" s="381">
        <f t="shared" si="29"/>
        <v>100.00332225913621</v>
      </c>
    </row>
    <row r="369" spans="1:9" s="203" customFormat="1" ht="36.75" customHeight="1" x14ac:dyDescent="0.25">
      <c r="A369" s="25" t="s">
        <v>136</v>
      </c>
      <c r="B369" s="16">
        <v>903</v>
      </c>
      <c r="C369" s="20" t="s">
        <v>306</v>
      </c>
      <c r="D369" s="20" t="s">
        <v>125</v>
      </c>
      <c r="E369" s="20" t="s">
        <v>1224</v>
      </c>
      <c r="F369" s="20" t="s">
        <v>216</v>
      </c>
      <c r="G369" s="26">
        <f>875+58.1</f>
        <v>933.1</v>
      </c>
      <c r="H369" s="26">
        <v>933.13099999999997</v>
      </c>
      <c r="I369" s="381">
        <f t="shared" si="29"/>
        <v>100.00332225913621</v>
      </c>
    </row>
    <row r="370" spans="1:9" s="203" customFormat="1" ht="36.75" customHeight="1" x14ac:dyDescent="0.25">
      <c r="A370" s="213" t="s">
        <v>910</v>
      </c>
      <c r="B370" s="19">
        <v>903</v>
      </c>
      <c r="C370" s="24" t="s">
        <v>306</v>
      </c>
      <c r="D370" s="24" t="s">
        <v>125</v>
      </c>
      <c r="E370" s="24" t="s">
        <v>1225</v>
      </c>
      <c r="F370" s="24"/>
      <c r="G370" s="21">
        <f>G371+G374</f>
        <v>2442</v>
      </c>
      <c r="H370" s="21">
        <f>H371+H374</f>
        <v>405.45499999999998</v>
      </c>
      <c r="I370" s="437">
        <f t="shared" si="29"/>
        <v>16.603398853398854</v>
      </c>
    </row>
    <row r="371" spans="1:9" s="203" customFormat="1" ht="87" customHeight="1" x14ac:dyDescent="0.25">
      <c r="A371" s="31" t="s">
        <v>300</v>
      </c>
      <c r="B371" s="16">
        <v>903</v>
      </c>
      <c r="C371" s="20" t="s">
        <v>306</v>
      </c>
      <c r="D371" s="20" t="s">
        <v>125</v>
      </c>
      <c r="E371" s="20" t="s">
        <v>1420</v>
      </c>
      <c r="F371" s="20"/>
      <c r="G371" s="26">
        <f>G372</f>
        <v>2100.6</v>
      </c>
      <c r="H371" s="26">
        <f>H372</f>
        <v>374.185</v>
      </c>
      <c r="I371" s="381">
        <f t="shared" si="29"/>
        <v>17.813243835094735</v>
      </c>
    </row>
    <row r="372" spans="1:9" s="203" customFormat="1" ht="66.599999999999994" customHeight="1" x14ac:dyDescent="0.25">
      <c r="A372" s="25" t="s">
        <v>134</v>
      </c>
      <c r="B372" s="16">
        <v>903</v>
      </c>
      <c r="C372" s="20" t="s">
        <v>306</v>
      </c>
      <c r="D372" s="20" t="s">
        <v>125</v>
      </c>
      <c r="E372" s="20" t="s">
        <v>1420</v>
      </c>
      <c r="F372" s="20" t="s">
        <v>135</v>
      </c>
      <c r="G372" s="26">
        <f>G373</f>
        <v>2100.6</v>
      </c>
      <c r="H372" s="26">
        <f>H373</f>
        <v>374.185</v>
      </c>
      <c r="I372" s="381">
        <f t="shared" si="29"/>
        <v>17.813243835094735</v>
      </c>
    </row>
    <row r="373" spans="1:9" s="203" customFormat="1" ht="21.75" customHeight="1" x14ac:dyDescent="0.25">
      <c r="A373" s="25" t="s">
        <v>215</v>
      </c>
      <c r="B373" s="16">
        <v>903</v>
      </c>
      <c r="C373" s="20" t="s">
        <v>306</v>
      </c>
      <c r="D373" s="20" t="s">
        <v>125</v>
      </c>
      <c r="E373" s="20" t="s">
        <v>1420</v>
      </c>
      <c r="F373" s="20" t="s">
        <v>216</v>
      </c>
      <c r="G373" s="26">
        <f>724.29+100+0.01+1276.3</f>
        <v>2100.6</v>
      </c>
      <c r="H373" s="26">
        <v>374.185</v>
      </c>
      <c r="I373" s="381">
        <f t="shared" si="29"/>
        <v>17.813243835094735</v>
      </c>
    </row>
    <row r="374" spans="1:9" s="203" customFormat="1" ht="69" customHeight="1" x14ac:dyDescent="0.25">
      <c r="A374" s="25" t="s">
        <v>338</v>
      </c>
      <c r="B374" s="16">
        <v>903</v>
      </c>
      <c r="C374" s="20" t="s">
        <v>306</v>
      </c>
      <c r="D374" s="20" t="s">
        <v>125</v>
      </c>
      <c r="E374" s="20" t="s">
        <v>1306</v>
      </c>
      <c r="F374" s="20"/>
      <c r="G374" s="26">
        <f>G375</f>
        <v>341.4</v>
      </c>
      <c r="H374" s="26">
        <f>H375</f>
        <v>31.27</v>
      </c>
      <c r="I374" s="381">
        <f t="shared" si="29"/>
        <v>9.1593438781487997</v>
      </c>
    </row>
    <row r="375" spans="1:9" s="203" customFormat="1" ht="72" customHeight="1" x14ac:dyDescent="0.25">
      <c r="A375" s="25" t="s">
        <v>134</v>
      </c>
      <c r="B375" s="16">
        <v>903</v>
      </c>
      <c r="C375" s="20" t="s">
        <v>306</v>
      </c>
      <c r="D375" s="20" t="s">
        <v>125</v>
      </c>
      <c r="E375" s="20" t="s">
        <v>1306</v>
      </c>
      <c r="F375" s="20" t="s">
        <v>135</v>
      </c>
      <c r="G375" s="26">
        <f>G376</f>
        <v>341.4</v>
      </c>
      <c r="H375" s="26">
        <f>H376</f>
        <v>31.27</v>
      </c>
      <c r="I375" s="381">
        <f t="shared" si="29"/>
        <v>9.1593438781487997</v>
      </c>
    </row>
    <row r="376" spans="1:9" s="203" customFormat="1" ht="19.5" customHeight="1" x14ac:dyDescent="0.25">
      <c r="A376" s="25" t="s">
        <v>215</v>
      </c>
      <c r="B376" s="16">
        <v>903</v>
      </c>
      <c r="C376" s="20" t="s">
        <v>306</v>
      </c>
      <c r="D376" s="20" t="s">
        <v>125</v>
      </c>
      <c r="E376" s="20" t="s">
        <v>1306</v>
      </c>
      <c r="F376" s="20" t="s">
        <v>216</v>
      </c>
      <c r="G376" s="26">
        <v>341.4</v>
      </c>
      <c r="H376" s="26">
        <v>31.27</v>
      </c>
      <c r="I376" s="381">
        <f t="shared" si="29"/>
        <v>9.1593438781487997</v>
      </c>
    </row>
    <row r="377" spans="1:9" s="203" customFormat="1" ht="33" customHeight="1" x14ac:dyDescent="0.25">
      <c r="A377" s="23" t="s">
        <v>912</v>
      </c>
      <c r="B377" s="19">
        <v>903</v>
      </c>
      <c r="C377" s="24" t="s">
        <v>306</v>
      </c>
      <c r="D377" s="24" t="s">
        <v>125</v>
      </c>
      <c r="E377" s="24" t="s">
        <v>1230</v>
      </c>
      <c r="F377" s="24"/>
      <c r="G377" s="21">
        <f t="shared" ref="G377:H379" si="32">G378</f>
        <v>50</v>
      </c>
      <c r="H377" s="21">
        <f t="shared" si="32"/>
        <v>34.909999999999997</v>
      </c>
      <c r="I377" s="437">
        <f t="shared" si="29"/>
        <v>69.819999999999993</v>
      </c>
    </row>
    <row r="378" spans="1:9" s="203" customFormat="1" ht="32.25" customHeight="1" x14ac:dyDescent="0.25">
      <c r="A378" s="25" t="s">
        <v>831</v>
      </c>
      <c r="B378" s="16">
        <v>903</v>
      </c>
      <c r="C378" s="20" t="s">
        <v>306</v>
      </c>
      <c r="D378" s="20" t="s">
        <v>125</v>
      </c>
      <c r="E378" s="20" t="s">
        <v>1231</v>
      </c>
      <c r="F378" s="20"/>
      <c r="G378" s="26">
        <f t="shared" si="32"/>
        <v>50</v>
      </c>
      <c r="H378" s="26">
        <f t="shared" si="32"/>
        <v>34.909999999999997</v>
      </c>
      <c r="I378" s="381">
        <f t="shared" si="29"/>
        <v>69.819999999999993</v>
      </c>
    </row>
    <row r="379" spans="1:9" s="203" customFormat="1" ht="33.75" customHeight="1" x14ac:dyDescent="0.25">
      <c r="A379" s="25" t="s">
        <v>138</v>
      </c>
      <c r="B379" s="16">
        <v>903</v>
      </c>
      <c r="C379" s="20" t="s">
        <v>306</v>
      </c>
      <c r="D379" s="20" t="s">
        <v>125</v>
      </c>
      <c r="E379" s="20" t="s">
        <v>1231</v>
      </c>
      <c r="F379" s="20" t="s">
        <v>139</v>
      </c>
      <c r="G379" s="26">
        <f t="shared" si="32"/>
        <v>50</v>
      </c>
      <c r="H379" s="26">
        <f t="shared" si="32"/>
        <v>34.909999999999997</v>
      </c>
      <c r="I379" s="381">
        <f t="shared" si="29"/>
        <v>69.819999999999993</v>
      </c>
    </row>
    <row r="380" spans="1:9" s="203" customFormat="1" ht="31.7" customHeight="1" x14ac:dyDescent="0.25">
      <c r="A380" s="25" t="s">
        <v>140</v>
      </c>
      <c r="B380" s="16">
        <v>903</v>
      </c>
      <c r="C380" s="20" t="s">
        <v>306</v>
      </c>
      <c r="D380" s="20" t="s">
        <v>125</v>
      </c>
      <c r="E380" s="20" t="s">
        <v>1231</v>
      </c>
      <c r="F380" s="20" t="s">
        <v>141</v>
      </c>
      <c r="G380" s="26">
        <v>50</v>
      </c>
      <c r="H380" s="26">
        <v>34.909999999999997</v>
      </c>
      <c r="I380" s="381">
        <f t="shared" si="29"/>
        <v>69.819999999999993</v>
      </c>
    </row>
    <row r="381" spans="1:9" s="203" customFormat="1" ht="21.2" customHeight="1" x14ac:dyDescent="0.25">
      <c r="A381" s="23" t="s">
        <v>1020</v>
      </c>
      <c r="B381" s="19">
        <v>903</v>
      </c>
      <c r="C381" s="24" t="s">
        <v>306</v>
      </c>
      <c r="D381" s="24" t="s">
        <v>125</v>
      </c>
      <c r="E381" s="24" t="s">
        <v>1232</v>
      </c>
      <c r="F381" s="24"/>
      <c r="G381" s="21">
        <f t="shared" ref="G381:H383" si="33">G382</f>
        <v>68.7</v>
      </c>
      <c r="H381" s="21">
        <f t="shared" si="33"/>
        <v>0</v>
      </c>
      <c r="I381" s="437">
        <f t="shared" si="29"/>
        <v>0</v>
      </c>
    </row>
    <row r="382" spans="1:9" ht="31.5" x14ac:dyDescent="0.25">
      <c r="A382" s="25" t="s">
        <v>1529</v>
      </c>
      <c r="B382" s="16">
        <v>903</v>
      </c>
      <c r="C382" s="20" t="s">
        <v>306</v>
      </c>
      <c r="D382" s="20" t="s">
        <v>125</v>
      </c>
      <c r="E382" s="20" t="s">
        <v>1233</v>
      </c>
      <c r="F382" s="20"/>
      <c r="G382" s="26">
        <f t="shared" si="33"/>
        <v>68.7</v>
      </c>
      <c r="H382" s="26">
        <f t="shared" si="33"/>
        <v>0</v>
      </c>
      <c r="I382" s="381">
        <f t="shared" si="29"/>
        <v>0</v>
      </c>
    </row>
    <row r="383" spans="1:9" ht="31.5" x14ac:dyDescent="0.25">
      <c r="A383" s="25" t="s">
        <v>138</v>
      </c>
      <c r="B383" s="16">
        <v>903</v>
      </c>
      <c r="C383" s="20" t="s">
        <v>306</v>
      </c>
      <c r="D383" s="20" t="s">
        <v>125</v>
      </c>
      <c r="E383" s="20" t="s">
        <v>1233</v>
      </c>
      <c r="F383" s="20" t="s">
        <v>139</v>
      </c>
      <c r="G383" s="26">
        <f t="shared" si="33"/>
        <v>68.7</v>
      </c>
      <c r="H383" s="26">
        <f t="shared" si="33"/>
        <v>0</v>
      </c>
      <c r="I383" s="381">
        <f t="shared" si="29"/>
        <v>0</v>
      </c>
    </row>
    <row r="384" spans="1:9" ht="31.5" x14ac:dyDescent="0.25">
      <c r="A384" s="25" t="s">
        <v>140</v>
      </c>
      <c r="B384" s="16">
        <v>903</v>
      </c>
      <c r="C384" s="20" t="s">
        <v>306</v>
      </c>
      <c r="D384" s="20" t="s">
        <v>125</v>
      </c>
      <c r="E384" s="20" t="s">
        <v>1233</v>
      </c>
      <c r="F384" s="20" t="s">
        <v>141</v>
      </c>
      <c r="G384" s="26">
        <f>3.5+65.2</f>
        <v>68.7</v>
      </c>
      <c r="H384" s="26">
        <v>0</v>
      </c>
      <c r="I384" s="381">
        <f t="shared" si="29"/>
        <v>0</v>
      </c>
    </row>
    <row r="385" spans="1:9" s="203" customFormat="1" ht="31.5" hidden="1" x14ac:dyDescent="0.25">
      <c r="A385" s="206" t="s">
        <v>1193</v>
      </c>
      <c r="B385" s="19">
        <v>903</v>
      </c>
      <c r="C385" s="24" t="s">
        <v>306</v>
      </c>
      <c r="D385" s="24" t="s">
        <v>125</v>
      </c>
      <c r="E385" s="24" t="s">
        <v>1228</v>
      </c>
      <c r="F385" s="24"/>
      <c r="G385" s="21">
        <f t="shared" ref="G385:H386" si="34">G386</f>
        <v>0</v>
      </c>
      <c r="H385" s="21">
        <f t="shared" si="34"/>
        <v>0</v>
      </c>
      <c r="I385" s="381" t="e">
        <f t="shared" si="29"/>
        <v>#DIV/0!</v>
      </c>
    </row>
    <row r="386" spans="1:9" s="203" customFormat="1" ht="15.75" hidden="1" x14ac:dyDescent="0.25">
      <c r="A386" s="98" t="s">
        <v>1200</v>
      </c>
      <c r="B386" s="16">
        <v>903</v>
      </c>
      <c r="C386" s="20" t="s">
        <v>306</v>
      </c>
      <c r="D386" s="20" t="s">
        <v>125</v>
      </c>
      <c r="E386" s="20" t="s">
        <v>1229</v>
      </c>
      <c r="F386" s="20"/>
      <c r="G386" s="26">
        <f t="shared" si="34"/>
        <v>0</v>
      </c>
      <c r="H386" s="26">
        <f t="shared" si="34"/>
        <v>0</v>
      </c>
      <c r="I386" s="381" t="e">
        <f t="shared" si="29"/>
        <v>#DIV/0!</v>
      </c>
    </row>
    <row r="387" spans="1:9" s="203" customFormat="1" ht="31.5" hidden="1" x14ac:dyDescent="0.25">
      <c r="A387" s="25" t="s">
        <v>138</v>
      </c>
      <c r="B387" s="16">
        <v>903</v>
      </c>
      <c r="C387" s="20" t="s">
        <v>306</v>
      </c>
      <c r="D387" s="20" t="s">
        <v>125</v>
      </c>
      <c r="E387" s="20" t="s">
        <v>1229</v>
      </c>
      <c r="F387" s="20" t="s">
        <v>139</v>
      </c>
      <c r="G387" s="26">
        <f>G388</f>
        <v>0</v>
      </c>
      <c r="H387" s="26">
        <f>H388</f>
        <v>0</v>
      </c>
      <c r="I387" s="381" t="e">
        <f t="shared" si="29"/>
        <v>#DIV/0!</v>
      </c>
    </row>
    <row r="388" spans="1:9" s="203" customFormat="1" ht="31.5" hidden="1" x14ac:dyDescent="0.25">
      <c r="A388" s="25" t="s">
        <v>140</v>
      </c>
      <c r="B388" s="16">
        <v>903</v>
      </c>
      <c r="C388" s="20" t="s">
        <v>306</v>
      </c>
      <c r="D388" s="20" t="s">
        <v>125</v>
      </c>
      <c r="E388" s="20" t="s">
        <v>1229</v>
      </c>
      <c r="F388" s="20" t="s">
        <v>141</v>
      </c>
      <c r="G388" s="26">
        <v>0</v>
      </c>
      <c r="H388" s="26">
        <v>0</v>
      </c>
      <c r="I388" s="381" t="e">
        <f t="shared" si="29"/>
        <v>#DIV/0!</v>
      </c>
    </row>
    <row r="389" spans="1:9" s="203" customFormat="1" ht="28.15" hidden="1" customHeight="1" x14ac:dyDescent="0.25">
      <c r="A389" s="332" t="s">
        <v>1347</v>
      </c>
      <c r="B389" s="19">
        <v>903</v>
      </c>
      <c r="C389" s="24" t="s">
        <v>306</v>
      </c>
      <c r="D389" s="24" t="s">
        <v>125</v>
      </c>
      <c r="E389" s="24"/>
      <c r="F389" s="24"/>
      <c r="G389" s="21">
        <f t="shared" ref="G389:H391" si="35">G390</f>
        <v>0</v>
      </c>
      <c r="H389" s="21">
        <f t="shared" si="35"/>
        <v>0</v>
      </c>
      <c r="I389" s="381" t="e">
        <f t="shared" si="29"/>
        <v>#DIV/0!</v>
      </c>
    </row>
    <row r="390" spans="1:9" s="203" customFormat="1" ht="15.75" hidden="1" x14ac:dyDescent="0.25">
      <c r="A390" s="25"/>
      <c r="B390" s="16">
        <v>903</v>
      </c>
      <c r="C390" s="20" t="s">
        <v>306</v>
      </c>
      <c r="D390" s="20" t="s">
        <v>125</v>
      </c>
      <c r="E390" s="20"/>
      <c r="F390" s="20"/>
      <c r="G390" s="26">
        <f t="shared" si="35"/>
        <v>0</v>
      </c>
      <c r="H390" s="26">
        <f t="shared" si="35"/>
        <v>0</v>
      </c>
      <c r="I390" s="381" t="e">
        <f t="shared" si="29"/>
        <v>#DIV/0!</v>
      </c>
    </row>
    <row r="391" spans="1:9" s="203" customFormat="1" ht="31.5" hidden="1" x14ac:dyDescent="0.25">
      <c r="A391" s="25" t="s">
        <v>138</v>
      </c>
      <c r="B391" s="16">
        <v>903</v>
      </c>
      <c r="C391" s="20" t="s">
        <v>306</v>
      </c>
      <c r="D391" s="20" t="s">
        <v>125</v>
      </c>
      <c r="E391" s="20"/>
      <c r="F391" s="20" t="s">
        <v>139</v>
      </c>
      <c r="G391" s="26">
        <f t="shared" si="35"/>
        <v>0</v>
      </c>
      <c r="H391" s="26">
        <f t="shared" si="35"/>
        <v>0</v>
      </c>
      <c r="I391" s="381" t="e">
        <f t="shared" si="29"/>
        <v>#DIV/0!</v>
      </c>
    </row>
    <row r="392" spans="1:9" s="203" customFormat="1" ht="31.5" hidden="1" x14ac:dyDescent="0.25">
      <c r="A392" s="25" t="s">
        <v>140</v>
      </c>
      <c r="B392" s="16">
        <v>903</v>
      </c>
      <c r="C392" s="20" t="s">
        <v>306</v>
      </c>
      <c r="D392" s="20" t="s">
        <v>125</v>
      </c>
      <c r="E392" s="20"/>
      <c r="F392" s="20" t="s">
        <v>141</v>
      </c>
      <c r="G392" s="26">
        <v>0</v>
      </c>
      <c r="H392" s="26">
        <v>0</v>
      </c>
      <c r="I392" s="381" t="e">
        <f t="shared" si="29"/>
        <v>#DIV/0!</v>
      </c>
    </row>
    <row r="393" spans="1:9" ht="47.25" hidden="1" x14ac:dyDescent="0.25">
      <c r="A393" s="34" t="s">
        <v>1456</v>
      </c>
      <c r="B393" s="19">
        <v>903</v>
      </c>
      <c r="C393" s="24" t="s">
        <v>306</v>
      </c>
      <c r="D393" s="24" t="s">
        <v>125</v>
      </c>
      <c r="E393" s="24" t="s">
        <v>331</v>
      </c>
      <c r="F393" s="24"/>
      <c r="G393" s="21">
        <f>G395</f>
        <v>0</v>
      </c>
      <c r="H393" s="21">
        <f>H395</f>
        <v>0</v>
      </c>
      <c r="I393" s="381" t="e">
        <f t="shared" si="29"/>
        <v>#DIV/0!</v>
      </c>
    </row>
    <row r="394" spans="1:9" s="203" customFormat="1" ht="47.25" hidden="1" x14ac:dyDescent="0.25">
      <c r="A394" s="34" t="s">
        <v>1035</v>
      </c>
      <c r="B394" s="19">
        <v>903</v>
      </c>
      <c r="C394" s="24" t="s">
        <v>306</v>
      </c>
      <c r="D394" s="24" t="s">
        <v>125</v>
      </c>
      <c r="E394" s="24" t="s">
        <v>944</v>
      </c>
      <c r="F394" s="24"/>
      <c r="G394" s="21">
        <f>G397</f>
        <v>0</v>
      </c>
      <c r="H394" s="21">
        <f>H397</f>
        <v>0</v>
      </c>
      <c r="I394" s="381" t="e">
        <f t="shared" si="29"/>
        <v>#DIV/0!</v>
      </c>
    </row>
    <row r="395" spans="1:9" ht="47.25" hidden="1" x14ac:dyDescent="0.25">
      <c r="A395" s="31" t="s">
        <v>1091</v>
      </c>
      <c r="B395" s="16">
        <v>903</v>
      </c>
      <c r="C395" s="20" t="s">
        <v>306</v>
      </c>
      <c r="D395" s="20" t="s">
        <v>125</v>
      </c>
      <c r="E395" s="20" t="s">
        <v>1036</v>
      </c>
      <c r="F395" s="20"/>
      <c r="G395" s="26">
        <f>G396</f>
        <v>0</v>
      </c>
      <c r="H395" s="26">
        <f>H396</f>
        <v>0</v>
      </c>
      <c r="I395" s="381" t="e">
        <f t="shared" ref="I395:I458" si="36">H395/G395*100</f>
        <v>#DIV/0!</v>
      </c>
    </row>
    <row r="396" spans="1:9" ht="31.5" hidden="1" x14ac:dyDescent="0.25">
      <c r="A396" s="25" t="s">
        <v>138</v>
      </c>
      <c r="B396" s="16">
        <v>903</v>
      </c>
      <c r="C396" s="20" t="s">
        <v>306</v>
      </c>
      <c r="D396" s="20" t="s">
        <v>125</v>
      </c>
      <c r="E396" s="20" t="s">
        <v>1036</v>
      </c>
      <c r="F396" s="20" t="s">
        <v>139</v>
      </c>
      <c r="G396" s="26">
        <f>G397</f>
        <v>0</v>
      </c>
      <c r="H396" s="26">
        <f>H397</f>
        <v>0</v>
      </c>
      <c r="I396" s="381" t="e">
        <f t="shared" si="36"/>
        <v>#DIV/0!</v>
      </c>
    </row>
    <row r="397" spans="1:9" ht="31.5" hidden="1" x14ac:dyDescent="0.25">
      <c r="A397" s="25" t="s">
        <v>140</v>
      </c>
      <c r="B397" s="16">
        <v>903</v>
      </c>
      <c r="C397" s="20" t="s">
        <v>306</v>
      </c>
      <c r="D397" s="20" t="s">
        <v>125</v>
      </c>
      <c r="E397" s="20" t="s">
        <v>1036</v>
      </c>
      <c r="F397" s="20" t="s">
        <v>141</v>
      </c>
      <c r="G397" s="26">
        <v>0</v>
      </c>
      <c r="H397" s="26">
        <v>0</v>
      </c>
      <c r="I397" s="381" t="e">
        <f t="shared" si="36"/>
        <v>#DIV/0!</v>
      </c>
    </row>
    <row r="398" spans="1:9" ht="47.25" x14ac:dyDescent="0.25">
      <c r="A398" s="41" t="s">
        <v>1358</v>
      </c>
      <c r="B398" s="19">
        <v>903</v>
      </c>
      <c r="C398" s="24" t="s">
        <v>306</v>
      </c>
      <c r="D398" s="24" t="s">
        <v>125</v>
      </c>
      <c r="E398" s="24" t="s">
        <v>715</v>
      </c>
      <c r="F398" s="217"/>
      <c r="G398" s="21">
        <f t="shared" ref="G398:H401" si="37">G399</f>
        <v>871.7</v>
      </c>
      <c r="H398" s="21">
        <f t="shared" si="37"/>
        <v>214.83199999999999</v>
      </c>
      <c r="I398" s="437">
        <f t="shared" si="36"/>
        <v>24.645176092692438</v>
      </c>
    </row>
    <row r="399" spans="1:9" s="203" customFormat="1" ht="47.25" x14ac:dyDescent="0.25">
      <c r="A399" s="41" t="s">
        <v>900</v>
      </c>
      <c r="B399" s="19">
        <v>903</v>
      </c>
      <c r="C399" s="24" t="s">
        <v>306</v>
      </c>
      <c r="D399" s="24" t="s">
        <v>125</v>
      </c>
      <c r="E399" s="24" t="s">
        <v>898</v>
      </c>
      <c r="F399" s="217"/>
      <c r="G399" s="21">
        <f t="shared" si="37"/>
        <v>871.7</v>
      </c>
      <c r="H399" s="21">
        <f t="shared" si="37"/>
        <v>214.83199999999999</v>
      </c>
      <c r="I399" s="437">
        <f t="shared" si="36"/>
        <v>24.645176092692438</v>
      </c>
    </row>
    <row r="400" spans="1:9" ht="31.5" x14ac:dyDescent="0.25">
      <c r="A400" s="98" t="s">
        <v>1032</v>
      </c>
      <c r="B400" s="16">
        <v>903</v>
      </c>
      <c r="C400" s="20" t="s">
        <v>306</v>
      </c>
      <c r="D400" s="20" t="s">
        <v>125</v>
      </c>
      <c r="E400" s="20" t="s">
        <v>899</v>
      </c>
      <c r="F400" s="32"/>
      <c r="G400" s="26">
        <f t="shared" si="37"/>
        <v>871.7</v>
      </c>
      <c r="H400" s="26">
        <f t="shared" si="37"/>
        <v>214.83199999999999</v>
      </c>
      <c r="I400" s="381">
        <f t="shared" si="36"/>
        <v>24.645176092692438</v>
      </c>
    </row>
    <row r="401" spans="1:9" ht="31.5" x14ac:dyDescent="0.25">
      <c r="A401" s="25" t="s">
        <v>138</v>
      </c>
      <c r="B401" s="16">
        <v>903</v>
      </c>
      <c r="C401" s="20" t="s">
        <v>306</v>
      </c>
      <c r="D401" s="20" t="s">
        <v>125</v>
      </c>
      <c r="E401" s="20" t="s">
        <v>899</v>
      </c>
      <c r="F401" s="32" t="s">
        <v>139</v>
      </c>
      <c r="G401" s="26">
        <f t="shared" si="37"/>
        <v>871.7</v>
      </c>
      <c r="H401" s="26">
        <f t="shared" si="37"/>
        <v>214.83199999999999</v>
      </c>
      <c r="I401" s="381">
        <f t="shared" si="36"/>
        <v>24.645176092692438</v>
      </c>
    </row>
    <row r="402" spans="1:9" ht="31.5" x14ac:dyDescent="0.25">
      <c r="A402" s="25" t="s">
        <v>140</v>
      </c>
      <c r="B402" s="16">
        <v>903</v>
      </c>
      <c r="C402" s="20" t="s">
        <v>306</v>
      </c>
      <c r="D402" s="20" t="s">
        <v>125</v>
      </c>
      <c r="E402" s="20" t="s">
        <v>899</v>
      </c>
      <c r="F402" s="32" t="s">
        <v>141</v>
      </c>
      <c r="G402" s="26">
        <f>844.9-39.8-34.4+70.4+30.6</f>
        <v>871.7</v>
      </c>
      <c r="H402" s="26">
        <v>214.83199999999999</v>
      </c>
      <c r="I402" s="381">
        <f t="shared" si="36"/>
        <v>24.645176092692438</v>
      </c>
    </row>
    <row r="403" spans="1:9" ht="15.75" x14ac:dyDescent="0.25">
      <c r="A403" s="23" t="s">
        <v>340</v>
      </c>
      <c r="B403" s="19">
        <v>903</v>
      </c>
      <c r="C403" s="24" t="s">
        <v>306</v>
      </c>
      <c r="D403" s="24" t="s">
        <v>157</v>
      </c>
      <c r="E403" s="24"/>
      <c r="F403" s="24"/>
      <c r="G403" s="21">
        <f>G404+G414+G426+G432</f>
        <v>18510.400000000001</v>
      </c>
      <c r="H403" s="21">
        <f>H404+H414+H426+H432</f>
        <v>4442.7870000000003</v>
      </c>
      <c r="I403" s="437">
        <f t="shared" si="36"/>
        <v>24.001572089203908</v>
      </c>
    </row>
    <row r="404" spans="1:9" s="203" customFormat="1" ht="31.5" x14ac:dyDescent="0.25">
      <c r="A404" s="23" t="s">
        <v>927</v>
      </c>
      <c r="B404" s="19">
        <v>903</v>
      </c>
      <c r="C404" s="24" t="s">
        <v>306</v>
      </c>
      <c r="D404" s="24" t="s">
        <v>157</v>
      </c>
      <c r="E404" s="24" t="s">
        <v>868</v>
      </c>
      <c r="F404" s="24"/>
      <c r="G404" s="21">
        <f>G405</f>
        <v>7291.6</v>
      </c>
      <c r="H404" s="21">
        <f>H405</f>
        <v>1756.2360000000001</v>
      </c>
      <c r="I404" s="437">
        <f t="shared" si="36"/>
        <v>24.085742498217126</v>
      </c>
    </row>
    <row r="405" spans="1:9" s="203" customFormat="1" ht="15.75" x14ac:dyDescent="0.25">
      <c r="A405" s="23" t="s">
        <v>928</v>
      </c>
      <c r="B405" s="19">
        <v>903</v>
      </c>
      <c r="C405" s="24" t="s">
        <v>306</v>
      </c>
      <c r="D405" s="24" t="s">
        <v>157</v>
      </c>
      <c r="E405" s="24" t="s">
        <v>869</v>
      </c>
      <c r="F405" s="24"/>
      <c r="G405" s="21">
        <f>G406+G411</f>
        <v>7291.6</v>
      </c>
      <c r="H405" s="21">
        <f>H406+H411</f>
        <v>1756.2360000000001</v>
      </c>
      <c r="I405" s="437">
        <f t="shared" si="36"/>
        <v>24.085742498217126</v>
      </c>
    </row>
    <row r="406" spans="1:9" s="203" customFormat="1" ht="31.5" x14ac:dyDescent="0.25">
      <c r="A406" s="25" t="s">
        <v>907</v>
      </c>
      <c r="B406" s="16">
        <v>903</v>
      </c>
      <c r="C406" s="20" t="s">
        <v>306</v>
      </c>
      <c r="D406" s="20" t="s">
        <v>157</v>
      </c>
      <c r="E406" s="20" t="s">
        <v>870</v>
      </c>
      <c r="F406" s="20"/>
      <c r="G406" s="26">
        <f>G407+G409</f>
        <v>7015.6</v>
      </c>
      <c r="H406" s="26">
        <f>H407+H409</f>
        <v>1563.2360000000001</v>
      </c>
      <c r="I406" s="381">
        <f t="shared" si="36"/>
        <v>22.282285192998462</v>
      </c>
    </row>
    <row r="407" spans="1:9" s="203" customFormat="1" ht="63" x14ac:dyDescent="0.25">
      <c r="A407" s="25" t="s">
        <v>134</v>
      </c>
      <c r="B407" s="16">
        <v>903</v>
      </c>
      <c r="C407" s="20" t="s">
        <v>306</v>
      </c>
      <c r="D407" s="20" t="s">
        <v>157</v>
      </c>
      <c r="E407" s="20" t="s">
        <v>870</v>
      </c>
      <c r="F407" s="20" t="s">
        <v>135</v>
      </c>
      <c r="G407" s="26">
        <f>G408</f>
        <v>7015.6</v>
      </c>
      <c r="H407" s="26">
        <f>H408</f>
        <v>1563.2360000000001</v>
      </c>
      <c r="I407" s="381">
        <f t="shared" si="36"/>
        <v>22.282285192998462</v>
      </c>
    </row>
    <row r="408" spans="1:9" s="203" customFormat="1" ht="31.5" x14ac:dyDescent="0.25">
      <c r="A408" s="25" t="s">
        <v>136</v>
      </c>
      <c r="B408" s="16">
        <v>903</v>
      </c>
      <c r="C408" s="20" t="s">
        <v>306</v>
      </c>
      <c r="D408" s="20" t="s">
        <v>157</v>
      </c>
      <c r="E408" s="20" t="s">
        <v>870</v>
      </c>
      <c r="F408" s="20" t="s">
        <v>137</v>
      </c>
      <c r="G408" s="27">
        <f>7015.6</f>
        <v>7015.6</v>
      </c>
      <c r="H408" s="27">
        <v>1563.2360000000001</v>
      </c>
      <c r="I408" s="381">
        <f t="shared" si="36"/>
        <v>22.282285192998462</v>
      </c>
    </row>
    <row r="409" spans="1:9" s="203" customFormat="1" ht="31.5" hidden="1" x14ac:dyDescent="0.25">
      <c r="A409" s="25" t="s">
        <v>138</v>
      </c>
      <c r="B409" s="16">
        <v>903</v>
      </c>
      <c r="C409" s="20" t="s">
        <v>306</v>
      </c>
      <c r="D409" s="20" t="s">
        <v>157</v>
      </c>
      <c r="E409" s="20" t="s">
        <v>870</v>
      </c>
      <c r="F409" s="20" t="s">
        <v>139</v>
      </c>
      <c r="G409" s="26">
        <f>G410</f>
        <v>0</v>
      </c>
      <c r="H409" s="26">
        <f>H410</f>
        <v>0</v>
      </c>
      <c r="I409" s="381" t="e">
        <f t="shared" si="36"/>
        <v>#DIV/0!</v>
      </c>
    </row>
    <row r="410" spans="1:9" s="203" customFormat="1" ht="31.5" hidden="1" x14ac:dyDescent="0.25">
      <c r="A410" s="25" t="s">
        <v>140</v>
      </c>
      <c r="B410" s="16">
        <v>903</v>
      </c>
      <c r="C410" s="20" t="s">
        <v>306</v>
      </c>
      <c r="D410" s="20" t="s">
        <v>157</v>
      </c>
      <c r="E410" s="20" t="s">
        <v>870</v>
      </c>
      <c r="F410" s="20" t="s">
        <v>141</v>
      </c>
      <c r="G410" s="26">
        <v>0</v>
      </c>
      <c r="H410" s="26">
        <v>0</v>
      </c>
      <c r="I410" s="381" t="e">
        <f t="shared" si="36"/>
        <v>#DIV/0!</v>
      </c>
    </row>
    <row r="411" spans="1:9" s="203" customFormat="1" ht="31.5" x14ac:dyDescent="0.25">
      <c r="A411" s="25" t="s">
        <v>849</v>
      </c>
      <c r="B411" s="16">
        <v>903</v>
      </c>
      <c r="C411" s="20" t="s">
        <v>306</v>
      </c>
      <c r="D411" s="20" t="s">
        <v>157</v>
      </c>
      <c r="E411" s="20" t="s">
        <v>872</v>
      </c>
      <c r="F411" s="20"/>
      <c r="G411" s="26">
        <f>G412</f>
        <v>276</v>
      </c>
      <c r="H411" s="26">
        <f>H412</f>
        <v>193</v>
      </c>
      <c r="I411" s="381">
        <f t="shared" si="36"/>
        <v>69.927536231884062</v>
      </c>
    </row>
    <row r="412" spans="1:9" s="203" customFormat="1" ht="63" x14ac:dyDescent="0.25">
      <c r="A412" s="25" t="s">
        <v>134</v>
      </c>
      <c r="B412" s="16">
        <v>903</v>
      </c>
      <c r="C412" s="20" t="s">
        <v>306</v>
      </c>
      <c r="D412" s="20" t="s">
        <v>157</v>
      </c>
      <c r="E412" s="20" t="s">
        <v>872</v>
      </c>
      <c r="F412" s="20" t="s">
        <v>135</v>
      </c>
      <c r="G412" s="26">
        <f>G413</f>
        <v>276</v>
      </c>
      <c r="H412" s="26">
        <f>H413</f>
        <v>193</v>
      </c>
      <c r="I412" s="381">
        <f t="shared" si="36"/>
        <v>69.927536231884062</v>
      </c>
    </row>
    <row r="413" spans="1:9" s="203" customFormat="1" ht="31.5" x14ac:dyDescent="0.25">
      <c r="A413" s="25" t="s">
        <v>136</v>
      </c>
      <c r="B413" s="16">
        <v>903</v>
      </c>
      <c r="C413" s="20" t="s">
        <v>306</v>
      </c>
      <c r="D413" s="20" t="s">
        <v>157</v>
      </c>
      <c r="E413" s="20" t="s">
        <v>872</v>
      </c>
      <c r="F413" s="20" t="s">
        <v>137</v>
      </c>
      <c r="G413" s="26">
        <v>276</v>
      </c>
      <c r="H413" s="26">
        <v>193</v>
      </c>
      <c r="I413" s="381">
        <f t="shared" si="36"/>
        <v>69.927536231884062</v>
      </c>
    </row>
    <row r="414" spans="1:9" s="203" customFormat="1" ht="15.75" x14ac:dyDescent="0.25">
      <c r="A414" s="23" t="s">
        <v>936</v>
      </c>
      <c r="B414" s="19">
        <v>903</v>
      </c>
      <c r="C414" s="24" t="s">
        <v>306</v>
      </c>
      <c r="D414" s="24" t="s">
        <v>157</v>
      </c>
      <c r="E414" s="24" t="s">
        <v>876</v>
      </c>
      <c r="F414" s="24"/>
      <c r="G414" s="21">
        <f>G415</f>
        <v>11014.8</v>
      </c>
      <c r="H414" s="21">
        <f>H415</f>
        <v>2686.5509999999999</v>
      </c>
      <c r="I414" s="437">
        <f t="shared" si="36"/>
        <v>24.390374768493299</v>
      </c>
    </row>
    <row r="415" spans="1:9" s="203" customFormat="1" ht="31.7" customHeight="1" x14ac:dyDescent="0.25">
      <c r="A415" s="23" t="s">
        <v>939</v>
      </c>
      <c r="B415" s="19">
        <v>903</v>
      </c>
      <c r="C415" s="24" t="s">
        <v>306</v>
      </c>
      <c r="D415" s="24" t="s">
        <v>157</v>
      </c>
      <c r="E415" s="24" t="s">
        <v>924</v>
      </c>
      <c r="F415" s="24"/>
      <c r="G415" s="21">
        <f>G416+G423</f>
        <v>11014.8</v>
      </c>
      <c r="H415" s="21">
        <f>H416+H423</f>
        <v>2686.5509999999999</v>
      </c>
      <c r="I415" s="437">
        <f t="shared" si="36"/>
        <v>24.390374768493299</v>
      </c>
    </row>
    <row r="416" spans="1:9" s="203" customFormat="1" ht="30.75" customHeight="1" x14ac:dyDescent="0.25">
      <c r="A416" s="25" t="s">
        <v>913</v>
      </c>
      <c r="B416" s="16">
        <v>903</v>
      </c>
      <c r="C416" s="20" t="s">
        <v>306</v>
      </c>
      <c r="D416" s="20" t="s">
        <v>157</v>
      </c>
      <c r="E416" s="20" t="s">
        <v>925</v>
      </c>
      <c r="F416" s="20"/>
      <c r="G416" s="26">
        <f>G417+G419+G421</f>
        <v>10804.8</v>
      </c>
      <c r="H416" s="26">
        <f>H417+H419+H421</f>
        <v>2508.8710000000001</v>
      </c>
      <c r="I416" s="381">
        <f t="shared" si="36"/>
        <v>23.219967051680737</v>
      </c>
    </row>
    <row r="417" spans="1:9" s="203" customFormat="1" ht="63" x14ac:dyDescent="0.25">
      <c r="A417" s="25" t="s">
        <v>134</v>
      </c>
      <c r="B417" s="16">
        <v>903</v>
      </c>
      <c r="C417" s="20" t="s">
        <v>306</v>
      </c>
      <c r="D417" s="20" t="s">
        <v>157</v>
      </c>
      <c r="E417" s="20" t="s">
        <v>925</v>
      </c>
      <c r="F417" s="20" t="s">
        <v>135</v>
      </c>
      <c r="G417" s="26">
        <f>G418</f>
        <v>8853.7999999999993</v>
      </c>
      <c r="H417" s="26">
        <f>H418</f>
        <v>2026.873</v>
      </c>
      <c r="I417" s="381">
        <f t="shared" si="36"/>
        <v>22.892690144344805</v>
      </c>
    </row>
    <row r="418" spans="1:9" s="203" customFormat="1" ht="21.2" customHeight="1" x14ac:dyDescent="0.25">
      <c r="A418" s="25" t="s">
        <v>349</v>
      </c>
      <c r="B418" s="16">
        <v>903</v>
      </c>
      <c r="C418" s="20" t="s">
        <v>306</v>
      </c>
      <c r="D418" s="20" t="s">
        <v>157</v>
      </c>
      <c r="E418" s="20" t="s">
        <v>925</v>
      </c>
      <c r="F418" s="20" t="s">
        <v>216</v>
      </c>
      <c r="G418" s="27">
        <f>8853.8</f>
        <v>8853.7999999999993</v>
      </c>
      <c r="H418" s="27">
        <v>2026.873</v>
      </c>
      <c r="I418" s="381">
        <f t="shared" si="36"/>
        <v>22.892690144344805</v>
      </c>
    </row>
    <row r="419" spans="1:9" s="203" customFormat="1" ht="31.5" x14ac:dyDescent="0.25">
      <c r="A419" s="25" t="s">
        <v>138</v>
      </c>
      <c r="B419" s="16">
        <v>903</v>
      </c>
      <c r="C419" s="20" t="s">
        <v>306</v>
      </c>
      <c r="D419" s="20" t="s">
        <v>157</v>
      </c>
      <c r="E419" s="20" t="s">
        <v>925</v>
      </c>
      <c r="F419" s="20" t="s">
        <v>139</v>
      </c>
      <c r="G419" s="26">
        <f>G420</f>
        <v>1937</v>
      </c>
      <c r="H419" s="26">
        <f>H420</f>
        <v>480.55200000000002</v>
      </c>
      <c r="I419" s="381">
        <f t="shared" si="36"/>
        <v>24.809086215797628</v>
      </c>
    </row>
    <row r="420" spans="1:9" s="203" customFormat="1" ht="31.5" x14ac:dyDescent="0.25">
      <c r="A420" s="25" t="s">
        <v>140</v>
      </c>
      <c r="B420" s="16">
        <v>903</v>
      </c>
      <c r="C420" s="20" t="s">
        <v>306</v>
      </c>
      <c r="D420" s="20" t="s">
        <v>157</v>
      </c>
      <c r="E420" s="20" t="s">
        <v>925</v>
      </c>
      <c r="F420" s="20" t="s">
        <v>141</v>
      </c>
      <c r="G420" s="27">
        <f>1936.4+0.6</f>
        <v>1937</v>
      </c>
      <c r="H420" s="27">
        <v>480.55200000000002</v>
      </c>
      <c r="I420" s="381">
        <f t="shared" si="36"/>
        <v>24.809086215797628</v>
      </c>
    </row>
    <row r="421" spans="1:9" s="203" customFormat="1" ht="15.75" x14ac:dyDescent="0.25">
      <c r="A421" s="25" t="s">
        <v>142</v>
      </c>
      <c r="B421" s="16">
        <v>903</v>
      </c>
      <c r="C421" s="20" t="s">
        <v>306</v>
      </c>
      <c r="D421" s="20" t="s">
        <v>157</v>
      </c>
      <c r="E421" s="20" t="s">
        <v>925</v>
      </c>
      <c r="F421" s="20" t="s">
        <v>152</v>
      </c>
      <c r="G421" s="26">
        <f>G422</f>
        <v>14</v>
      </c>
      <c r="H421" s="26">
        <f>H422</f>
        <v>1.446</v>
      </c>
      <c r="I421" s="381">
        <f t="shared" si="36"/>
        <v>10.328571428571429</v>
      </c>
    </row>
    <row r="422" spans="1:9" s="203" customFormat="1" ht="15.75" x14ac:dyDescent="0.25">
      <c r="A422" s="25" t="s">
        <v>575</v>
      </c>
      <c r="B422" s="16">
        <v>903</v>
      </c>
      <c r="C422" s="20" t="s">
        <v>306</v>
      </c>
      <c r="D422" s="20" t="s">
        <v>157</v>
      </c>
      <c r="E422" s="20" t="s">
        <v>925</v>
      </c>
      <c r="F422" s="20" t="s">
        <v>145</v>
      </c>
      <c r="G422" s="26">
        <v>14</v>
      </c>
      <c r="H422" s="26">
        <v>1.446</v>
      </c>
      <c r="I422" s="381">
        <f t="shared" si="36"/>
        <v>10.328571428571429</v>
      </c>
    </row>
    <row r="423" spans="1:9" s="203" customFormat="1" ht="31.5" x14ac:dyDescent="0.25">
      <c r="A423" s="25" t="s">
        <v>849</v>
      </c>
      <c r="B423" s="16">
        <v>903</v>
      </c>
      <c r="C423" s="20" t="s">
        <v>306</v>
      </c>
      <c r="D423" s="20" t="s">
        <v>157</v>
      </c>
      <c r="E423" s="20" t="s">
        <v>926</v>
      </c>
      <c r="F423" s="20"/>
      <c r="G423" s="26">
        <f>G424</f>
        <v>210</v>
      </c>
      <c r="H423" s="26">
        <f>H424</f>
        <v>177.68</v>
      </c>
      <c r="I423" s="381">
        <f t="shared" si="36"/>
        <v>84.609523809523807</v>
      </c>
    </row>
    <row r="424" spans="1:9" s="203" customFormat="1" ht="63" x14ac:dyDescent="0.25">
      <c r="A424" s="25" t="s">
        <v>134</v>
      </c>
      <c r="B424" s="16">
        <v>903</v>
      </c>
      <c r="C424" s="20" t="s">
        <v>306</v>
      </c>
      <c r="D424" s="20" t="s">
        <v>157</v>
      </c>
      <c r="E424" s="20" t="s">
        <v>926</v>
      </c>
      <c r="F424" s="20" t="s">
        <v>135</v>
      </c>
      <c r="G424" s="26">
        <f>G425</f>
        <v>210</v>
      </c>
      <c r="H424" s="26">
        <f>H425</f>
        <v>177.68</v>
      </c>
      <c r="I424" s="381">
        <f t="shared" si="36"/>
        <v>84.609523809523807</v>
      </c>
    </row>
    <row r="425" spans="1:9" s="203" customFormat="1" ht="15.75" x14ac:dyDescent="0.25">
      <c r="A425" s="25" t="s">
        <v>349</v>
      </c>
      <c r="B425" s="16">
        <v>903</v>
      </c>
      <c r="C425" s="20" t="s">
        <v>306</v>
      </c>
      <c r="D425" s="20" t="s">
        <v>157</v>
      </c>
      <c r="E425" s="20" t="s">
        <v>926</v>
      </c>
      <c r="F425" s="20" t="s">
        <v>216</v>
      </c>
      <c r="G425" s="26">
        <v>210</v>
      </c>
      <c r="H425" s="26">
        <v>177.68</v>
      </c>
      <c r="I425" s="381">
        <f t="shared" si="36"/>
        <v>84.609523809523807</v>
      </c>
    </row>
    <row r="426" spans="1:9" ht="48.2" customHeight="1" x14ac:dyDescent="0.25">
      <c r="A426" s="23" t="s">
        <v>1364</v>
      </c>
      <c r="B426" s="19">
        <v>903</v>
      </c>
      <c r="C426" s="24" t="s">
        <v>306</v>
      </c>
      <c r="D426" s="24" t="s">
        <v>157</v>
      </c>
      <c r="E426" s="24" t="s">
        <v>351</v>
      </c>
      <c r="F426" s="24"/>
      <c r="G426" s="21">
        <f t="shared" ref="G426:H430" si="38">G427</f>
        <v>200</v>
      </c>
      <c r="H426" s="21">
        <f t="shared" si="38"/>
        <v>0</v>
      </c>
      <c r="I426" s="437">
        <f t="shared" si="36"/>
        <v>0</v>
      </c>
    </row>
    <row r="427" spans="1:9" ht="31.5" x14ac:dyDescent="0.25">
      <c r="A427" s="23" t="s">
        <v>1370</v>
      </c>
      <c r="B427" s="19">
        <v>903</v>
      </c>
      <c r="C427" s="24" t="s">
        <v>306</v>
      </c>
      <c r="D427" s="24" t="s">
        <v>157</v>
      </c>
      <c r="E427" s="24" t="s">
        <v>369</v>
      </c>
      <c r="F427" s="24"/>
      <c r="G427" s="21">
        <f t="shared" si="38"/>
        <v>200</v>
      </c>
      <c r="H427" s="21">
        <f t="shared" si="38"/>
        <v>0</v>
      </c>
      <c r="I427" s="437">
        <f t="shared" si="36"/>
        <v>0</v>
      </c>
    </row>
    <row r="428" spans="1:9" s="203" customFormat="1" ht="31.5" x14ac:dyDescent="0.25">
      <c r="A428" s="23" t="s">
        <v>1007</v>
      </c>
      <c r="B428" s="19">
        <v>903</v>
      </c>
      <c r="C428" s="24" t="s">
        <v>306</v>
      </c>
      <c r="D428" s="24" t="s">
        <v>157</v>
      </c>
      <c r="E428" s="24" t="s">
        <v>1236</v>
      </c>
      <c r="F428" s="24"/>
      <c r="G428" s="21">
        <f t="shared" si="38"/>
        <v>200</v>
      </c>
      <c r="H428" s="21">
        <f t="shared" si="38"/>
        <v>0</v>
      </c>
      <c r="I428" s="437">
        <f t="shared" si="36"/>
        <v>0</v>
      </c>
    </row>
    <row r="429" spans="1:9" ht="15.75" x14ac:dyDescent="0.25">
      <c r="A429" s="25" t="s">
        <v>1006</v>
      </c>
      <c r="B429" s="16">
        <v>903</v>
      </c>
      <c r="C429" s="20" t="s">
        <v>306</v>
      </c>
      <c r="D429" s="20" t="s">
        <v>157</v>
      </c>
      <c r="E429" s="20" t="s">
        <v>1237</v>
      </c>
      <c r="F429" s="20"/>
      <c r="G429" s="26">
        <f t="shared" si="38"/>
        <v>200</v>
      </c>
      <c r="H429" s="26">
        <f t="shared" si="38"/>
        <v>0</v>
      </c>
      <c r="I429" s="381">
        <f t="shared" si="36"/>
        <v>0</v>
      </c>
    </row>
    <row r="430" spans="1:9" ht="31.5" x14ac:dyDescent="0.25">
      <c r="A430" s="25" t="s">
        <v>138</v>
      </c>
      <c r="B430" s="16">
        <v>903</v>
      </c>
      <c r="C430" s="20" t="s">
        <v>306</v>
      </c>
      <c r="D430" s="20" t="s">
        <v>157</v>
      </c>
      <c r="E430" s="20" t="s">
        <v>1237</v>
      </c>
      <c r="F430" s="20" t="s">
        <v>139</v>
      </c>
      <c r="G430" s="26">
        <f t="shared" si="38"/>
        <v>200</v>
      </c>
      <c r="H430" s="26">
        <f t="shared" si="38"/>
        <v>0</v>
      </c>
      <c r="I430" s="381">
        <f t="shared" si="36"/>
        <v>0</v>
      </c>
    </row>
    <row r="431" spans="1:9" ht="31.5" x14ac:dyDescent="0.25">
      <c r="A431" s="25" t="s">
        <v>140</v>
      </c>
      <c r="B431" s="16">
        <v>903</v>
      </c>
      <c r="C431" s="20" t="s">
        <v>306</v>
      </c>
      <c r="D431" s="20" t="s">
        <v>157</v>
      </c>
      <c r="E431" s="20" t="s">
        <v>1237</v>
      </c>
      <c r="F431" s="20" t="s">
        <v>141</v>
      </c>
      <c r="G431" s="26">
        <f>210+50-60</f>
        <v>200</v>
      </c>
      <c r="H431" s="26">
        <v>0</v>
      </c>
      <c r="I431" s="381">
        <f t="shared" si="36"/>
        <v>0</v>
      </c>
    </row>
    <row r="432" spans="1:9" s="203" customFormat="1" ht="47.25" x14ac:dyDescent="0.25">
      <c r="A432" s="34" t="s">
        <v>1374</v>
      </c>
      <c r="B432" s="19">
        <v>903</v>
      </c>
      <c r="C432" s="24" t="s">
        <v>306</v>
      </c>
      <c r="D432" s="24" t="s">
        <v>157</v>
      </c>
      <c r="E432" s="24" t="s">
        <v>331</v>
      </c>
      <c r="F432" s="24"/>
      <c r="G432" s="21">
        <f>G434</f>
        <v>4</v>
      </c>
      <c r="H432" s="21">
        <f>H434</f>
        <v>0</v>
      </c>
      <c r="I432" s="437">
        <f t="shared" si="36"/>
        <v>0</v>
      </c>
    </row>
    <row r="433" spans="1:9" s="203" customFormat="1" ht="47.25" x14ac:dyDescent="0.25">
      <c r="A433" s="34" t="s">
        <v>1035</v>
      </c>
      <c r="B433" s="19">
        <v>903</v>
      </c>
      <c r="C433" s="24" t="s">
        <v>306</v>
      </c>
      <c r="D433" s="24" t="s">
        <v>157</v>
      </c>
      <c r="E433" s="24" t="s">
        <v>944</v>
      </c>
      <c r="F433" s="24"/>
      <c r="G433" s="21">
        <f>G436</f>
        <v>4</v>
      </c>
      <c r="H433" s="21">
        <f>H436</f>
        <v>0</v>
      </c>
      <c r="I433" s="437">
        <f t="shared" si="36"/>
        <v>0</v>
      </c>
    </row>
    <row r="434" spans="1:9" s="203" customFormat="1" ht="47.25" x14ac:dyDescent="0.25">
      <c r="A434" s="31" t="s">
        <v>1091</v>
      </c>
      <c r="B434" s="16">
        <v>903</v>
      </c>
      <c r="C434" s="20" t="s">
        <v>306</v>
      </c>
      <c r="D434" s="20" t="s">
        <v>157</v>
      </c>
      <c r="E434" s="20" t="s">
        <v>1036</v>
      </c>
      <c r="F434" s="20"/>
      <c r="G434" s="26">
        <f>G435</f>
        <v>4</v>
      </c>
      <c r="H434" s="26">
        <f>H435</f>
        <v>0</v>
      </c>
      <c r="I434" s="381">
        <f t="shared" si="36"/>
        <v>0</v>
      </c>
    </row>
    <row r="435" spans="1:9" s="203" customFormat="1" ht="31.5" x14ac:dyDescent="0.25">
      <c r="A435" s="25" t="s">
        <v>138</v>
      </c>
      <c r="B435" s="16">
        <v>903</v>
      </c>
      <c r="C435" s="20" t="s">
        <v>306</v>
      </c>
      <c r="D435" s="20" t="s">
        <v>157</v>
      </c>
      <c r="E435" s="20" t="s">
        <v>1036</v>
      </c>
      <c r="F435" s="20" t="s">
        <v>139</v>
      </c>
      <c r="G435" s="26">
        <f>G436</f>
        <v>4</v>
      </c>
      <c r="H435" s="26">
        <f>H436</f>
        <v>0</v>
      </c>
      <c r="I435" s="381">
        <f t="shared" si="36"/>
        <v>0</v>
      </c>
    </row>
    <row r="436" spans="1:9" s="203" customFormat="1" ht="31.5" x14ac:dyDescent="0.25">
      <c r="A436" s="25" t="s">
        <v>140</v>
      </c>
      <c r="B436" s="16">
        <v>903</v>
      </c>
      <c r="C436" s="20" t="s">
        <v>306</v>
      </c>
      <c r="D436" s="20" t="s">
        <v>157</v>
      </c>
      <c r="E436" s="20" t="s">
        <v>1036</v>
      </c>
      <c r="F436" s="20" t="s">
        <v>141</v>
      </c>
      <c r="G436" s="26">
        <v>4</v>
      </c>
      <c r="H436" s="26">
        <v>0</v>
      </c>
      <c r="I436" s="381">
        <f t="shared" si="36"/>
        <v>0</v>
      </c>
    </row>
    <row r="437" spans="1:9" ht="15.75" x14ac:dyDescent="0.25">
      <c r="A437" s="23" t="s">
        <v>250</v>
      </c>
      <c r="B437" s="19">
        <v>903</v>
      </c>
      <c r="C437" s="24" t="s">
        <v>251</v>
      </c>
      <c r="D437" s="24"/>
      <c r="E437" s="24"/>
      <c r="F437" s="24"/>
      <c r="G437" s="21">
        <f>G438</f>
        <v>1707</v>
      </c>
      <c r="H437" s="21">
        <f>H438</f>
        <v>208.893</v>
      </c>
      <c r="I437" s="437">
        <f t="shared" si="36"/>
        <v>12.237434094903339</v>
      </c>
    </row>
    <row r="438" spans="1:9" ht="15.75" x14ac:dyDescent="0.25">
      <c r="A438" s="23" t="s">
        <v>259</v>
      </c>
      <c r="B438" s="19">
        <v>903</v>
      </c>
      <c r="C438" s="24" t="s">
        <v>251</v>
      </c>
      <c r="D438" s="24" t="s">
        <v>222</v>
      </c>
      <c r="E438" s="24"/>
      <c r="F438" s="24"/>
      <c r="G438" s="21">
        <f>G439</f>
        <v>1707</v>
      </c>
      <c r="H438" s="21">
        <f>H439</f>
        <v>208.893</v>
      </c>
      <c r="I438" s="437">
        <f t="shared" si="36"/>
        <v>12.237434094903339</v>
      </c>
    </row>
    <row r="439" spans="1:9" ht="47.25" x14ac:dyDescent="0.25">
      <c r="A439" s="23" t="s">
        <v>1364</v>
      </c>
      <c r="B439" s="19">
        <v>903</v>
      </c>
      <c r="C439" s="24" t="s">
        <v>251</v>
      </c>
      <c r="D439" s="24" t="s">
        <v>222</v>
      </c>
      <c r="E439" s="24" t="s">
        <v>351</v>
      </c>
      <c r="F439" s="24"/>
      <c r="G439" s="21">
        <f>G440+G445</f>
        <v>1707</v>
      </c>
      <c r="H439" s="21">
        <f>H440+H445</f>
        <v>208.893</v>
      </c>
      <c r="I439" s="437">
        <f t="shared" si="36"/>
        <v>12.237434094903339</v>
      </c>
    </row>
    <row r="440" spans="1:9" ht="15.75" hidden="1" x14ac:dyDescent="0.25">
      <c r="A440" s="23" t="s">
        <v>359</v>
      </c>
      <c r="B440" s="19">
        <v>903</v>
      </c>
      <c r="C440" s="24" t="s">
        <v>251</v>
      </c>
      <c r="D440" s="24" t="s">
        <v>222</v>
      </c>
      <c r="E440" s="24" t="s">
        <v>360</v>
      </c>
      <c r="F440" s="24"/>
      <c r="G440" s="21">
        <f t="shared" ref="G440:H443" si="39">G441</f>
        <v>0</v>
      </c>
      <c r="H440" s="21">
        <f t="shared" si="39"/>
        <v>0</v>
      </c>
      <c r="I440" s="437" t="e">
        <f t="shared" si="36"/>
        <v>#DIV/0!</v>
      </c>
    </row>
    <row r="441" spans="1:9" s="203" customFormat="1" ht="33.75" hidden="1" customHeight="1" x14ac:dyDescent="0.25">
      <c r="A441" s="23" t="s">
        <v>915</v>
      </c>
      <c r="B441" s="19">
        <v>903</v>
      </c>
      <c r="C441" s="24" t="s">
        <v>251</v>
      </c>
      <c r="D441" s="24" t="s">
        <v>222</v>
      </c>
      <c r="E441" s="24" t="s">
        <v>914</v>
      </c>
      <c r="F441" s="24"/>
      <c r="G441" s="21">
        <f t="shared" si="39"/>
        <v>0</v>
      </c>
      <c r="H441" s="21">
        <f t="shared" si="39"/>
        <v>0</v>
      </c>
      <c r="I441" s="437" t="e">
        <f t="shared" si="36"/>
        <v>#DIV/0!</v>
      </c>
    </row>
    <row r="442" spans="1:9" ht="31.5" hidden="1" x14ac:dyDescent="0.25">
      <c r="A442" s="25" t="s">
        <v>834</v>
      </c>
      <c r="B442" s="16">
        <v>903</v>
      </c>
      <c r="C442" s="20" t="s">
        <v>251</v>
      </c>
      <c r="D442" s="20" t="s">
        <v>222</v>
      </c>
      <c r="E442" s="20" t="s">
        <v>916</v>
      </c>
      <c r="F442" s="20"/>
      <c r="G442" s="26">
        <f t="shared" si="39"/>
        <v>0</v>
      </c>
      <c r="H442" s="26">
        <f t="shared" si="39"/>
        <v>0</v>
      </c>
      <c r="I442" s="437" t="e">
        <f t="shared" si="36"/>
        <v>#DIV/0!</v>
      </c>
    </row>
    <row r="443" spans="1:9" ht="15.75" hidden="1" x14ac:dyDescent="0.25">
      <c r="A443" s="25" t="s">
        <v>255</v>
      </c>
      <c r="B443" s="16">
        <v>903</v>
      </c>
      <c r="C443" s="20" t="s">
        <v>251</v>
      </c>
      <c r="D443" s="20" t="s">
        <v>222</v>
      </c>
      <c r="E443" s="20" t="s">
        <v>916</v>
      </c>
      <c r="F443" s="20" t="s">
        <v>256</v>
      </c>
      <c r="G443" s="26">
        <f t="shared" si="39"/>
        <v>0</v>
      </c>
      <c r="H443" s="26">
        <f t="shared" si="39"/>
        <v>0</v>
      </c>
      <c r="I443" s="437" t="e">
        <f t="shared" si="36"/>
        <v>#DIV/0!</v>
      </c>
    </row>
    <row r="444" spans="1:9" ht="31.5" hidden="1" x14ac:dyDescent="0.25">
      <c r="A444" s="25" t="s">
        <v>257</v>
      </c>
      <c r="B444" s="16">
        <v>903</v>
      </c>
      <c r="C444" s="20" t="s">
        <v>251</v>
      </c>
      <c r="D444" s="20" t="s">
        <v>222</v>
      </c>
      <c r="E444" s="20" t="s">
        <v>916</v>
      </c>
      <c r="F444" s="20" t="s">
        <v>258</v>
      </c>
      <c r="G444" s="26"/>
      <c r="H444" s="26"/>
      <c r="I444" s="437" t="e">
        <f t="shared" si="36"/>
        <v>#DIV/0!</v>
      </c>
    </row>
    <row r="445" spans="1:9" ht="31.5" x14ac:dyDescent="0.25">
      <c r="A445" s="23" t="s">
        <v>1370</v>
      </c>
      <c r="B445" s="19">
        <v>903</v>
      </c>
      <c r="C445" s="19">
        <v>10</v>
      </c>
      <c r="D445" s="24" t="s">
        <v>222</v>
      </c>
      <c r="E445" s="24" t="s">
        <v>369</v>
      </c>
      <c r="F445" s="24"/>
      <c r="G445" s="21">
        <f>G446+G450+G456</f>
        <v>1707</v>
      </c>
      <c r="H445" s="21">
        <f>H446+H450+H456</f>
        <v>208.893</v>
      </c>
      <c r="I445" s="437">
        <f t="shared" si="36"/>
        <v>12.237434094903339</v>
      </c>
    </row>
    <row r="446" spans="1:9" s="203" customFormat="1" ht="31.5" x14ac:dyDescent="0.25">
      <c r="A446" s="23" t="s">
        <v>1048</v>
      </c>
      <c r="B446" s="19">
        <v>903</v>
      </c>
      <c r="C446" s="24" t="s">
        <v>251</v>
      </c>
      <c r="D446" s="24" t="s">
        <v>222</v>
      </c>
      <c r="E446" s="24" t="s">
        <v>923</v>
      </c>
      <c r="F446" s="24"/>
      <c r="G446" s="21">
        <f t="shared" ref="G446:H448" si="40">G447</f>
        <v>630</v>
      </c>
      <c r="H446" s="21">
        <f t="shared" si="40"/>
        <v>128.893</v>
      </c>
      <c r="I446" s="437">
        <f t="shared" si="36"/>
        <v>20.459206349206347</v>
      </c>
    </row>
    <row r="447" spans="1:9" s="203" customFormat="1" ht="39.200000000000003" customHeight="1" x14ac:dyDescent="0.25">
      <c r="A447" s="98" t="s">
        <v>1049</v>
      </c>
      <c r="B447" s="16">
        <v>903</v>
      </c>
      <c r="C447" s="20" t="s">
        <v>251</v>
      </c>
      <c r="D447" s="20" t="s">
        <v>222</v>
      </c>
      <c r="E447" s="20" t="s">
        <v>1239</v>
      </c>
      <c r="F447" s="20"/>
      <c r="G447" s="26">
        <f t="shared" si="40"/>
        <v>630</v>
      </c>
      <c r="H447" s="26">
        <f t="shared" si="40"/>
        <v>128.893</v>
      </c>
      <c r="I447" s="381">
        <f t="shared" si="36"/>
        <v>20.459206349206347</v>
      </c>
    </row>
    <row r="448" spans="1:9" s="203" customFormat="1" ht="15.75" x14ac:dyDescent="0.25">
      <c r="A448" s="25" t="s">
        <v>255</v>
      </c>
      <c r="B448" s="16">
        <v>903</v>
      </c>
      <c r="C448" s="20" t="s">
        <v>251</v>
      </c>
      <c r="D448" s="20" t="s">
        <v>222</v>
      </c>
      <c r="E448" s="20" t="s">
        <v>1239</v>
      </c>
      <c r="F448" s="20" t="s">
        <v>256</v>
      </c>
      <c r="G448" s="26">
        <f t="shared" si="40"/>
        <v>630</v>
      </c>
      <c r="H448" s="26">
        <f t="shared" si="40"/>
        <v>128.893</v>
      </c>
      <c r="I448" s="381">
        <f t="shared" si="36"/>
        <v>20.459206349206347</v>
      </c>
    </row>
    <row r="449" spans="1:9" s="203" customFormat="1" ht="15.75" x14ac:dyDescent="0.25">
      <c r="A449" s="25" t="s">
        <v>355</v>
      </c>
      <c r="B449" s="16">
        <v>903</v>
      </c>
      <c r="C449" s="20" t="s">
        <v>251</v>
      </c>
      <c r="D449" s="20" t="s">
        <v>222</v>
      </c>
      <c r="E449" s="20" t="s">
        <v>1239</v>
      </c>
      <c r="F449" s="20" t="s">
        <v>356</v>
      </c>
      <c r="G449" s="26">
        <v>630</v>
      </c>
      <c r="H449" s="26">
        <v>128.893</v>
      </c>
      <c r="I449" s="381">
        <f t="shared" si="36"/>
        <v>20.459206349206347</v>
      </c>
    </row>
    <row r="450" spans="1:9" s="203" customFormat="1" ht="31.5" x14ac:dyDescent="0.25">
      <c r="A450" s="23" t="s">
        <v>1243</v>
      </c>
      <c r="B450" s="19">
        <v>903</v>
      </c>
      <c r="C450" s="19">
        <v>10</v>
      </c>
      <c r="D450" s="24" t="s">
        <v>222</v>
      </c>
      <c r="E450" s="24" t="s">
        <v>1241</v>
      </c>
      <c r="F450" s="24"/>
      <c r="G450" s="21">
        <f>G451</f>
        <v>657</v>
      </c>
      <c r="H450" s="21">
        <f>H451</f>
        <v>40</v>
      </c>
      <c r="I450" s="437">
        <f t="shared" si="36"/>
        <v>6.0882800608828003</v>
      </c>
    </row>
    <row r="451" spans="1:9" s="203" customFormat="1" ht="15.75" x14ac:dyDescent="0.25">
      <c r="A451" s="25" t="s">
        <v>1240</v>
      </c>
      <c r="B451" s="16">
        <v>903</v>
      </c>
      <c r="C451" s="20" t="s">
        <v>251</v>
      </c>
      <c r="D451" s="20" t="s">
        <v>222</v>
      </c>
      <c r="E451" s="20" t="s">
        <v>1242</v>
      </c>
      <c r="F451" s="20"/>
      <c r="G451" s="26">
        <f>G453+G455</f>
        <v>657</v>
      </c>
      <c r="H451" s="26">
        <f>H453+H455</f>
        <v>40</v>
      </c>
      <c r="I451" s="381">
        <f t="shared" si="36"/>
        <v>6.0882800608828003</v>
      </c>
    </row>
    <row r="452" spans="1:9" s="203" customFormat="1" ht="31.5" x14ac:dyDescent="0.25">
      <c r="A452" s="25" t="s">
        <v>138</v>
      </c>
      <c r="B452" s="16">
        <v>903</v>
      </c>
      <c r="C452" s="20" t="s">
        <v>251</v>
      </c>
      <c r="D452" s="20" t="s">
        <v>222</v>
      </c>
      <c r="E452" s="20" t="s">
        <v>1242</v>
      </c>
      <c r="F452" s="20" t="s">
        <v>139</v>
      </c>
      <c r="G452" s="26">
        <f>G453</f>
        <v>400</v>
      </c>
      <c r="H452" s="26">
        <f>H453</f>
        <v>0</v>
      </c>
      <c r="I452" s="381">
        <f t="shared" si="36"/>
        <v>0</v>
      </c>
    </row>
    <row r="453" spans="1:9" s="203" customFormat="1" ht="31.5" x14ac:dyDescent="0.25">
      <c r="A453" s="25" t="s">
        <v>140</v>
      </c>
      <c r="B453" s="16">
        <v>903</v>
      </c>
      <c r="C453" s="20" t="s">
        <v>251</v>
      </c>
      <c r="D453" s="20" t="s">
        <v>222</v>
      </c>
      <c r="E453" s="20" t="s">
        <v>1242</v>
      </c>
      <c r="F453" s="20" t="s">
        <v>141</v>
      </c>
      <c r="G453" s="26">
        <v>400</v>
      </c>
      <c r="H453" s="26">
        <v>0</v>
      </c>
      <c r="I453" s="381">
        <f t="shared" si="36"/>
        <v>0</v>
      </c>
    </row>
    <row r="454" spans="1:9" s="203" customFormat="1" ht="15.75" x14ac:dyDescent="0.25">
      <c r="A454" s="25" t="s">
        <v>255</v>
      </c>
      <c r="B454" s="16">
        <v>903</v>
      </c>
      <c r="C454" s="20" t="s">
        <v>251</v>
      </c>
      <c r="D454" s="20" t="s">
        <v>222</v>
      </c>
      <c r="E454" s="20" t="s">
        <v>1242</v>
      </c>
      <c r="F454" s="20" t="s">
        <v>256</v>
      </c>
      <c r="G454" s="26">
        <f>G455</f>
        <v>257</v>
      </c>
      <c r="H454" s="26">
        <f>H455</f>
        <v>40</v>
      </c>
      <c r="I454" s="381">
        <f t="shared" si="36"/>
        <v>15.56420233463035</v>
      </c>
    </row>
    <row r="455" spans="1:9" s="203" customFormat="1" ht="15.75" x14ac:dyDescent="0.25">
      <c r="A455" s="25" t="s">
        <v>355</v>
      </c>
      <c r="B455" s="16">
        <v>903</v>
      </c>
      <c r="C455" s="20" t="s">
        <v>251</v>
      </c>
      <c r="D455" s="20" t="s">
        <v>222</v>
      </c>
      <c r="E455" s="20" t="s">
        <v>1242</v>
      </c>
      <c r="F455" s="20" t="s">
        <v>356</v>
      </c>
      <c r="G455" s="26">
        <v>257</v>
      </c>
      <c r="H455" s="26">
        <v>40</v>
      </c>
      <c r="I455" s="381">
        <f t="shared" si="36"/>
        <v>15.56420233463035</v>
      </c>
    </row>
    <row r="456" spans="1:9" s="203" customFormat="1" ht="31.5" x14ac:dyDescent="0.25">
      <c r="A456" s="23" t="s">
        <v>1007</v>
      </c>
      <c r="B456" s="19">
        <v>903</v>
      </c>
      <c r="C456" s="19">
        <v>10</v>
      </c>
      <c r="D456" s="24" t="s">
        <v>222</v>
      </c>
      <c r="E456" s="24" t="s">
        <v>1236</v>
      </c>
      <c r="F456" s="24"/>
      <c r="G456" s="21">
        <f t="shared" ref="G456:H458" si="41">G457</f>
        <v>420</v>
      </c>
      <c r="H456" s="21">
        <f t="shared" si="41"/>
        <v>40</v>
      </c>
      <c r="I456" s="437">
        <f t="shared" si="36"/>
        <v>9.5238095238095237</v>
      </c>
    </row>
    <row r="457" spans="1:9" ht="15.75" x14ac:dyDescent="0.25">
      <c r="A457" s="25" t="s">
        <v>1046</v>
      </c>
      <c r="B457" s="16">
        <v>903</v>
      </c>
      <c r="C457" s="20" t="s">
        <v>251</v>
      </c>
      <c r="D457" s="20" t="s">
        <v>222</v>
      </c>
      <c r="E457" s="20" t="s">
        <v>1238</v>
      </c>
      <c r="F457" s="20"/>
      <c r="G457" s="26">
        <f t="shared" si="41"/>
        <v>420</v>
      </c>
      <c r="H457" s="26">
        <f t="shared" si="41"/>
        <v>40</v>
      </c>
      <c r="I457" s="381">
        <f t="shared" si="36"/>
        <v>9.5238095238095237</v>
      </c>
    </row>
    <row r="458" spans="1:9" ht="15.75" x14ac:dyDescent="0.25">
      <c r="A458" s="25" t="s">
        <v>255</v>
      </c>
      <c r="B458" s="16">
        <v>903</v>
      </c>
      <c r="C458" s="20" t="s">
        <v>251</v>
      </c>
      <c r="D458" s="20" t="s">
        <v>222</v>
      </c>
      <c r="E458" s="20" t="s">
        <v>1238</v>
      </c>
      <c r="F458" s="20" t="s">
        <v>256</v>
      </c>
      <c r="G458" s="26">
        <f t="shared" si="41"/>
        <v>420</v>
      </c>
      <c r="H458" s="26">
        <f t="shared" si="41"/>
        <v>40</v>
      </c>
      <c r="I458" s="381">
        <f t="shared" si="36"/>
        <v>9.5238095238095237</v>
      </c>
    </row>
    <row r="459" spans="1:9" ht="15.75" x14ac:dyDescent="0.25">
      <c r="A459" s="25" t="s">
        <v>355</v>
      </c>
      <c r="B459" s="16">
        <v>903</v>
      </c>
      <c r="C459" s="20" t="s">
        <v>251</v>
      </c>
      <c r="D459" s="20" t="s">
        <v>222</v>
      </c>
      <c r="E459" s="20" t="s">
        <v>1238</v>
      </c>
      <c r="F459" s="20" t="s">
        <v>356</v>
      </c>
      <c r="G459" s="26">
        <v>420</v>
      </c>
      <c r="H459" s="26">
        <v>40</v>
      </c>
      <c r="I459" s="381">
        <f t="shared" ref="I459:I522" si="42">H459/G459*100</f>
        <v>9.5238095238095237</v>
      </c>
    </row>
    <row r="460" spans="1:9" s="203" customFormat="1" ht="15.75" x14ac:dyDescent="0.25">
      <c r="A460" s="23" t="s">
        <v>589</v>
      </c>
      <c r="B460" s="19">
        <v>903</v>
      </c>
      <c r="C460" s="24" t="s">
        <v>245</v>
      </c>
      <c r="D460" s="20"/>
      <c r="E460" s="20"/>
      <c r="F460" s="20"/>
      <c r="G460" s="21">
        <f>G461</f>
        <v>5996.3</v>
      </c>
      <c r="H460" s="21">
        <f>H461</f>
        <v>1083.268</v>
      </c>
      <c r="I460" s="437">
        <f t="shared" si="42"/>
        <v>18.065607124393377</v>
      </c>
    </row>
    <row r="461" spans="1:9" s="203" customFormat="1" ht="15.75" x14ac:dyDescent="0.25">
      <c r="A461" s="23" t="s">
        <v>590</v>
      </c>
      <c r="B461" s="19">
        <v>903</v>
      </c>
      <c r="C461" s="24" t="s">
        <v>245</v>
      </c>
      <c r="D461" s="24" t="s">
        <v>220</v>
      </c>
      <c r="E461" s="24"/>
      <c r="F461" s="24"/>
      <c r="G461" s="21">
        <f>G462+G475</f>
        <v>5996.3</v>
      </c>
      <c r="H461" s="21">
        <f>H462+H475</f>
        <v>1083.268</v>
      </c>
      <c r="I461" s="437">
        <f t="shared" si="42"/>
        <v>18.065607124393377</v>
      </c>
    </row>
    <row r="462" spans="1:9" s="203" customFormat="1" ht="31.5" x14ac:dyDescent="0.25">
      <c r="A462" s="23" t="s">
        <v>1368</v>
      </c>
      <c r="B462" s="19">
        <v>903</v>
      </c>
      <c r="C462" s="24" t="s">
        <v>245</v>
      </c>
      <c r="D462" s="24" t="s">
        <v>220</v>
      </c>
      <c r="E462" s="24" t="s">
        <v>274</v>
      </c>
      <c r="F462" s="24"/>
      <c r="G462" s="21">
        <f>G463+G471</f>
        <v>5918.3</v>
      </c>
      <c r="H462" s="21">
        <f>H463+H471</f>
        <v>1063.768</v>
      </c>
      <c r="I462" s="437">
        <f t="shared" si="42"/>
        <v>17.974215568659918</v>
      </c>
    </row>
    <row r="463" spans="1:9" s="203" customFormat="1" ht="31.5" x14ac:dyDescent="0.25">
      <c r="A463" s="23" t="s">
        <v>1315</v>
      </c>
      <c r="B463" s="19">
        <v>903</v>
      </c>
      <c r="C463" s="24" t="s">
        <v>245</v>
      </c>
      <c r="D463" s="24" t="s">
        <v>220</v>
      </c>
      <c r="E463" s="24" t="s">
        <v>1218</v>
      </c>
      <c r="F463" s="24"/>
      <c r="G463" s="21">
        <f>G464</f>
        <v>5642.3</v>
      </c>
      <c r="H463" s="21">
        <f>H464</f>
        <v>934.76800000000003</v>
      </c>
      <c r="I463" s="437">
        <f t="shared" si="42"/>
        <v>16.567144604150791</v>
      </c>
    </row>
    <row r="464" spans="1:9" s="203" customFormat="1" ht="15.75" x14ac:dyDescent="0.25">
      <c r="A464" s="25" t="s">
        <v>811</v>
      </c>
      <c r="B464" s="16">
        <v>903</v>
      </c>
      <c r="C464" s="20" t="s">
        <v>245</v>
      </c>
      <c r="D464" s="20" t="s">
        <v>220</v>
      </c>
      <c r="E464" s="20" t="s">
        <v>1219</v>
      </c>
      <c r="F464" s="20"/>
      <c r="G464" s="26">
        <f>G465+G467+G469</f>
        <v>5642.3</v>
      </c>
      <c r="H464" s="26">
        <f>H465+H467+H469</f>
        <v>934.76800000000003</v>
      </c>
      <c r="I464" s="381">
        <f t="shared" si="42"/>
        <v>16.567144604150791</v>
      </c>
    </row>
    <row r="465" spans="1:10" s="203" customFormat="1" ht="63" x14ac:dyDescent="0.25">
      <c r="A465" s="25" t="s">
        <v>134</v>
      </c>
      <c r="B465" s="16">
        <v>903</v>
      </c>
      <c r="C465" s="20" t="s">
        <v>245</v>
      </c>
      <c r="D465" s="20" t="s">
        <v>220</v>
      </c>
      <c r="E465" s="20" t="s">
        <v>1219</v>
      </c>
      <c r="F465" s="20" t="s">
        <v>135</v>
      </c>
      <c r="G465" s="26">
        <f>G466</f>
        <v>4897.2</v>
      </c>
      <c r="H465" s="26">
        <f>H466</f>
        <v>772.89700000000005</v>
      </c>
      <c r="I465" s="381">
        <f t="shared" si="42"/>
        <v>15.782426692804052</v>
      </c>
    </row>
    <row r="466" spans="1:10" s="203" customFormat="1" ht="15.75" x14ac:dyDescent="0.25">
      <c r="A466" s="25" t="s">
        <v>215</v>
      </c>
      <c r="B466" s="16">
        <v>903</v>
      </c>
      <c r="C466" s="20" t="s">
        <v>245</v>
      </c>
      <c r="D466" s="20" t="s">
        <v>220</v>
      </c>
      <c r="E466" s="20" t="s">
        <v>1219</v>
      </c>
      <c r="F466" s="20" t="s">
        <v>216</v>
      </c>
      <c r="G466" s="27">
        <f>4897.2</f>
        <v>4897.2</v>
      </c>
      <c r="H466" s="27">
        <v>772.89700000000005</v>
      </c>
      <c r="I466" s="381">
        <f t="shared" si="42"/>
        <v>15.782426692804052</v>
      </c>
    </row>
    <row r="467" spans="1:10" s="203" customFormat="1" ht="31.5" x14ac:dyDescent="0.25">
      <c r="A467" s="25" t="s">
        <v>138</v>
      </c>
      <c r="B467" s="16">
        <v>903</v>
      </c>
      <c r="C467" s="20" t="s">
        <v>245</v>
      </c>
      <c r="D467" s="20" t="s">
        <v>220</v>
      </c>
      <c r="E467" s="20" t="s">
        <v>1219</v>
      </c>
      <c r="F467" s="20" t="s">
        <v>139</v>
      </c>
      <c r="G467" s="26">
        <f>G468</f>
        <v>715.1</v>
      </c>
      <c r="H467" s="26">
        <f>H468</f>
        <v>159.82499999999999</v>
      </c>
      <c r="I467" s="381">
        <f t="shared" si="42"/>
        <v>22.350020976087258</v>
      </c>
    </row>
    <row r="468" spans="1:10" s="203" customFormat="1" ht="31.5" x14ac:dyDescent="0.25">
      <c r="A468" s="25" t="s">
        <v>140</v>
      </c>
      <c r="B468" s="16">
        <v>903</v>
      </c>
      <c r="C468" s="20" t="s">
        <v>245</v>
      </c>
      <c r="D468" s="20" t="s">
        <v>220</v>
      </c>
      <c r="E468" s="20" t="s">
        <v>1219</v>
      </c>
      <c r="F468" s="20" t="s">
        <v>141</v>
      </c>
      <c r="G468" s="27">
        <f>1456-797-63.9-68+60+60+68</f>
        <v>715.1</v>
      </c>
      <c r="H468" s="27">
        <v>159.82499999999999</v>
      </c>
      <c r="I468" s="381">
        <f t="shared" si="42"/>
        <v>22.350020976087258</v>
      </c>
    </row>
    <row r="469" spans="1:10" s="203" customFormat="1" ht="15.75" x14ac:dyDescent="0.25">
      <c r="A469" s="25" t="s">
        <v>142</v>
      </c>
      <c r="B469" s="16">
        <v>903</v>
      </c>
      <c r="C469" s="20" t="s">
        <v>245</v>
      </c>
      <c r="D469" s="20" t="s">
        <v>220</v>
      </c>
      <c r="E469" s="20" t="s">
        <v>1219</v>
      </c>
      <c r="F469" s="20" t="s">
        <v>152</v>
      </c>
      <c r="G469" s="26">
        <f>G470</f>
        <v>30</v>
      </c>
      <c r="H469" s="26">
        <f>H470</f>
        <v>2.0459999999999998</v>
      </c>
      <c r="I469" s="381">
        <f t="shared" si="42"/>
        <v>6.8199999999999994</v>
      </c>
    </row>
    <row r="470" spans="1:10" s="203" customFormat="1" ht="15.75" x14ac:dyDescent="0.25">
      <c r="A470" s="25" t="s">
        <v>575</v>
      </c>
      <c r="B470" s="16">
        <v>903</v>
      </c>
      <c r="C470" s="20" t="s">
        <v>245</v>
      </c>
      <c r="D470" s="20" t="s">
        <v>220</v>
      </c>
      <c r="E470" s="20" t="s">
        <v>1219</v>
      </c>
      <c r="F470" s="20" t="s">
        <v>145</v>
      </c>
      <c r="G470" s="26">
        <v>30</v>
      </c>
      <c r="H470" s="26">
        <v>2.0459999999999998</v>
      </c>
      <c r="I470" s="381">
        <f t="shared" si="42"/>
        <v>6.8199999999999994</v>
      </c>
    </row>
    <row r="471" spans="1:10" s="203" customFormat="1" ht="31.5" x14ac:dyDescent="0.25">
      <c r="A471" s="23" t="s">
        <v>957</v>
      </c>
      <c r="B471" s="19">
        <v>903</v>
      </c>
      <c r="C471" s="24" t="s">
        <v>245</v>
      </c>
      <c r="D471" s="24" t="s">
        <v>220</v>
      </c>
      <c r="E471" s="24" t="s">
        <v>1223</v>
      </c>
      <c r="F471" s="24"/>
      <c r="G471" s="21">
        <f t="shared" ref="G471:H473" si="43">G472</f>
        <v>276</v>
      </c>
      <c r="H471" s="21">
        <f t="shared" si="43"/>
        <v>129</v>
      </c>
      <c r="I471" s="437">
        <f t="shared" si="42"/>
        <v>46.739130434782609</v>
      </c>
    </row>
    <row r="472" spans="1:10" s="203" customFormat="1" ht="31.5" x14ac:dyDescent="0.25">
      <c r="A472" s="25" t="s">
        <v>849</v>
      </c>
      <c r="B472" s="16">
        <v>903</v>
      </c>
      <c r="C472" s="20" t="s">
        <v>245</v>
      </c>
      <c r="D472" s="20" t="s">
        <v>220</v>
      </c>
      <c r="E472" s="20" t="s">
        <v>1224</v>
      </c>
      <c r="F472" s="20"/>
      <c r="G472" s="26">
        <f t="shared" si="43"/>
        <v>276</v>
      </c>
      <c r="H472" s="26">
        <f t="shared" si="43"/>
        <v>129</v>
      </c>
      <c r="I472" s="381">
        <f t="shared" si="42"/>
        <v>46.739130434782609</v>
      </c>
    </row>
    <row r="473" spans="1:10" s="203" customFormat="1" ht="63" x14ac:dyDescent="0.25">
      <c r="A473" s="25" t="s">
        <v>134</v>
      </c>
      <c r="B473" s="16">
        <v>903</v>
      </c>
      <c r="C473" s="20" t="s">
        <v>245</v>
      </c>
      <c r="D473" s="20" t="s">
        <v>220</v>
      </c>
      <c r="E473" s="20" t="s">
        <v>1224</v>
      </c>
      <c r="F473" s="20" t="s">
        <v>135</v>
      </c>
      <c r="G473" s="26">
        <f t="shared" si="43"/>
        <v>276</v>
      </c>
      <c r="H473" s="26">
        <f t="shared" si="43"/>
        <v>129</v>
      </c>
      <c r="I473" s="381">
        <f t="shared" si="42"/>
        <v>46.739130434782609</v>
      </c>
    </row>
    <row r="474" spans="1:10" s="203" customFormat="1" ht="15.75" x14ac:dyDescent="0.25">
      <c r="A474" s="25" t="s">
        <v>215</v>
      </c>
      <c r="B474" s="16">
        <v>903</v>
      </c>
      <c r="C474" s="20" t="s">
        <v>245</v>
      </c>
      <c r="D474" s="20" t="s">
        <v>220</v>
      </c>
      <c r="E474" s="20" t="s">
        <v>1224</v>
      </c>
      <c r="F474" s="20" t="s">
        <v>216</v>
      </c>
      <c r="G474" s="26">
        <v>276</v>
      </c>
      <c r="H474" s="26">
        <v>129</v>
      </c>
      <c r="I474" s="381">
        <f t="shared" si="42"/>
        <v>46.739130434782609</v>
      </c>
    </row>
    <row r="475" spans="1:10" s="203" customFormat="1" ht="47.25" x14ac:dyDescent="0.25">
      <c r="A475" s="41" t="s">
        <v>1358</v>
      </c>
      <c r="B475" s="19">
        <v>903</v>
      </c>
      <c r="C475" s="24" t="s">
        <v>245</v>
      </c>
      <c r="D475" s="24" t="s">
        <v>220</v>
      </c>
      <c r="E475" s="24" t="s">
        <v>715</v>
      </c>
      <c r="F475" s="217"/>
      <c r="G475" s="21">
        <f>G477</f>
        <v>78</v>
      </c>
      <c r="H475" s="21">
        <f>H477</f>
        <v>19.5</v>
      </c>
      <c r="I475" s="437">
        <f t="shared" si="42"/>
        <v>25</v>
      </c>
    </row>
    <row r="476" spans="1:10" s="203" customFormat="1" ht="47.25" x14ac:dyDescent="0.25">
      <c r="A476" s="41" t="s">
        <v>900</v>
      </c>
      <c r="B476" s="19">
        <v>903</v>
      </c>
      <c r="C476" s="24" t="s">
        <v>245</v>
      </c>
      <c r="D476" s="24" t="s">
        <v>220</v>
      </c>
      <c r="E476" s="24" t="s">
        <v>898</v>
      </c>
      <c r="F476" s="217"/>
      <c r="G476" s="21">
        <f t="shared" ref="G476:H478" si="44">G477</f>
        <v>78</v>
      </c>
      <c r="H476" s="21">
        <f t="shared" si="44"/>
        <v>19.5</v>
      </c>
      <c r="I476" s="437">
        <f t="shared" si="42"/>
        <v>25</v>
      </c>
    </row>
    <row r="477" spans="1:10" s="203" customFormat="1" ht="31.5" x14ac:dyDescent="0.25">
      <c r="A477" s="98" t="s">
        <v>1014</v>
      </c>
      <c r="B477" s="16">
        <v>903</v>
      </c>
      <c r="C477" s="20" t="s">
        <v>245</v>
      </c>
      <c r="D477" s="20" t="s">
        <v>220</v>
      </c>
      <c r="E477" s="20" t="s">
        <v>899</v>
      </c>
      <c r="F477" s="32"/>
      <c r="G477" s="26">
        <f t="shared" si="44"/>
        <v>78</v>
      </c>
      <c r="H477" s="26">
        <f t="shared" si="44"/>
        <v>19.5</v>
      </c>
      <c r="I477" s="381">
        <f t="shared" si="42"/>
        <v>25</v>
      </c>
    </row>
    <row r="478" spans="1:10" s="203" customFormat="1" ht="31.5" x14ac:dyDescent="0.25">
      <c r="A478" s="25" t="s">
        <v>138</v>
      </c>
      <c r="B478" s="16">
        <v>903</v>
      </c>
      <c r="C478" s="20" t="s">
        <v>245</v>
      </c>
      <c r="D478" s="20" t="s">
        <v>220</v>
      </c>
      <c r="E478" s="20" t="s">
        <v>899</v>
      </c>
      <c r="F478" s="32" t="s">
        <v>139</v>
      </c>
      <c r="G478" s="26">
        <f t="shared" si="44"/>
        <v>78</v>
      </c>
      <c r="H478" s="26">
        <f t="shared" si="44"/>
        <v>19.5</v>
      </c>
      <c r="I478" s="381">
        <f t="shared" si="42"/>
        <v>25</v>
      </c>
    </row>
    <row r="479" spans="1:10" s="203" customFormat="1" ht="31.5" x14ac:dyDescent="0.25">
      <c r="A479" s="25" t="s">
        <v>140</v>
      </c>
      <c r="B479" s="16">
        <v>903</v>
      </c>
      <c r="C479" s="20" t="s">
        <v>245</v>
      </c>
      <c r="D479" s="20" t="s">
        <v>220</v>
      </c>
      <c r="E479" s="20" t="s">
        <v>899</v>
      </c>
      <c r="F479" s="32" t="s">
        <v>141</v>
      </c>
      <c r="G479" s="26">
        <f>72+6</f>
        <v>78</v>
      </c>
      <c r="H479" s="26">
        <v>19.5</v>
      </c>
      <c r="I479" s="381">
        <f t="shared" si="42"/>
        <v>25</v>
      </c>
    </row>
    <row r="480" spans="1:10" ht="31.5" x14ac:dyDescent="0.25">
      <c r="A480" s="19" t="s">
        <v>394</v>
      </c>
      <c r="B480" s="19">
        <v>905</v>
      </c>
      <c r="C480" s="20"/>
      <c r="D480" s="20"/>
      <c r="E480" s="20"/>
      <c r="F480" s="20"/>
      <c r="G480" s="21">
        <f>G481+G513+G523</f>
        <v>20629.660000000003</v>
      </c>
      <c r="H480" s="21">
        <f>H481+H513+H523</f>
        <v>3349.7790000000005</v>
      </c>
      <c r="I480" s="437">
        <f t="shared" si="42"/>
        <v>16.237683994791961</v>
      </c>
      <c r="J480" s="115"/>
    </row>
    <row r="481" spans="1:9" ht="15.75" x14ac:dyDescent="0.25">
      <c r="A481" s="23" t="s">
        <v>124</v>
      </c>
      <c r="B481" s="19">
        <v>905</v>
      </c>
      <c r="C481" s="24" t="s">
        <v>125</v>
      </c>
      <c r="D481" s="20"/>
      <c r="E481" s="20"/>
      <c r="F481" s="20"/>
      <c r="G481" s="21">
        <f>G482+G499</f>
        <v>18383.86</v>
      </c>
      <c r="H481" s="21">
        <f>H482+H499</f>
        <v>3304.8560000000002</v>
      </c>
      <c r="I481" s="437">
        <f t="shared" si="42"/>
        <v>17.976942818319984</v>
      </c>
    </row>
    <row r="482" spans="1:9" ht="65.25" customHeight="1" x14ac:dyDescent="0.25">
      <c r="A482" s="23" t="s">
        <v>156</v>
      </c>
      <c r="B482" s="19">
        <v>905</v>
      </c>
      <c r="C482" s="24" t="s">
        <v>125</v>
      </c>
      <c r="D482" s="24" t="s">
        <v>157</v>
      </c>
      <c r="E482" s="24"/>
      <c r="F482" s="24"/>
      <c r="G482" s="21">
        <f>G483</f>
        <v>12166.9</v>
      </c>
      <c r="H482" s="21">
        <f>H483</f>
        <v>2641.6210000000001</v>
      </c>
      <c r="I482" s="437">
        <f t="shared" si="42"/>
        <v>21.711537039015692</v>
      </c>
    </row>
    <row r="483" spans="1:9" ht="31.5" x14ac:dyDescent="0.25">
      <c r="A483" s="23" t="s">
        <v>927</v>
      </c>
      <c r="B483" s="19">
        <v>905</v>
      </c>
      <c r="C483" s="24" t="s">
        <v>125</v>
      </c>
      <c r="D483" s="24" t="s">
        <v>157</v>
      </c>
      <c r="E483" s="24" t="s">
        <v>868</v>
      </c>
      <c r="F483" s="24"/>
      <c r="G483" s="21">
        <f>G484+G495</f>
        <v>12166.9</v>
      </c>
      <c r="H483" s="21">
        <f>H484+H495</f>
        <v>2641.6210000000001</v>
      </c>
      <c r="I483" s="437">
        <f t="shared" si="42"/>
        <v>21.711537039015692</v>
      </c>
    </row>
    <row r="484" spans="1:9" ht="15.75" x14ac:dyDescent="0.25">
      <c r="A484" s="23" t="s">
        <v>928</v>
      </c>
      <c r="B484" s="19">
        <v>905</v>
      </c>
      <c r="C484" s="24" t="s">
        <v>125</v>
      </c>
      <c r="D484" s="24" t="s">
        <v>157</v>
      </c>
      <c r="E484" s="24" t="s">
        <v>869</v>
      </c>
      <c r="F484" s="24"/>
      <c r="G484" s="21">
        <f>G485+G492</f>
        <v>12144.6</v>
      </c>
      <c r="H484" s="21">
        <f>H485+H492</f>
        <v>2641.6210000000001</v>
      </c>
      <c r="I484" s="437">
        <f t="shared" si="42"/>
        <v>21.751403916143801</v>
      </c>
    </row>
    <row r="485" spans="1:9" ht="28.5" customHeight="1" x14ac:dyDescent="0.25">
      <c r="A485" s="25" t="s">
        <v>907</v>
      </c>
      <c r="B485" s="16">
        <v>905</v>
      </c>
      <c r="C485" s="20" t="s">
        <v>125</v>
      </c>
      <c r="D485" s="20" t="s">
        <v>157</v>
      </c>
      <c r="E485" s="20" t="s">
        <v>870</v>
      </c>
      <c r="F485" s="20"/>
      <c r="G485" s="26">
        <f>G486+G488+G490</f>
        <v>11682.6</v>
      </c>
      <c r="H485" s="26">
        <f>H486+H488+H490</f>
        <v>2385.6210000000001</v>
      </c>
      <c r="I485" s="381">
        <f t="shared" si="42"/>
        <v>20.420291715885163</v>
      </c>
    </row>
    <row r="486" spans="1:9" ht="63" x14ac:dyDescent="0.25">
      <c r="A486" s="25" t="s">
        <v>134</v>
      </c>
      <c r="B486" s="16">
        <v>905</v>
      </c>
      <c r="C486" s="20" t="s">
        <v>125</v>
      </c>
      <c r="D486" s="20" t="s">
        <v>157</v>
      </c>
      <c r="E486" s="20" t="s">
        <v>870</v>
      </c>
      <c r="F486" s="20" t="s">
        <v>135</v>
      </c>
      <c r="G486" s="26">
        <f>G487</f>
        <v>11111.6</v>
      </c>
      <c r="H486" s="26">
        <f>H487</f>
        <v>2294.5540000000001</v>
      </c>
      <c r="I486" s="381">
        <f t="shared" si="42"/>
        <v>20.650077396594551</v>
      </c>
    </row>
    <row r="487" spans="1:9" ht="31.5" x14ac:dyDescent="0.25">
      <c r="A487" s="25" t="s">
        <v>136</v>
      </c>
      <c r="B487" s="16">
        <v>905</v>
      </c>
      <c r="C487" s="20" t="s">
        <v>125</v>
      </c>
      <c r="D487" s="20" t="s">
        <v>157</v>
      </c>
      <c r="E487" s="20" t="s">
        <v>870</v>
      </c>
      <c r="F487" s="20" t="s">
        <v>137</v>
      </c>
      <c r="G487" s="27">
        <f>11111.6</f>
        <v>11111.6</v>
      </c>
      <c r="H487" s="27">
        <v>2294.5540000000001</v>
      </c>
      <c r="I487" s="381">
        <f t="shared" si="42"/>
        <v>20.650077396594551</v>
      </c>
    </row>
    <row r="488" spans="1:9" ht="31.5" x14ac:dyDescent="0.25">
      <c r="A488" s="25" t="s">
        <v>138</v>
      </c>
      <c r="B488" s="16">
        <v>905</v>
      </c>
      <c r="C488" s="20" t="s">
        <v>125</v>
      </c>
      <c r="D488" s="20" t="s">
        <v>157</v>
      </c>
      <c r="E488" s="20" t="s">
        <v>870</v>
      </c>
      <c r="F488" s="20" t="s">
        <v>139</v>
      </c>
      <c r="G488" s="26">
        <f>G489</f>
        <v>440</v>
      </c>
      <c r="H488" s="26">
        <f>H489</f>
        <v>91.066999999999993</v>
      </c>
      <c r="I488" s="381">
        <f t="shared" si="42"/>
        <v>20.697045454545453</v>
      </c>
    </row>
    <row r="489" spans="1:9" ht="31.5" x14ac:dyDescent="0.25">
      <c r="A489" s="25" t="s">
        <v>140</v>
      </c>
      <c r="B489" s="16">
        <v>905</v>
      </c>
      <c r="C489" s="20" t="s">
        <v>125</v>
      </c>
      <c r="D489" s="20" t="s">
        <v>157</v>
      </c>
      <c r="E489" s="20" t="s">
        <v>870</v>
      </c>
      <c r="F489" s="20" t="s">
        <v>141</v>
      </c>
      <c r="G489" s="27">
        <v>440</v>
      </c>
      <c r="H489" s="27">
        <v>91.066999999999993</v>
      </c>
      <c r="I489" s="381">
        <f t="shared" si="42"/>
        <v>20.697045454545453</v>
      </c>
    </row>
    <row r="490" spans="1:9" ht="15.75" x14ac:dyDescent="0.25">
      <c r="A490" s="25" t="s">
        <v>142</v>
      </c>
      <c r="B490" s="16">
        <v>905</v>
      </c>
      <c r="C490" s="20" t="s">
        <v>125</v>
      </c>
      <c r="D490" s="20" t="s">
        <v>157</v>
      </c>
      <c r="E490" s="20" t="s">
        <v>870</v>
      </c>
      <c r="F490" s="20" t="s">
        <v>152</v>
      </c>
      <c r="G490" s="26">
        <f>G491</f>
        <v>131</v>
      </c>
      <c r="H490" s="26">
        <f>H491</f>
        <v>0</v>
      </c>
      <c r="I490" s="381">
        <f t="shared" si="42"/>
        <v>0</v>
      </c>
    </row>
    <row r="491" spans="1:9" ht="15.75" x14ac:dyDescent="0.25">
      <c r="A491" s="25" t="s">
        <v>575</v>
      </c>
      <c r="B491" s="16">
        <v>905</v>
      </c>
      <c r="C491" s="20" t="s">
        <v>125</v>
      </c>
      <c r="D491" s="20" t="s">
        <v>157</v>
      </c>
      <c r="E491" s="20" t="s">
        <v>870</v>
      </c>
      <c r="F491" s="20" t="s">
        <v>145</v>
      </c>
      <c r="G491" s="26">
        <f>8.8+7.5+20+30+65-0.3</f>
        <v>131</v>
      </c>
      <c r="H491" s="26">
        <v>0</v>
      </c>
      <c r="I491" s="381">
        <f t="shared" si="42"/>
        <v>0</v>
      </c>
    </row>
    <row r="492" spans="1:9" s="203" customFormat="1" ht="31.5" x14ac:dyDescent="0.25">
      <c r="A492" s="25" t="s">
        <v>849</v>
      </c>
      <c r="B492" s="16">
        <v>905</v>
      </c>
      <c r="C492" s="20" t="s">
        <v>125</v>
      </c>
      <c r="D492" s="20" t="s">
        <v>157</v>
      </c>
      <c r="E492" s="20" t="s">
        <v>872</v>
      </c>
      <c r="F492" s="20"/>
      <c r="G492" s="26">
        <f>G493</f>
        <v>462</v>
      </c>
      <c r="H492" s="26">
        <f>H493</f>
        <v>256</v>
      </c>
      <c r="I492" s="381">
        <f t="shared" si="42"/>
        <v>55.411255411255411</v>
      </c>
    </row>
    <row r="493" spans="1:9" s="203" customFormat="1" ht="63" x14ac:dyDescent="0.25">
      <c r="A493" s="25" t="s">
        <v>134</v>
      </c>
      <c r="B493" s="16">
        <v>905</v>
      </c>
      <c r="C493" s="20" t="s">
        <v>125</v>
      </c>
      <c r="D493" s="20" t="s">
        <v>157</v>
      </c>
      <c r="E493" s="20" t="s">
        <v>872</v>
      </c>
      <c r="F493" s="20" t="s">
        <v>135</v>
      </c>
      <c r="G493" s="26">
        <f>G494</f>
        <v>462</v>
      </c>
      <c r="H493" s="26">
        <f>H494</f>
        <v>256</v>
      </c>
      <c r="I493" s="381">
        <f t="shared" si="42"/>
        <v>55.411255411255411</v>
      </c>
    </row>
    <row r="494" spans="1:9" s="203" customFormat="1" ht="31.5" x14ac:dyDescent="0.25">
      <c r="A494" s="25" t="s">
        <v>136</v>
      </c>
      <c r="B494" s="16">
        <v>905</v>
      </c>
      <c r="C494" s="20" t="s">
        <v>125</v>
      </c>
      <c r="D494" s="20" t="s">
        <v>157</v>
      </c>
      <c r="E494" s="20" t="s">
        <v>872</v>
      </c>
      <c r="F494" s="20" t="s">
        <v>137</v>
      </c>
      <c r="G494" s="26">
        <v>462</v>
      </c>
      <c r="H494" s="26">
        <v>256</v>
      </c>
      <c r="I494" s="381">
        <f t="shared" si="42"/>
        <v>55.411255411255411</v>
      </c>
    </row>
    <row r="495" spans="1:9" s="203" customFormat="1" ht="31.5" x14ac:dyDescent="0.25">
      <c r="A495" s="23" t="s">
        <v>895</v>
      </c>
      <c r="B495" s="19">
        <v>905</v>
      </c>
      <c r="C495" s="24" t="s">
        <v>125</v>
      </c>
      <c r="D495" s="24" t="s">
        <v>157</v>
      </c>
      <c r="E495" s="24" t="s">
        <v>873</v>
      </c>
      <c r="F495" s="24"/>
      <c r="G495" s="21">
        <f t="shared" ref="G495:H497" si="45">G496</f>
        <v>22.3</v>
      </c>
      <c r="H495" s="21">
        <f t="shared" si="45"/>
        <v>0</v>
      </c>
      <c r="I495" s="437">
        <f t="shared" si="42"/>
        <v>0</v>
      </c>
    </row>
    <row r="496" spans="1:9" s="203" customFormat="1" ht="77.45" customHeight="1" x14ac:dyDescent="0.25">
      <c r="A496" s="31" t="s">
        <v>1183</v>
      </c>
      <c r="B496" s="16">
        <v>905</v>
      </c>
      <c r="C496" s="20" t="s">
        <v>125</v>
      </c>
      <c r="D496" s="20" t="s">
        <v>157</v>
      </c>
      <c r="E496" s="20" t="s">
        <v>1182</v>
      </c>
      <c r="F496" s="20"/>
      <c r="G496" s="26">
        <f t="shared" si="45"/>
        <v>22.3</v>
      </c>
      <c r="H496" s="26">
        <f t="shared" si="45"/>
        <v>0</v>
      </c>
      <c r="I496" s="381">
        <f t="shared" si="42"/>
        <v>0</v>
      </c>
    </row>
    <row r="497" spans="1:36" s="203" customFormat="1" ht="63" x14ac:dyDescent="0.25">
      <c r="A497" s="25" t="s">
        <v>134</v>
      </c>
      <c r="B497" s="16">
        <v>905</v>
      </c>
      <c r="C497" s="20" t="s">
        <v>125</v>
      </c>
      <c r="D497" s="20" t="s">
        <v>157</v>
      </c>
      <c r="E497" s="20" t="s">
        <v>1182</v>
      </c>
      <c r="F497" s="20" t="s">
        <v>135</v>
      </c>
      <c r="G497" s="26">
        <f t="shared" si="45"/>
        <v>22.3</v>
      </c>
      <c r="H497" s="26">
        <f t="shared" si="45"/>
        <v>0</v>
      </c>
      <c r="I497" s="381">
        <f t="shared" si="42"/>
        <v>0</v>
      </c>
    </row>
    <row r="498" spans="1:36" s="203" customFormat="1" ht="31.5" x14ac:dyDescent="0.25">
      <c r="A498" s="25" t="s">
        <v>136</v>
      </c>
      <c r="B498" s="16">
        <v>905</v>
      </c>
      <c r="C498" s="20" t="s">
        <v>125</v>
      </c>
      <c r="D498" s="20" t="s">
        <v>157</v>
      </c>
      <c r="E498" s="20" t="s">
        <v>1182</v>
      </c>
      <c r="F498" s="20" t="s">
        <v>137</v>
      </c>
      <c r="G498" s="26">
        <v>22.3</v>
      </c>
      <c r="H498" s="26">
        <v>0</v>
      </c>
      <c r="I498" s="381">
        <f t="shared" si="42"/>
        <v>0</v>
      </c>
    </row>
    <row r="499" spans="1:36" ht="15.75" x14ac:dyDescent="0.25">
      <c r="A499" s="23" t="s">
        <v>146</v>
      </c>
      <c r="B499" s="19">
        <v>905</v>
      </c>
      <c r="C499" s="24" t="s">
        <v>125</v>
      </c>
      <c r="D499" s="24" t="s">
        <v>147</v>
      </c>
      <c r="E499" s="24"/>
      <c r="F499" s="24"/>
      <c r="G499" s="21">
        <f>G500+G508</f>
        <v>6216.9600000000009</v>
      </c>
      <c r="H499" s="21">
        <f>H500+H508</f>
        <v>663.23500000000001</v>
      </c>
      <c r="I499" s="437">
        <f t="shared" si="42"/>
        <v>10.668156140621782</v>
      </c>
    </row>
    <row r="500" spans="1:36" s="203" customFormat="1" ht="15.75" x14ac:dyDescent="0.25">
      <c r="A500" s="23" t="s">
        <v>148</v>
      </c>
      <c r="B500" s="19">
        <v>905</v>
      </c>
      <c r="C500" s="24" t="s">
        <v>125</v>
      </c>
      <c r="D500" s="24" t="s">
        <v>147</v>
      </c>
      <c r="E500" s="24" t="s">
        <v>876</v>
      </c>
      <c r="F500" s="24"/>
      <c r="G500" s="21">
        <f>G501</f>
        <v>5202.1000000000004</v>
      </c>
      <c r="H500" s="21">
        <f>H501</f>
        <v>663.23500000000001</v>
      </c>
      <c r="I500" s="437">
        <f t="shared" si="42"/>
        <v>12.749370446550431</v>
      </c>
    </row>
    <row r="501" spans="1:36" s="203" customFormat="1" ht="31.5" x14ac:dyDescent="0.25">
      <c r="A501" s="23" t="s">
        <v>880</v>
      </c>
      <c r="B501" s="19">
        <v>905</v>
      </c>
      <c r="C501" s="24" t="s">
        <v>125</v>
      </c>
      <c r="D501" s="24" t="s">
        <v>147</v>
      </c>
      <c r="E501" s="24" t="s">
        <v>875</v>
      </c>
      <c r="F501" s="24"/>
      <c r="G501" s="21">
        <f>G502+G505</f>
        <v>5202.1000000000004</v>
      </c>
      <c r="H501" s="21">
        <f>H502+H505</f>
        <v>663.23500000000001</v>
      </c>
      <c r="I501" s="437">
        <f t="shared" si="42"/>
        <v>12.749370446550431</v>
      </c>
    </row>
    <row r="502" spans="1:36" s="203" customFormat="1" ht="47.25" x14ac:dyDescent="0.25">
      <c r="A502" s="25" t="s">
        <v>395</v>
      </c>
      <c r="B502" s="16">
        <v>905</v>
      </c>
      <c r="C502" s="20" t="s">
        <v>125</v>
      </c>
      <c r="D502" s="20" t="s">
        <v>147</v>
      </c>
      <c r="E502" s="20" t="s">
        <v>1021</v>
      </c>
      <c r="F502" s="20"/>
      <c r="G502" s="26">
        <f>G503</f>
        <v>5202.1000000000004</v>
      </c>
      <c r="H502" s="26">
        <f>H503</f>
        <v>663.23500000000001</v>
      </c>
      <c r="I502" s="381">
        <f t="shared" si="42"/>
        <v>12.749370446550431</v>
      </c>
    </row>
    <row r="503" spans="1:36" s="203" customFormat="1" ht="31.5" x14ac:dyDescent="0.25">
      <c r="A503" s="25" t="s">
        <v>138</v>
      </c>
      <c r="B503" s="16">
        <v>905</v>
      </c>
      <c r="C503" s="20" t="s">
        <v>125</v>
      </c>
      <c r="D503" s="20" t="s">
        <v>147</v>
      </c>
      <c r="E503" s="20" t="s">
        <v>1021</v>
      </c>
      <c r="F503" s="20" t="s">
        <v>139</v>
      </c>
      <c r="G503" s="26">
        <f>G504</f>
        <v>5202.1000000000004</v>
      </c>
      <c r="H503" s="26">
        <f>H504</f>
        <v>663.23500000000001</v>
      </c>
      <c r="I503" s="381">
        <f t="shared" si="42"/>
        <v>12.749370446550431</v>
      </c>
    </row>
    <row r="504" spans="1:36" s="203" customFormat="1" ht="31.5" x14ac:dyDescent="0.25">
      <c r="A504" s="25" t="s">
        <v>140</v>
      </c>
      <c r="B504" s="16">
        <v>905</v>
      </c>
      <c r="C504" s="20" t="s">
        <v>125</v>
      </c>
      <c r="D504" s="20" t="s">
        <v>147</v>
      </c>
      <c r="E504" s="20" t="s">
        <v>1021</v>
      </c>
      <c r="F504" s="20" t="s">
        <v>141</v>
      </c>
      <c r="G504" s="26">
        <f>5707.8-505.7</f>
        <v>5202.1000000000004</v>
      </c>
      <c r="H504" s="26">
        <v>663.23500000000001</v>
      </c>
      <c r="I504" s="381">
        <f t="shared" si="42"/>
        <v>12.749370446550431</v>
      </c>
    </row>
    <row r="505" spans="1:36" s="203" customFormat="1" ht="31.5" hidden="1" x14ac:dyDescent="0.25">
      <c r="A505" s="25" t="s">
        <v>941</v>
      </c>
      <c r="B505" s="16">
        <v>905</v>
      </c>
      <c r="C505" s="20" t="s">
        <v>125</v>
      </c>
      <c r="D505" s="20" t="s">
        <v>147</v>
      </c>
      <c r="E505" s="20" t="s">
        <v>1022</v>
      </c>
      <c r="F505" s="20"/>
      <c r="G505" s="26">
        <f>G506</f>
        <v>0</v>
      </c>
      <c r="H505" s="26">
        <f>H506</f>
        <v>0</v>
      </c>
      <c r="I505" s="381" t="e">
        <f t="shared" si="42"/>
        <v>#DIV/0!</v>
      </c>
    </row>
    <row r="506" spans="1:36" s="203" customFormat="1" ht="31.5" hidden="1" x14ac:dyDescent="0.25">
      <c r="A506" s="25" t="s">
        <v>138</v>
      </c>
      <c r="B506" s="16">
        <v>905</v>
      </c>
      <c r="C506" s="20" t="s">
        <v>125</v>
      </c>
      <c r="D506" s="20" t="s">
        <v>147</v>
      </c>
      <c r="E506" s="20" t="s">
        <v>1022</v>
      </c>
      <c r="F506" s="20" t="s">
        <v>139</v>
      </c>
      <c r="G506" s="26">
        <f>G507</f>
        <v>0</v>
      </c>
      <c r="H506" s="26">
        <f>H507</f>
        <v>0</v>
      </c>
      <c r="I506" s="381" t="e">
        <f t="shared" si="42"/>
        <v>#DIV/0!</v>
      </c>
    </row>
    <row r="507" spans="1:36" s="203" customFormat="1" ht="31.5" hidden="1" x14ac:dyDescent="0.25">
      <c r="A507" s="25" t="s">
        <v>140</v>
      </c>
      <c r="B507" s="16">
        <v>905</v>
      </c>
      <c r="C507" s="20" t="s">
        <v>125</v>
      </c>
      <c r="D507" s="20" t="s">
        <v>147</v>
      </c>
      <c r="E507" s="20" t="s">
        <v>1022</v>
      </c>
      <c r="F507" s="20" t="s">
        <v>141</v>
      </c>
      <c r="G507" s="26">
        <f>100-100</f>
        <v>0</v>
      </c>
      <c r="H507" s="26">
        <f>100-100</f>
        <v>0</v>
      </c>
      <c r="I507" s="381" t="e">
        <f t="shared" si="42"/>
        <v>#DIV/0!</v>
      </c>
    </row>
    <row r="508" spans="1:36" s="111" customFormat="1" ht="69.400000000000006" customHeight="1" x14ac:dyDescent="0.25">
      <c r="A508" s="23" t="s">
        <v>1578</v>
      </c>
      <c r="B508" s="19">
        <v>905</v>
      </c>
      <c r="C508" s="24" t="s">
        <v>125</v>
      </c>
      <c r="D508" s="24" t="s">
        <v>147</v>
      </c>
      <c r="E508" s="24" t="s">
        <v>792</v>
      </c>
      <c r="F508" s="24"/>
      <c r="G508" s="21">
        <f t="shared" ref="G508:H511" si="46">G509</f>
        <v>1014.8600000000001</v>
      </c>
      <c r="H508" s="21">
        <f t="shared" si="46"/>
        <v>0</v>
      </c>
      <c r="I508" s="437">
        <f t="shared" si="42"/>
        <v>0</v>
      </c>
      <c r="J508" s="204"/>
      <c r="AG508" s="204"/>
      <c r="AH508" s="204"/>
      <c r="AJ508" s="204"/>
    </row>
    <row r="509" spans="1:36" s="204" customFormat="1" ht="29.25" customHeight="1" x14ac:dyDescent="0.25">
      <c r="A509" s="23" t="s">
        <v>940</v>
      </c>
      <c r="B509" s="19">
        <v>905</v>
      </c>
      <c r="C509" s="24" t="s">
        <v>125</v>
      </c>
      <c r="D509" s="24" t="s">
        <v>147</v>
      </c>
      <c r="E509" s="24" t="s">
        <v>1030</v>
      </c>
      <c r="F509" s="24"/>
      <c r="G509" s="21">
        <f t="shared" si="46"/>
        <v>1014.8600000000001</v>
      </c>
      <c r="H509" s="21">
        <f t="shared" si="46"/>
        <v>0</v>
      </c>
      <c r="I509" s="437">
        <f t="shared" si="42"/>
        <v>0</v>
      </c>
    </row>
    <row r="510" spans="1:36" s="111" customFormat="1" ht="15.75" x14ac:dyDescent="0.25">
      <c r="A510" s="25" t="s">
        <v>1573</v>
      </c>
      <c r="B510" s="16">
        <v>905</v>
      </c>
      <c r="C510" s="20" t="s">
        <v>125</v>
      </c>
      <c r="D510" s="20" t="s">
        <v>147</v>
      </c>
      <c r="E510" s="20" t="s">
        <v>1031</v>
      </c>
      <c r="F510" s="20"/>
      <c r="G510" s="26">
        <f t="shared" si="46"/>
        <v>1014.8600000000001</v>
      </c>
      <c r="H510" s="26">
        <f t="shared" si="46"/>
        <v>0</v>
      </c>
      <c r="I510" s="381">
        <f t="shared" si="42"/>
        <v>0</v>
      </c>
      <c r="J510" s="204"/>
      <c r="AG510" s="204"/>
      <c r="AH510" s="204"/>
      <c r="AJ510" s="204"/>
    </row>
    <row r="511" spans="1:36" s="111" customFormat="1" ht="31.5" x14ac:dyDescent="0.25">
      <c r="A511" s="25" t="s">
        <v>138</v>
      </c>
      <c r="B511" s="16">
        <v>905</v>
      </c>
      <c r="C511" s="20" t="s">
        <v>125</v>
      </c>
      <c r="D511" s="20" t="s">
        <v>147</v>
      </c>
      <c r="E511" s="20" t="s">
        <v>1031</v>
      </c>
      <c r="F511" s="20" t="s">
        <v>139</v>
      </c>
      <c r="G511" s="26">
        <f t="shared" si="46"/>
        <v>1014.8600000000001</v>
      </c>
      <c r="H511" s="26">
        <f t="shared" si="46"/>
        <v>0</v>
      </c>
      <c r="I511" s="381">
        <f t="shared" si="42"/>
        <v>0</v>
      </c>
      <c r="J511" s="204"/>
      <c r="AG511" s="204"/>
      <c r="AH511" s="204"/>
      <c r="AJ511" s="204"/>
    </row>
    <row r="512" spans="1:36" s="111" customFormat="1" ht="31.5" x14ac:dyDescent="0.25">
      <c r="A512" s="25" t="s">
        <v>140</v>
      </c>
      <c r="B512" s="16">
        <v>905</v>
      </c>
      <c r="C512" s="20" t="s">
        <v>125</v>
      </c>
      <c r="D512" s="20" t="s">
        <v>147</v>
      </c>
      <c r="E512" s="20" t="s">
        <v>1031</v>
      </c>
      <c r="F512" s="20" t="s">
        <v>141</v>
      </c>
      <c r="G512" s="26">
        <f>92.26+83.03+839.57</f>
        <v>1014.8600000000001</v>
      </c>
      <c r="H512" s="26">
        <v>0</v>
      </c>
      <c r="I512" s="381">
        <f t="shared" si="42"/>
        <v>0</v>
      </c>
      <c r="J512" s="204"/>
      <c r="K512" s="111">
        <v>92.26</v>
      </c>
      <c r="L512" s="111">
        <f>M513/91*100-M513</f>
        <v>243.25714285714275</v>
      </c>
      <c r="AG512" s="204"/>
      <c r="AH512" s="204"/>
      <c r="AJ512" s="204"/>
    </row>
    <row r="513" spans="1:13" ht="15.75" x14ac:dyDescent="0.25">
      <c r="A513" s="41" t="s">
        <v>397</v>
      </c>
      <c r="B513" s="19">
        <v>905</v>
      </c>
      <c r="C513" s="24" t="s">
        <v>241</v>
      </c>
      <c r="D513" s="24"/>
      <c r="E513" s="24"/>
      <c r="F513" s="24"/>
      <c r="G513" s="21">
        <f t="shared" ref="G513:H515" si="47">G514</f>
        <v>270.39999999999998</v>
      </c>
      <c r="H513" s="21">
        <f t="shared" si="47"/>
        <v>44.923000000000002</v>
      </c>
      <c r="I513" s="437">
        <f t="shared" si="42"/>
        <v>16.61353550295858</v>
      </c>
      <c r="K513" s="1">
        <v>83.03</v>
      </c>
      <c r="L513" s="1">
        <v>2238.1999999999998</v>
      </c>
      <c r="M513" s="1">
        <v>2459.6</v>
      </c>
    </row>
    <row r="514" spans="1:13" ht="15.75" x14ac:dyDescent="0.25">
      <c r="A514" s="41" t="s">
        <v>398</v>
      </c>
      <c r="B514" s="19">
        <v>905</v>
      </c>
      <c r="C514" s="24" t="s">
        <v>241</v>
      </c>
      <c r="D514" s="24" t="s">
        <v>125</v>
      </c>
      <c r="E514" s="24"/>
      <c r="F514" s="24"/>
      <c r="G514" s="21">
        <f t="shared" si="47"/>
        <v>270.39999999999998</v>
      </c>
      <c r="H514" s="21">
        <f t="shared" si="47"/>
        <v>44.923000000000002</v>
      </c>
      <c r="I514" s="437">
        <f t="shared" si="42"/>
        <v>16.61353550295858</v>
      </c>
      <c r="K514" s="1">
        <v>839.57</v>
      </c>
      <c r="L514" s="1">
        <f>M513-L513</f>
        <v>221.40000000000009</v>
      </c>
    </row>
    <row r="515" spans="1:13" s="203" customFormat="1" ht="15.75" x14ac:dyDescent="0.25">
      <c r="A515" s="23" t="s">
        <v>148</v>
      </c>
      <c r="B515" s="19">
        <v>905</v>
      </c>
      <c r="C515" s="24" t="s">
        <v>241</v>
      </c>
      <c r="D515" s="24" t="s">
        <v>125</v>
      </c>
      <c r="E515" s="24" t="s">
        <v>876</v>
      </c>
      <c r="F515" s="24"/>
      <c r="G515" s="21">
        <f t="shared" si="47"/>
        <v>270.39999999999998</v>
      </c>
      <c r="H515" s="21">
        <f t="shared" si="47"/>
        <v>44.923000000000002</v>
      </c>
      <c r="I515" s="437">
        <f t="shared" si="42"/>
        <v>16.61353550295858</v>
      </c>
    </row>
    <row r="516" spans="1:13" s="203" customFormat="1" ht="31.5" x14ac:dyDescent="0.25">
      <c r="A516" s="23" t="s">
        <v>880</v>
      </c>
      <c r="B516" s="19">
        <v>905</v>
      </c>
      <c r="C516" s="24" t="s">
        <v>241</v>
      </c>
      <c r="D516" s="24" t="s">
        <v>125</v>
      </c>
      <c r="E516" s="24" t="s">
        <v>875</v>
      </c>
      <c r="F516" s="24"/>
      <c r="G516" s="21">
        <f>G517+G520</f>
        <v>270.39999999999998</v>
      </c>
      <c r="H516" s="21">
        <f>H517+H520</f>
        <v>44.923000000000002</v>
      </c>
      <c r="I516" s="437">
        <f t="shared" si="42"/>
        <v>16.61353550295858</v>
      </c>
    </row>
    <row r="517" spans="1:13" ht="31.5" x14ac:dyDescent="0.25">
      <c r="A517" s="29" t="s">
        <v>405</v>
      </c>
      <c r="B517" s="16">
        <v>905</v>
      </c>
      <c r="C517" s="20" t="s">
        <v>241</v>
      </c>
      <c r="D517" s="20" t="s">
        <v>125</v>
      </c>
      <c r="E517" s="20" t="s">
        <v>971</v>
      </c>
      <c r="F517" s="20"/>
      <c r="G517" s="26">
        <f>G518</f>
        <v>270.39999999999998</v>
      </c>
      <c r="H517" s="26">
        <f>H518</f>
        <v>44.923000000000002</v>
      </c>
      <c r="I517" s="381">
        <f t="shared" si="42"/>
        <v>16.61353550295858</v>
      </c>
    </row>
    <row r="518" spans="1:13" ht="31.5" x14ac:dyDescent="0.25">
      <c r="A518" s="25" t="s">
        <v>138</v>
      </c>
      <c r="B518" s="16">
        <v>905</v>
      </c>
      <c r="C518" s="20" t="s">
        <v>241</v>
      </c>
      <c r="D518" s="20" t="s">
        <v>125</v>
      </c>
      <c r="E518" s="20" t="s">
        <v>971</v>
      </c>
      <c r="F518" s="20" t="s">
        <v>139</v>
      </c>
      <c r="G518" s="26">
        <f>G519</f>
        <v>270.39999999999998</v>
      </c>
      <c r="H518" s="26">
        <f>H519</f>
        <v>44.923000000000002</v>
      </c>
      <c r="I518" s="381">
        <f t="shared" si="42"/>
        <v>16.61353550295858</v>
      </c>
    </row>
    <row r="519" spans="1:13" ht="31.5" x14ac:dyDescent="0.25">
      <c r="A519" s="25" t="s">
        <v>140</v>
      </c>
      <c r="B519" s="16">
        <v>905</v>
      </c>
      <c r="C519" s="20" t="s">
        <v>241</v>
      </c>
      <c r="D519" s="20" t="s">
        <v>125</v>
      </c>
      <c r="E519" s="20" t="s">
        <v>971</v>
      </c>
      <c r="F519" s="20" t="s">
        <v>141</v>
      </c>
      <c r="G519" s="26">
        <f>263.2+7+0.2</f>
        <v>270.39999999999998</v>
      </c>
      <c r="H519" s="26">
        <v>44.923000000000002</v>
      </c>
      <c r="I519" s="381">
        <f t="shared" si="42"/>
        <v>16.61353550295858</v>
      </c>
    </row>
    <row r="520" spans="1:13" ht="31.5" hidden="1" x14ac:dyDescent="0.25">
      <c r="A520" s="29" t="s">
        <v>942</v>
      </c>
      <c r="B520" s="16">
        <v>905</v>
      </c>
      <c r="C520" s="20" t="s">
        <v>241</v>
      </c>
      <c r="D520" s="20" t="s">
        <v>125</v>
      </c>
      <c r="E520" s="20" t="s">
        <v>972</v>
      </c>
      <c r="F520" s="20"/>
      <c r="G520" s="26">
        <f>G521</f>
        <v>0</v>
      </c>
      <c r="H520" s="26">
        <f>H521</f>
        <v>0</v>
      </c>
      <c r="I520" s="381" t="e">
        <f t="shared" si="42"/>
        <v>#DIV/0!</v>
      </c>
    </row>
    <row r="521" spans="1:13" ht="31.5" hidden="1" x14ac:dyDescent="0.25">
      <c r="A521" s="25" t="s">
        <v>138</v>
      </c>
      <c r="B521" s="16">
        <v>905</v>
      </c>
      <c r="C521" s="20" t="s">
        <v>241</v>
      </c>
      <c r="D521" s="20" t="s">
        <v>125</v>
      </c>
      <c r="E521" s="20" t="s">
        <v>972</v>
      </c>
      <c r="F521" s="20" t="s">
        <v>139</v>
      </c>
      <c r="G521" s="26">
        <f>G522</f>
        <v>0</v>
      </c>
      <c r="H521" s="26">
        <f>H522</f>
        <v>0</v>
      </c>
      <c r="I521" s="381" t="e">
        <f t="shared" si="42"/>
        <v>#DIV/0!</v>
      </c>
    </row>
    <row r="522" spans="1:13" ht="31.5" hidden="1" x14ac:dyDescent="0.25">
      <c r="A522" s="25" t="s">
        <v>140</v>
      </c>
      <c r="B522" s="16">
        <v>905</v>
      </c>
      <c r="C522" s="20" t="s">
        <v>241</v>
      </c>
      <c r="D522" s="20" t="s">
        <v>125</v>
      </c>
      <c r="E522" s="20" t="s">
        <v>972</v>
      </c>
      <c r="F522" s="20" t="s">
        <v>141</v>
      </c>
      <c r="G522" s="26">
        <f>483.8-483.8</f>
        <v>0</v>
      </c>
      <c r="H522" s="26">
        <f>483.8-483.8</f>
        <v>0</v>
      </c>
      <c r="I522" s="381" t="e">
        <f t="shared" si="42"/>
        <v>#DIV/0!</v>
      </c>
    </row>
    <row r="523" spans="1:13" s="203" customFormat="1" ht="15.75" x14ac:dyDescent="0.25">
      <c r="A523" s="23" t="s">
        <v>250</v>
      </c>
      <c r="B523" s="19">
        <v>905</v>
      </c>
      <c r="C523" s="24" t="s">
        <v>251</v>
      </c>
      <c r="D523" s="20"/>
      <c r="E523" s="20"/>
      <c r="F523" s="20"/>
      <c r="G523" s="21">
        <f t="shared" ref="G523:H527" si="48">G524</f>
        <v>1975.4</v>
      </c>
      <c r="H523" s="21">
        <f t="shared" si="48"/>
        <v>0</v>
      </c>
      <c r="I523" s="437">
        <f t="shared" ref="I523:I586" si="49">H523/G523*100</f>
        <v>0</v>
      </c>
    </row>
    <row r="524" spans="1:13" s="203" customFormat="1" ht="15.75" x14ac:dyDescent="0.25">
      <c r="A524" s="23" t="s">
        <v>407</v>
      </c>
      <c r="B524" s="19">
        <v>905</v>
      </c>
      <c r="C524" s="24" t="s">
        <v>251</v>
      </c>
      <c r="D524" s="24" t="s">
        <v>157</v>
      </c>
      <c r="E524" s="20"/>
      <c r="F524" s="20"/>
      <c r="G524" s="21">
        <f t="shared" si="48"/>
        <v>1975.4</v>
      </c>
      <c r="H524" s="21">
        <f t="shared" si="48"/>
        <v>0</v>
      </c>
      <c r="I524" s="437">
        <f t="shared" si="49"/>
        <v>0</v>
      </c>
    </row>
    <row r="525" spans="1:13" s="203" customFormat="1" ht="31.5" x14ac:dyDescent="0.25">
      <c r="A525" s="23" t="s">
        <v>895</v>
      </c>
      <c r="B525" s="19">
        <v>905</v>
      </c>
      <c r="C525" s="24" t="s">
        <v>251</v>
      </c>
      <c r="D525" s="24" t="s">
        <v>157</v>
      </c>
      <c r="E525" s="24" t="s">
        <v>873</v>
      </c>
      <c r="F525" s="20"/>
      <c r="G525" s="21">
        <f t="shared" si="48"/>
        <v>1975.4</v>
      </c>
      <c r="H525" s="21">
        <f t="shared" si="48"/>
        <v>0</v>
      </c>
      <c r="I525" s="437">
        <f t="shared" si="49"/>
        <v>0</v>
      </c>
    </row>
    <row r="526" spans="1:13" s="203" customFormat="1" ht="38.1" customHeight="1" x14ac:dyDescent="0.25">
      <c r="A526" s="25" t="s">
        <v>1352</v>
      </c>
      <c r="B526" s="16">
        <v>905</v>
      </c>
      <c r="C526" s="20" t="s">
        <v>251</v>
      </c>
      <c r="D526" s="20" t="s">
        <v>157</v>
      </c>
      <c r="E526" s="20" t="s">
        <v>1184</v>
      </c>
      <c r="F526" s="20"/>
      <c r="G526" s="26">
        <f t="shared" si="48"/>
        <v>1975.4</v>
      </c>
      <c r="H526" s="26">
        <f t="shared" si="48"/>
        <v>0</v>
      </c>
      <c r="I526" s="381">
        <f t="shared" si="49"/>
        <v>0</v>
      </c>
    </row>
    <row r="527" spans="1:13" s="203" customFormat="1" ht="31.5" x14ac:dyDescent="0.25">
      <c r="A527" s="25" t="s">
        <v>138</v>
      </c>
      <c r="B527" s="16">
        <v>905</v>
      </c>
      <c r="C527" s="20" t="s">
        <v>251</v>
      </c>
      <c r="D527" s="20" t="s">
        <v>157</v>
      </c>
      <c r="E527" s="20" t="s">
        <v>1184</v>
      </c>
      <c r="F527" s="20" t="s">
        <v>139</v>
      </c>
      <c r="G527" s="26">
        <f t="shared" si="48"/>
        <v>1975.4</v>
      </c>
      <c r="H527" s="26">
        <f t="shared" si="48"/>
        <v>0</v>
      </c>
      <c r="I527" s="381">
        <f t="shared" si="49"/>
        <v>0</v>
      </c>
    </row>
    <row r="528" spans="1:13" s="203" customFormat="1" ht="31.5" x14ac:dyDescent="0.25">
      <c r="A528" s="25" t="s">
        <v>140</v>
      </c>
      <c r="B528" s="16">
        <v>905</v>
      </c>
      <c r="C528" s="20" t="s">
        <v>251</v>
      </c>
      <c r="D528" s="20" t="s">
        <v>157</v>
      </c>
      <c r="E528" s="20" t="s">
        <v>1184</v>
      </c>
      <c r="F528" s="20" t="s">
        <v>141</v>
      </c>
      <c r="G528" s="26">
        <v>1975.4</v>
      </c>
      <c r="H528" s="26">
        <v>0</v>
      </c>
      <c r="I528" s="381">
        <f t="shared" si="49"/>
        <v>0</v>
      </c>
    </row>
    <row r="529" spans="1:10" ht="31.5" x14ac:dyDescent="0.25">
      <c r="A529" s="19" t="s">
        <v>410</v>
      </c>
      <c r="B529" s="19">
        <v>906</v>
      </c>
      <c r="C529" s="24"/>
      <c r="D529" s="24"/>
      <c r="E529" s="24"/>
      <c r="F529" s="24"/>
      <c r="G529" s="21">
        <f>G537+G530</f>
        <v>387625.05</v>
      </c>
      <c r="H529" s="21">
        <f>H537+H530</f>
        <v>88673.830999999991</v>
      </c>
      <c r="I529" s="437">
        <f t="shared" si="49"/>
        <v>22.876186923419937</v>
      </c>
      <c r="J529" s="115"/>
    </row>
    <row r="530" spans="1:10" ht="15.75" x14ac:dyDescent="0.25">
      <c r="A530" s="23" t="s">
        <v>124</v>
      </c>
      <c r="B530" s="19">
        <v>906</v>
      </c>
      <c r="C530" s="24" t="s">
        <v>125</v>
      </c>
      <c r="D530" s="24"/>
      <c r="E530" s="24"/>
      <c r="F530" s="24"/>
      <c r="G530" s="21">
        <f t="shared" ref="G530:H535" si="50">G531</f>
        <v>100</v>
      </c>
      <c r="H530" s="21">
        <f t="shared" si="50"/>
        <v>0</v>
      </c>
      <c r="I530" s="437">
        <f t="shared" si="49"/>
        <v>0</v>
      </c>
    </row>
    <row r="531" spans="1:10" ht="15.75" x14ac:dyDescent="0.25">
      <c r="A531" s="34" t="s">
        <v>146</v>
      </c>
      <c r="B531" s="19">
        <v>906</v>
      </c>
      <c r="C531" s="24" t="s">
        <v>125</v>
      </c>
      <c r="D531" s="24" t="s">
        <v>147</v>
      </c>
      <c r="E531" s="24"/>
      <c r="F531" s="24"/>
      <c r="G531" s="21">
        <f t="shared" si="50"/>
        <v>100</v>
      </c>
      <c r="H531" s="21">
        <f t="shared" si="50"/>
        <v>0</v>
      </c>
      <c r="I531" s="437">
        <f t="shared" si="49"/>
        <v>0</v>
      </c>
    </row>
    <row r="532" spans="1:10" ht="31.5" x14ac:dyDescent="0.25">
      <c r="A532" s="23" t="s">
        <v>1372</v>
      </c>
      <c r="B532" s="19">
        <v>906</v>
      </c>
      <c r="C532" s="24" t="s">
        <v>125</v>
      </c>
      <c r="D532" s="24" t="s">
        <v>147</v>
      </c>
      <c r="E532" s="24" t="s">
        <v>342</v>
      </c>
      <c r="F532" s="24"/>
      <c r="G532" s="21">
        <f t="shared" si="50"/>
        <v>100</v>
      </c>
      <c r="H532" s="21">
        <f t="shared" si="50"/>
        <v>0</v>
      </c>
      <c r="I532" s="437">
        <f t="shared" si="49"/>
        <v>0</v>
      </c>
    </row>
    <row r="533" spans="1:10" s="203" customFormat="1" ht="31.5" x14ac:dyDescent="0.25">
      <c r="A533" s="208" t="s">
        <v>1060</v>
      </c>
      <c r="B533" s="19">
        <v>906</v>
      </c>
      <c r="C533" s="24" t="s">
        <v>125</v>
      </c>
      <c r="D533" s="24" t="s">
        <v>147</v>
      </c>
      <c r="E533" s="24" t="s">
        <v>1061</v>
      </c>
      <c r="F533" s="24"/>
      <c r="G533" s="21">
        <f t="shared" si="50"/>
        <v>100</v>
      </c>
      <c r="H533" s="21">
        <f t="shared" si="50"/>
        <v>0</v>
      </c>
      <c r="I533" s="437">
        <f t="shared" si="49"/>
        <v>0</v>
      </c>
    </row>
    <row r="534" spans="1:10" ht="31.5" x14ac:dyDescent="0.25">
      <c r="A534" s="97" t="s">
        <v>343</v>
      </c>
      <c r="B534" s="16">
        <v>906</v>
      </c>
      <c r="C534" s="20" t="s">
        <v>125</v>
      </c>
      <c r="D534" s="20" t="s">
        <v>147</v>
      </c>
      <c r="E534" s="20" t="s">
        <v>1062</v>
      </c>
      <c r="F534" s="20"/>
      <c r="G534" s="26">
        <f t="shared" si="50"/>
        <v>100</v>
      </c>
      <c r="H534" s="26">
        <f t="shared" si="50"/>
        <v>0</v>
      </c>
      <c r="I534" s="381">
        <f t="shared" si="49"/>
        <v>0</v>
      </c>
    </row>
    <row r="535" spans="1:10" ht="31.5" x14ac:dyDescent="0.25">
      <c r="A535" s="25" t="s">
        <v>138</v>
      </c>
      <c r="B535" s="16">
        <v>906</v>
      </c>
      <c r="C535" s="20" t="s">
        <v>125</v>
      </c>
      <c r="D535" s="20" t="s">
        <v>147</v>
      </c>
      <c r="E535" s="20" t="s">
        <v>1062</v>
      </c>
      <c r="F535" s="20" t="s">
        <v>139</v>
      </c>
      <c r="G535" s="26">
        <f t="shared" si="50"/>
        <v>100</v>
      </c>
      <c r="H535" s="26">
        <f t="shared" si="50"/>
        <v>0</v>
      </c>
      <c r="I535" s="381">
        <f t="shared" si="49"/>
        <v>0</v>
      </c>
    </row>
    <row r="536" spans="1:10" ht="31.5" x14ac:dyDescent="0.25">
      <c r="A536" s="25" t="s">
        <v>140</v>
      </c>
      <c r="B536" s="16">
        <v>906</v>
      </c>
      <c r="C536" s="20" t="s">
        <v>125</v>
      </c>
      <c r="D536" s="20" t="s">
        <v>147</v>
      </c>
      <c r="E536" s="20" t="s">
        <v>1062</v>
      </c>
      <c r="F536" s="20" t="s">
        <v>141</v>
      </c>
      <c r="G536" s="26">
        <v>100</v>
      </c>
      <c r="H536" s="26">
        <v>0</v>
      </c>
      <c r="I536" s="381">
        <f t="shared" si="49"/>
        <v>0</v>
      </c>
    </row>
    <row r="537" spans="1:10" ht="15.75" x14ac:dyDescent="0.25">
      <c r="A537" s="23" t="s">
        <v>270</v>
      </c>
      <c r="B537" s="19">
        <v>906</v>
      </c>
      <c r="C537" s="24" t="s">
        <v>271</v>
      </c>
      <c r="D537" s="24"/>
      <c r="E537" s="24"/>
      <c r="F537" s="24"/>
      <c r="G537" s="21">
        <f>G538+G598+G713+G719+G681</f>
        <v>387525.05</v>
      </c>
      <c r="H537" s="21">
        <f>H538+H598+H713+H719+H681</f>
        <v>88673.830999999991</v>
      </c>
      <c r="I537" s="437">
        <f t="shared" si="49"/>
        <v>22.882090073919091</v>
      </c>
    </row>
    <row r="538" spans="1:10" ht="15.75" x14ac:dyDescent="0.25">
      <c r="A538" s="23" t="s">
        <v>411</v>
      </c>
      <c r="B538" s="19">
        <v>906</v>
      </c>
      <c r="C538" s="24" t="s">
        <v>271</v>
      </c>
      <c r="D538" s="24" t="s">
        <v>125</v>
      </c>
      <c r="E538" s="24"/>
      <c r="F538" s="24"/>
      <c r="G538" s="21">
        <f>G539+G588+G593</f>
        <v>122150.90000000002</v>
      </c>
      <c r="H538" s="21">
        <f>H539+H588+H593</f>
        <v>30514.512999999999</v>
      </c>
      <c r="I538" s="437">
        <f t="shared" si="49"/>
        <v>24.980997274682377</v>
      </c>
      <c r="J538" s="115"/>
    </row>
    <row r="539" spans="1:10" ht="36" customHeight="1" x14ac:dyDescent="0.25">
      <c r="A539" s="23" t="s">
        <v>1373</v>
      </c>
      <c r="B539" s="19">
        <v>906</v>
      </c>
      <c r="C539" s="24" t="s">
        <v>271</v>
      </c>
      <c r="D539" s="24" t="s">
        <v>125</v>
      </c>
      <c r="E539" s="24" t="s">
        <v>413</v>
      </c>
      <c r="F539" s="24"/>
      <c r="G539" s="21">
        <f>G540+G544+G557+G567+G577+G581</f>
        <v>121506.90000000002</v>
      </c>
      <c r="H539" s="21">
        <f>H540+H544+H557+H567+H577+H581</f>
        <v>30424.52</v>
      </c>
      <c r="I539" s="437">
        <f t="shared" si="49"/>
        <v>25.039335214707968</v>
      </c>
    </row>
    <row r="540" spans="1:10" s="203" customFormat="1" ht="38.25" customHeight="1" x14ac:dyDescent="0.25">
      <c r="A540" s="23" t="s">
        <v>947</v>
      </c>
      <c r="B540" s="19">
        <v>906</v>
      </c>
      <c r="C540" s="24" t="s">
        <v>271</v>
      </c>
      <c r="D540" s="24" t="s">
        <v>125</v>
      </c>
      <c r="E540" s="24" t="s">
        <v>1245</v>
      </c>
      <c r="F540" s="24"/>
      <c r="G540" s="21">
        <f t="shared" ref="G540:H542" si="51">G541</f>
        <v>14795.6</v>
      </c>
      <c r="H540" s="21">
        <f t="shared" si="51"/>
        <v>3897.848</v>
      </c>
      <c r="I540" s="437">
        <f t="shared" si="49"/>
        <v>26.344643001973562</v>
      </c>
    </row>
    <row r="541" spans="1:10" ht="31.5" x14ac:dyDescent="0.25">
      <c r="A541" s="25" t="s">
        <v>1244</v>
      </c>
      <c r="B541" s="16">
        <v>906</v>
      </c>
      <c r="C541" s="20" t="s">
        <v>271</v>
      </c>
      <c r="D541" s="20" t="s">
        <v>125</v>
      </c>
      <c r="E541" s="20" t="s">
        <v>1246</v>
      </c>
      <c r="F541" s="20"/>
      <c r="G541" s="26">
        <f t="shared" si="51"/>
        <v>14795.6</v>
      </c>
      <c r="H541" s="26">
        <f t="shared" si="51"/>
        <v>3897.848</v>
      </c>
      <c r="I541" s="381">
        <f t="shared" si="49"/>
        <v>26.344643001973562</v>
      </c>
    </row>
    <row r="542" spans="1:10" ht="31.5" x14ac:dyDescent="0.25">
      <c r="A542" s="25" t="s">
        <v>279</v>
      </c>
      <c r="B542" s="16">
        <v>906</v>
      </c>
      <c r="C542" s="20" t="s">
        <v>271</v>
      </c>
      <c r="D542" s="20" t="s">
        <v>125</v>
      </c>
      <c r="E542" s="20" t="s">
        <v>1246</v>
      </c>
      <c r="F542" s="20" t="s">
        <v>280</v>
      </c>
      <c r="G542" s="26">
        <f t="shared" si="51"/>
        <v>14795.6</v>
      </c>
      <c r="H542" s="26">
        <f t="shared" si="51"/>
        <v>3897.848</v>
      </c>
      <c r="I542" s="381">
        <f t="shared" si="49"/>
        <v>26.344643001973562</v>
      </c>
    </row>
    <row r="543" spans="1:10" ht="15.75" x14ac:dyDescent="0.25">
      <c r="A543" s="25" t="s">
        <v>281</v>
      </c>
      <c r="B543" s="16">
        <v>906</v>
      </c>
      <c r="C543" s="20" t="s">
        <v>271</v>
      </c>
      <c r="D543" s="20" t="s">
        <v>125</v>
      </c>
      <c r="E543" s="20" t="s">
        <v>1246</v>
      </c>
      <c r="F543" s="20" t="s">
        <v>282</v>
      </c>
      <c r="G543" s="27">
        <f>16056.4-1260.8</f>
        <v>14795.6</v>
      </c>
      <c r="H543" s="27">
        <v>3897.848</v>
      </c>
      <c r="I543" s="381">
        <f t="shared" si="49"/>
        <v>26.344643001973562</v>
      </c>
    </row>
    <row r="544" spans="1:10" s="203" customFormat="1" ht="31.7" customHeight="1" x14ac:dyDescent="0.25">
      <c r="A544" s="23" t="s">
        <v>910</v>
      </c>
      <c r="B544" s="19">
        <v>906</v>
      </c>
      <c r="C544" s="24" t="s">
        <v>271</v>
      </c>
      <c r="D544" s="24" t="s">
        <v>125</v>
      </c>
      <c r="E544" s="24" t="s">
        <v>1247</v>
      </c>
      <c r="F544" s="24"/>
      <c r="G544" s="44">
        <f>G548+G551+G554+G545</f>
        <v>96405.6</v>
      </c>
      <c r="H544" s="44">
        <f>H548+H551+H554+H545</f>
        <v>20854.251</v>
      </c>
      <c r="I544" s="437">
        <f t="shared" si="49"/>
        <v>21.631783838283251</v>
      </c>
      <c r="J544" s="115"/>
    </row>
    <row r="545" spans="1:10" s="203" customFormat="1" ht="31.7" customHeight="1" x14ac:dyDescent="0.25">
      <c r="A545" s="31" t="s">
        <v>300</v>
      </c>
      <c r="B545" s="16">
        <v>906</v>
      </c>
      <c r="C545" s="20" t="s">
        <v>271</v>
      </c>
      <c r="D545" s="20" t="s">
        <v>125</v>
      </c>
      <c r="E545" s="20" t="s">
        <v>1407</v>
      </c>
      <c r="F545" s="20"/>
      <c r="G545" s="26">
        <f>G546</f>
        <v>3230</v>
      </c>
      <c r="H545" s="26">
        <f>H546</f>
        <v>828</v>
      </c>
      <c r="I545" s="381">
        <f t="shared" si="49"/>
        <v>25.63467492260062</v>
      </c>
      <c r="J545" s="115"/>
    </row>
    <row r="546" spans="1:10" s="203" customFormat="1" ht="31.7" customHeight="1" x14ac:dyDescent="0.25">
      <c r="A546" s="25" t="s">
        <v>279</v>
      </c>
      <c r="B546" s="16">
        <v>906</v>
      </c>
      <c r="C546" s="20" t="s">
        <v>271</v>
      </c>
      <c r="D546" s="20" t="s">
        <v>125</v>
      </c>
      <c r="E546" s="20" t="s">
        <v>1407</v>
      </c>
      <c r="F546" s="20" t="s">
        <v>280</v>
      </c>
      <c r="G546" s="26">
        <f>G547</f>
        <v>3230</v>
      </c>
      <c r="H546" s="26">
        <f>H547</f>
        <v>828</v>
      </c>
      <c r="I546" s="381">
        <f t="shared" si="49"/>
        <v>25.63467492260062</v>
      </c>
      <c r="J546" s="115"/>
    </row>
    <row r="547" spans="1:10" s="203" customFormat="1" ht="18.399999999999999" customHeight="1" x14ac:dyDescent="0.25">
      <c r="A547" s="25" t="s">
        <v>281</v>
      </c>
      <c r="B547" s="16">
        <v>906</v>
      </c>
      <c r="C547" s="20" t="s">
        <v>271</v>
      </c>
      <c r="D547" s="20" t="s">
        <v>125</v>
      </c>
      <c r="E547" s="20" t="s">
        <v>1407</v>
      </c>
      <c r="F547" s="20" t="s">
        <v>282</v>
      </c>
      <c r="G547" s="27">
        <v>3230</v>
      </c>
      <c r="H547" s="27">
        <v>828</v>
      </c>
      <c r="I547" s="381">
        <f t="shared" si="49"/>
        <v>25.63467492260062</v>
      </c>
      <c r="J547" s="115"/>
    </row>
    <row r="548" spans="1:10" s="203" customFormat="1" ht="61.5" customHeight="1" x14ac:dyDescent="0.25">
      <c r="A548" s="31" t="s">
        <v>296</v>
      </c>
      <c r="B548" s="16">
        <v>906</v>
      </c>
      <c r="C548" s="20" t="s">
        <v>271</v>
      </c>
      <c r="D548" s="20" t="s">
        <v>125</v>
      </c>
      <c r="E548" s="20" t="s">
        <v>1248</v>
      </c>
      <c r="F548" s="20"/>
      <c r="G548" s="26">
        <f>G549</f>
        <v>589</v>
      </c>
      <c r="H548" s="26">
        <f>H549</f>
        <v>150</v>
      </c>
      <c r="I548" s="381">
        <f t="shared" si="49"/>
        <v>25.466893039049239</v>
      </c>
    </row>
    <row r="549" spans="1:10" s="203" customFormat="1" ht="31.5" x14ac:dyDescent="0.25">
      <c r="A549" s="25" t="s">
        <v>279</v>
      </c>
      <c r="B549" s="16">
        <v>906</v>
      </c>
      <c r="C549" s="20" t="s">
        <v>271</v>
      </c>
      <c r="D549" s="20" t="s">
        <v>125</v>
      </c>
      <c r="E549" s="20" t="s">
        <v>1248</v>
      </c>
      <c r="F549" s="20" t="s">
        <v>280</v>
      </c>
      <c r="G549" s="26">
        <f>G550</f>
        <v>589</v>
      </c>
      <c r="H549" s="26">
        <f>H550</f>
        <v>150</v>
      </c>
      <c r="I549" s="381">
        <f t="shared" si="49"/>
        <v>25.466893039049239</v>
      </c>
    </row>
    <row r="550" spans="1:10" s="203" customFormat="1" ht="15.75" x14ac:dyDescent="0.25">
      <c r="A550" s="25" t="s">
        <v>281</v>
      </c>
      <c r="B550" s="16">
        <v>906</v>
      </c>
      <c r="C550" s="20" t="s">
        <v>271</v>
      </c>
      <c r="D550" s="20" t="s">
        <v>125</v>
      </c>
      <c r="E550" s="20" t="s">
        <v>1248</v>
      </c>
      <c r="F550" s="20" t="s">
        <v>282</v>
      </c>
      <c r="G550" s="26">
        <v>589</v>
      </c>
      <c r="H550" s="26">
        <v>150</v>
      </c>
      <c r="I550" s="381">
        <f t="shared" si="49"/>
        <v>25.466893039049239</v>
      </c>
    </row>
    <row r="551" spans="1:10" s="203" customFormat="1" ht="63" x14ac:dyDescent="0.25">
      <c r="A551" s="31" t="s">
        <v>427</v>
      </c>
      <c r="B551" s="16">
        <v>906</v>
      </c>
      <c r="C551" s="20" t="s">
        <v>271</v>
      </c>
      <c r="D551" s="20" t="s">
        <v>125</v>
      </c>
      <c r="E551" s="20" t="s">
        <v>1249</v>
      </c>
      <c r="F551" s="20"/>
      <c r="G551" s="26">
        <f>G552</f>
        <v>1629.3</v>
      </c>
      <c r="H551" s="26">
        <f>H552</f>
        <v>359.28</v>
      </c>
      <c r="I551" s="381">
        <f t="shared" si="49"/>
        <v>22.051187626588103</v>
      </c>
    </row>
    <row r="552" spans="1:10" s="203" customFormat="1" ht="31.5" x14ac:dyDescent="0.25">
      <c r="A552" s="25" t="s">
        <v>279</v>
      </c>
      <c r="B552" s="16">
        <v>906</v>
      </c>
      <c r="C552" s="20" t="s">
        <v>271</v>
      </c>
      <c r="D552" s="20" t="s">
        <v>125</v>
      </c>
      <c r="E552" s="20" t="s">
        <v>1249</v>
      </c>
      <c r="F552" s="20" t="s">
        <v>280</v>
      </c>
      <c r="G552" s="26">
        <f>G553</f>
        <v>1629.3</v>
      </c>
      <c r="H552" s="26">
        <f>H553</f>
        <v>359.28</v>
      </c>
      <c r="I552" s="381">
        <f t="shared" si="49"/>
        <v>22.051187626588103</v>
      </c>
    </row>
    <row r="553" spans="1:10" s="203" customFormat="1" ht="15.75" x14ac:dyDescent="0.25">
      <c r="A553" s="25" t="s">
        <v>281</v>
      </c>
      <c r="B553" s="16">
        <v>906</v>
      </c>
      <c r="C553" s="20" t="s">
        <v>271</v>
      </c>
      <c r="D553" s="20" t="s">
        <v>125</v>
      </c>
      <c r="E553" s="20" t="s">
        <v>1249</v>
      </c>
      <c r="F553" s="20" t="s">
        <v>282</v>
      </c>
      <c r="G553" s="26">
        <f>1629.37-0.07</f>
        <v>1629.3</v>
      </c>
      <c r="H553" s="26">
        <v>359.28</v>
      </c>
      <c r="I553" s="381">
        <f t="shared" si="49"/>
        <v>22.051187626588103</v>
      </c>
    </row>
    <row r="554" spans="1:10" s="203" customFormat="1" ht="78.75" x14ac:dyDescent="0.25">
      <c r="A554" s="31" t="s">
        <v>428</v>
      </c>
      <c r="B554" s="16">
        <v>906</v>
      </c>
      <c r="C554" s="20" t="s">
        <v>271</v>
      </c>
      <c r="D554" s="20" t="s">
        <v>125</v>
      </c>
      <c r="E554" s="20" t="s">
        <v>1250</v>
      </c>
      <c r="F554" s="20"/>
      <c r="G554" s="26">
        <f>G555</f>
        <v>90957.3</v>
      </c>
      <c r="H554" s="26">
        <f>H555</f>
        <v>19516.971000000001</v>
      </c>
      <c r="I554" s="381">
        <f t="shared" si="49"/>
        <v>21.457289299484483</v>
      </c>
    </row>
    <row r="555" spans="1:10" s="203" customFormat="1" ht="31.5" x14ac:dyDescent="0.25">
      <c r="A555" s="25" t="s">
        <v>279</v>
      </c>
      <c r="B555" s="16">
        <v>906</v>
      </c>
      <c r="C555" s="20" t="s">
        <v>271</v>
      </c>
      <c r="D555" s="20" t="s">
        <v>125</v>
      </c>
      <c r="E555" s="20" t="s">
        <v>1250</v>
      </c>
      <c r="F555" s="20" t="s">
        <v>280</v>
      </c>
      <c r="G555" s="26">
        <f>G556</f>
        <v>90957.3</v>
      </c>
      <c r="H555" s="26">
        <f>H556</f>
        <v>19516.971000000001</v>
      </c>
      <c r="I555" s="381">
        <f t="shared" si="49"/>
        <v>21.457289299484483</v>
      </c>
    </row>
    <row r="556" spans="1:10" s="203" customFormat="1" ht="15.75" x14ac:dyDescent="0.25">
      <c r="A556" s="25" t="s">
        <v>281</v>
      </c>
      <c r="B556" s="16">
        <v>906</v>
      </c>
      <c r="C556" s="20" t="s">
        <v>271</v>
      </c>
      <c r="D556" s="20" t="s">
        <v>125</v>
      </c>
      <c r="E556" s="20" t="s">
        <v>1250</v>
      </c>
      <c r="F556" s="20" t="s">
        <v>282</v>
      </c>
      <c r="G556" s="27">
        <v>90957.3</v>
      </c>
      <c r="H556" s="27">
        <v>19516.971000000001</v>
      </c>
      <c r="I556" s="381">
        <f t="shared" si="49"/>
        <v>21.457289299484483</v>
      </c>
    </row>
    <row r="557" spans="1:10" s="203" customFormat="1" ht="30.2" customHeight="1" x14ac:dyDescent="0.25">
      <c r="A557" s="23" t="s">
        <v>1267</v>
      </c>
      <c r="B557" s="19">
        <v>906</v>
      </c>
      <c r="C557" s="24" t="s">
        <v>271</v>
      </c>
      <c r="D557" s="24" t="s">
        <v>125</v>
      </c>
      <c r="E557" s="24" t="s">
        <v>1252</v>
      </c>
      <c r="F557" s="24"/>
      <c r="G557" s="21">
        <f>G558+G561+G564</f>
        <v>4000</v>
      </c>
      <c r="H557" s="21">
        <f>H558+H561+H564</f>
        <v>2225.4209999999998</v>
      </c>
      <c r="I557" s="437">
        <f t="shared" si="49"/>
        <v>55.635524999999994</v>
      </c>
    </row>
    <row r="558" spans="1:10" ht="35.450000000000003" hidden="1" customHeight="1" x14ac:dyDescent="0.25">
      <c r="A558" s="25" t="s">
        <v>285</v>
      </c>
      <c r="B558" s="16">
        <v>906</v>
      </c>
      <c r="C558" s="20" t="s">
        <v>271</v>
      </c>
      <c r="D558" s="20" t="s">
        <v>125</v>
      </c>
      <c r="E558" s="20" t="s">
        <v>1333</v>
      </c>
      <c r="F558" s="20"/>
      <c r="G558" s="26">
        <f>G559</f>
        <v>0</v>
      </c>
      <c r="H558" s="26">
        <f>H559</f>
        <v>0</v>
      </c>
      <c r="I558" s="381" t="e">
        <f t="shared" si="49"/>
        <v>#DIV/0!</v>
      </c>
    </row>
    <row r="559" spans="1:10" ht="35.450000000000003" hidden="1" customHeight="1" x14ac:dyDescent="0.25">
      <c r="A559" s="25" t="s">
        <v>279</v>
      </c>
      <c r="B559" s="16">
        <v>906</v>
      </c>
      <c r="C559" s="20" t="s">
        <v>271</v>
      </c>
      <c r="D559" s="20" t="s">
        <v>125</v>
      </c>
      <c r="E559" s="20" t="s">
        <v>1333</v>
      </c>
      <c r="F559" s="20" t="s">
        <v>280</v>
      </c>
      <c r="G559" s="26">
        <f>G560</f>
        <v>0</v>
      </c>
      <c r="H559" s="26">
        <f>H560</f>
        <v>0</v>
      </c>
      <c r="I559" s="381" t="e">
        <f t="shared" si="49"/>
        <v>#DIV/0!</v>
      </c>
    </row>
    <row r="560" spans="1:10" ht="15.75" hidden="1" customHeight="1" x14ac:dyDescent="0.25">
      <c r="A560" s="25" t="s">
        <v>281</v>
      </c>
      <c r="B560" s="16">
        <v>906</v>
      </c>
      <c r="C560" s="20" t="s">
        <v>271</v>
      </c>
      <c r="D560" s="20" t="s">
        <v>125</v>
      </c>
      <c r="E560" s="20" t="s">
        <v>1333</v>
      </c>
      <c r="F560" s="20" t="s">
        <v>282</v>
      </c>
      <c r="G560" s="26">
        <v>0</v>
      </c>
      <c r="H560" s="26">
        <v>0</v>
      </c>
      <c r="I560" s="381" t="e">
        <f t="shared" si="49"/>
        <v>#DIV/0!</v>
      </c>
    </row>
    <row r="561" spans="1:9" ht="21.2" hidden="1" customHeight="1" x14ac:dyDescent="0.25">
      <c r="A561" s="25" t="s">
        <v>287</v>
      </c>
      <c r="B561" s="16">
        <v>906</v>
      </c>
      <c r="C561" s="20" t="s">
        <v>271</v>
      </c>
      <c r="D561" s="20" t="s">
        <v>125</v>
      </c>
      <c r="E561" s="20" t="s">
        <v>1334</v>
      </c>
      <c r="F561" s="20"/>
      <c r="G561" s="26">
        <f>G562</f>
        <v>0</v>
      </c>
      <c r="H561" s="26">
        <f>H562</f>
        <v>0</v>
      </c>
      <c r="I561" s="381" t="e">
        <f t="shared" si="49"/>
        <v>#DIV/0!</v>
      </c>
    </row>
    <row r="562" spans="1:9" ht="31.5" hidden="1" x14ac:dyDescent="0.25">
      <c r="A562" s="25" t="s">
        <v>279</v>
      </c>
      <c r="B562" s="16">
        <v>906</v>
      </c>
      <c r="C562" s="20" t="s">
        <v>271</v>
      </c>
      <c r="D562" s="20" t="s">
        <v>125</v>
      </c>
      <c r="E562" s="20" t="s">
        <v>1334</v>
      </c>
      <c r="F562" s="20" t="s">
        <v>280</v>
      </c>
      <c r="G562" s="26">
        <f>G563</f>
        <v>0</v>
      </c>
      <c r="H562" s="26">
        <f>H563</f>
        <v>0</v>
      </c>
      <c r="I562" s="381" t="e">
        <f t="shared" si="49"/>
        <v>#DIV/0!</v>
      </c>
    </row>
    <row r="563" spans="1:9" ht="15.75" hidden="1" x14ac:dyDescent="0.25">
      <c r="A563" s="25" t="s">
        <v>281</v>
      </c>
      <c r="B563" s="16">
        <v>906</v>
      </c>
      <c r="C563" s="20" t="s">
        <v>271</v>
      </c>
      <c r="D563" s="20" t="s">
        <v>125</v>
      </c>
      <c r="E563" s="20" t="s">
        <v>1334</v>
      </c>
      <c r="F563" s="20" t="s">
        <v>282</v>
      </c>
      <c r="G563" s="26">
        <v>0</v>
      </c>
      <c r="H563" s="26">
        <v>0</v>
      </c>
      <c r="I563" s="381" t="e">
        <f t="shared" si="49"/>
        <v>#DIV/0!</v>
      </c>
    </row>
    <row r="564" spans="1:9" ht="31.5" x14ac:dyDescent="0.25">
      <c r="A564" s="29" t="s">
        <v>422</v>
      </c>
      <c r="B564" s="16">
        <v>906</v>
      </c>
      <c r="C564" s="20" t="s">
        <v>271</v>
      </c>
      <c r="D564" s="20" t="s">
        <v>125</v>
      </c>
      <c r="E564" s="20" t="s">
        <v>1253</v>
      </c>
      <c r="F564" s="20"/>
      <c r="G564" s="26">
        <f>G565</f>
        <v>4000</v>
      </c>
      <c r="H564" s="26">
        <f>H565</f>
        <v>2225.4209999999998</v>
      </c>
      <c r="I564" s="381">
        <f t="shared" si="49"/>
        <v>55.635524999999994</v>
      </c>
    </row>
    <row r="565" spans="1:9" ht="31.5" x14ac:dyDescent="0.25">
      <c r="A565" s="25" t="s">
        <v>279</v>
      </c>
      <c r="B565" s="16">
        <v>906</v>
      </c>
      <c r="C565" s="20" t="s">
        <v>271</v>
      </c>
      <c r="D565" s="20" t="s">
        <v>125</v>
      </c>
      <c r="E565" s="20" t="s">
        <v>1253</v>
      </c>
      <c r="F565" s="20" t="s">
        <v>280</v>
      </c>
      <c r="G565" s="26">
        <f>G566</f>
        <v>4000</v>
      </c>
      <c r="H565" s="26">
        <f>H566</f>
        <v>2225.4209999999998</v>
      </c>
      <c r="I565" s="381">
        <f t="shared" si="49"/>
        <v>55.635524999999994</v>
      </c>
    </row>
    <row r="566" spans="1:9" ht="15.75" x14ac:dyDescent="0.25">
      <c r="A566" s="25" t="s">
        <v>281</v>
      </c>
      <c r="B566" s="16">
        <v>906</v>
      </c>
      <c r="C566" s="20" t="s">
        <v>271</v>
      </c>
      <c r="D566" s="20" t="s">
        <v>125</v>
      </c>
      <c r="E566" s="20" t="s">
        <v>1253</v>
      </c>
      <c r="F566" s="20" t="s">
        <v>282</v>
      </c>
      <c r="G566" s="395">
        <f>4430-430</f>
        <v>4000</v>
      </c>
      <c r="H566" s="395">
        <v>2225.4209999999998</v>
      </c>
      <c r="I566" s="381">
        <f t="shared" si="49"/>
        <v>55.635524999999994</v>
      </c>
    </row>
    <row r="567" spans="1:9" s="203" customFormat="1" ht="31.5" x14ac:dyDescent="0.25">
      <c r="A567" s="214" t="s">
        <v>958</v>
      </c>
      <c r="B567" s="19">
        <v>906</v>
      </c>
      <c r="C567" s="24" t="s">
        <v>271</v>
      </c>
      <c r="D567" s="24" t="s">
        <v>125</v>
      </c>
      <c r="E567" s="24" t="s">
        <v>1255</v>
      </c>
      <c r="F567" s="24"/>
      <c r="G567" s="44">
        <f>G568+G571+G574</f>
        <v>4348</v>
      </c>
      <c r="H567" s="44">
        <f>H568+H571+H574</f>
        <v>3447</v>
      </c>
      <c r="I567" s="437">
        <f t="shared" si="49"/>
        <v>79.277828886844532</v>
      </c>
    </row>
    <row r="568" spans="1:9" ht="31.7" hidden="1" customHeight="1" x14ac:dyDescent="0.25">
      <c r="A568" s="25" t="s">
        <v>291</v>
      </c>
      <c r="B568" s="16">
        <v>906</v>
      </c>
      <c r="C568" s="20" t="s">
        <v>271</v>
      </c>
      <c r="D568" s="20" t="s">
        <v>125</v>
      </c>
      <c r="E568" s="20" t="s">
        <v>1273</v>
      </c>
      <c r="F568" s="20"/>
      <c r="G568" s="26">
        <f>G569</f>
        <v>0</v>
      </c>
      <c r="H568" s="26">
        <f>H569</f>
        <v>0</v>
      </c>
      <c r="I568" s="381" t="e">
        <f t="shared" si="49"/>
        <v>#DIV/0!</v>
      </c>
    </row>
    <row r="569" spans="1:9" ht="38.25" hidden="1" customHeight="1" x14ac:dyDescent="0.25">
      <c r="A569" s="25" t="s">
        <v>279</v>
      </c>
      <c r="B569" s="16">
        <v>906</v>
      </c>
      <c r="C569" s="20" t="s">
        <v>271</v>
      </c>
      <c r="D569" s="20" t="s">
        <v>125</v>
      </c>
      <c r="E569" s="20" t="s">
        <v>1273</v>
      </c>
      <c r="F569" s="20" t="s">
        <v>280</v>
      </c>
      <c r="G569" s="26">
        <f>G570</f>
        <v>0</v>
      </c>
      <c r="H569" s="26">
        <f>H570</f>
        <v>0</v>
      </c>
      <c r="I569" s="381" t="e">
        <f t="shared" si="49"/>
        <v>#DIV/0!</v>
      </c>
    </row>
    <row r="570" spans="1:9" ht="15.75" hidden="1" customHeight="1" x14ac:dyDescent="0.25">
      <c r="A570" s="25" t="s">
        <v>281</v>
      </c>
      <c r="B570" s="16">
        <v>906</v>
      </c>
      <c r="C570" s="20" t="s">
        <v>271</v>
      </c>
      <c r="D570" s="20" t="s">
        <v>125</v>
      </c>
      <c r="E570" s="20" t="s">
        <v>1273</v>
      </c>
      <c r="F570" s="20" t="s">
        <v>282</v>
      </c>
      <c r="G570" s="26">
        <v>0</v>
      </c>
      <c r="H570" s="26">
        <v>0</v>
      </c>
      <c r="I570" s="381" t="e">
        <f t="shared" si="49"/>
        <v>#DIV/0!</v>
      </c>
    </row>
    <row r="571" spans="1:9" ht="34.5" customHeight="1" x14ac:dyDescent="0.25">
      <c r="A571" s="60" t="s">
        <v>774</v>
      </c>
      <c r="B571" s="16">
        <v>906</v>
      </c>
      <c r="C571" s="20" t="s">
        <v>271</v>
      </c>
      <c r="D571" s="20" t="s">
        <v>125</v>
      </c>
      <c r="E571" s="20" t="s">
        <v>1256</v>
      </c>
      <c r="F571" s="20"/>
      <c r="G571" s="26">
        <f>G572</f>
        <v>3088</v>
      </c>
      <c r="H571" s="26">
        <f>H572</f>
        <v>3088</v>
      </c>
      <c r="I571" s="381">
        <f t="shared" si="49"/>
        <v>100</v>
      </c>
    </row>
    <row r="572" spans="1:9" ht="32.25" customHeight="1" x14ac:dyDescent="0.25">
      <c r="A572" s="29" t="s">
        <v>279</v>
      </c>
      <c r="B572" s="16">
        <v>906</v>
      </c>
      <c r="C572" s="20" t="s">
        <v>271</v>
      </c>
      <c r="D572" s="20" t="s">
        <v>125</v>
      </c>
      <c r="E572" s="20" t="s">
        <v>1256</v>
      </c>
      <c r="F572" s="20" t="s">
        <v>280</v>
      </c>
      <c r="G572" s="26">
        <f>G573</f>
        <v>3088</v>
      </c>
      <c r="H572" s="26">
        <f>H573</f>
        <v>3088</v>
      </c>
      <c r="I572" s="381">
        <f t="shared" si="49"/>
        <v>100</v>
      </c>
    </row>
    <row r="573" spans="1:9" ht="15.75" customHeight="1" x14ac:dyDescent="0.25">
      <c r="A573" s="184" t="s">
        <v>281</v>
      </c>
      <c r="B573" s="16">
        <v>906</v>
      </c>
      <c r="C573" s="20" t="s">
        <v>271</v>
      </c>
      <c r="D573" s="20" t="s">
        <v>125</v>
      </c>
      <c r="E573" s="20" t="s">
        <v>1256</v>
      </c>
      <c r="F573" s="20" t="s">
        <v>282</v>
      </c>
      <c r="G573" s="26">
        <v>3088</v>
      </c>
      <c r="H573" s="26">
        <v>3088</v>
      </c>
      <c r="I573" s="381">
        <f t="shared" si="49"/>
        <v>100</v>
      </c>
    </row>
    <row r="574" spans="1:9" ht="50.25" customHeight="1" x14ac:dyDescent="0.25">
      <c r="A574" s="60" t="s">
        <v>775</v>
      </c>
      <c r="B574" s="16">
        <v>906</v>
      </c>
      <c r="C574" s="20" t="s">
        <v>271</v>
      </c>
      <c r="D574" s="20" t="s">
        <v>125</v>
      </c>
      <c r="E574" s="20" t="s">
        <v>1257</v>
      </c>
      <c r="F574" s="20"/>
      <c r="G574" s="26">
        <f>G575</f>
        <v>1260</v>
      </c>
      <c r="H574" s="26">
        <f>H575</f>
        <v>359</v>
      </c>
      <c r="I574" s="381">
        <f t="shared" si="49"/>
        <v>28.49206349206349</v>
      </c>
    </row>
    <row r="575" spans="1:9" ht="31.5" x14ac:dyDescent="0.25">
      <c r="A575" s="29" t="s">
        <v>279</v>
      </c>
      <c r="B575" s="16">
        <v>906</v>
      </c>
      <c r="C575" s="20" t="s">
        <v>271</v>
      </c>
      <c r="D575" s="20" t="s">
        <v>125</v>
      </c>
      <c r="E575" s="20" t="s">
        <v>1257</v>
      </c>
      <c r="F575" s="20" t="s">
        <v>280</v>
      </c>
      <c r="G575" s="26">
        <f>G576</f>
        <v>1260</v>
      </c>
      <c r="H575" s="26">
        <f>H576</f>
        <v>359</v>
      </c>
      <c r="I575" s="381">
        <f t="shared" si="49"/>
        <v>28.49206349206349</v>
      </c>
    </row>
    <row r="576" spans="1:9" ht="15.75" x14ac:dyDescent="0.25">
      <c r="A576" s="184" t="s">
        <v>281</v>
      </c>
      <c r="B576" s="16">
        <v>906</v>
      </c>
      <c r="C576" s="20" t="s">
        <v>271</v>
      </c>
      <c r="D576" s="20" t="s">
        <v>125</v>
      </c>
      <c r="E576" s="20" t="s">
        <v>1257</v>
      </c>
      <c r="F576" s="20" t="s">
        <v>282</v>
      </c>
      <c r="G576" s="26">
        <f>1760-500</f>
        <v>1260</v>
      </c>
      <c r="H576" s="26">
        <v>359</v>
      </c>
      <c r="I576" s="381">
        <f t="shared" si="49"/>
        <v>28.49206349206349</v>
      </c>
    </row>
    <row r="577" spans="1:9" s="203" customFormat="1" ht="63" x14ac:dyDescent="0.25">
      <c r="A577" s="23" t="s">
        <v>943</v>
      </c>
      <c r="B577" s="19">
        <v>906</v>
      </c>
      <c r="C577" s="24" t="s">
        <v>271</v>
      </c>
      <c r="D577" s="24" t="s">
        <v>125</v>
      </c>
      <c r="E577" s="24" t="s">
        <v>1258</v>
      </c>
      <c r="F577" s="24"/>
      <c r="G577" s="21">
        <f t="shared" ref="G577:H579" si="52">G578</f>
        <v>291.10000000000002</v>
      </c>
      <c r="H577" s="21">
        <f t="shared" si="52"/>
        <v>0</v>
      </c>
      <c r="I577" s="437">
        <f t="shared" si="49"/>
        <v>0</v>
      </c>
    </row>
    <row r="578" spans="1:9" ht="96.4" customHeight="1" x14ac:dyDescent="0.25">
      <c r="A578" s="25" t="s">
        <v>1555</v>
      </c>
      <c r="B578" s="16">
        <v>906</v>
      </c>
      <c r="C578" s="20" t="s">
        <v>271</v>
      </c>
      <c r="D578" s="20" t="s">
        <v>125</v>
      </c>
      <c r="E578" s="20" t="s">
        <v>1259</v>
      </c>
      <c r="F578" s="20"/>
      <c r="G578" s="26">
        <f t="shared" si="52"/>
        <v>291.10000000000002</v>
      </c>
      <c r="H578" s="26">
        <f t="shared" si="52"/>
        <v>0</v>
      </c>
      <c r="I578" s="381">
        <f t="shared" si="49"/>
        <v>0</v>
      </c>
    </row>
    <row r="579" spans="1:9" ht="31.5" x14ac:dyDescent="0.25">
      <c r="A579" s="29" t="s">
        <v>279</v>
      </c>
      <c r="B579" s="16">
        <v>906</v>
      </c>
      <c r="C579" s="20" t="s">
        <v>271</v>
      </c>
      <c r="D579" s="20" t="s">
        <v>125</v>
      </c>
      <c r="E579" s="20" t="s">
        <v>1259</v>
      </c>
      <c r="F579" s="20" t="s">
        <v>280</v>
      </c>
      <c r="G579" s="26">
        <f t="shared" si="52"/>
        <v>291.10000000000002</v>
      </c>
      <c r="H579" s="26">
        <f t="shared" si="52"/>
        <v>0</v>
      </c>
      <c r="I579" s="381">
        <f t="shared" si="49"/>
        <v>0</v>
      </c>
    </row>
    <row r="580" spans="1:9" ht="18.75" customHeight="1" x14ac:dyDescent="0.25">
      <c r="A580" s="184" t="s">
        <v>281</v>
      </c>
      <c r="B580" s="16">
        <v>906</v>
      </c>
      <c r="C580" s="20" t="s">
        <v>271</v>
      </c>
      <c r="D580" s="20" t="s">
        <v>125</v>
      </c>
      <c r="E580" s="20" t="s">
        <v>1259</v>
      </c>
      <c r="F580" s="20" t="s">
        <v>282</v>
      </c>
      <c r="G580" s="26">
        <f>124.4+166.7</f>
        <v>291.10000000000002</v>
      </c>
      <c r="H580" s="26">
        <v>0</v>
      </c>
      <c r="I580" s="381">
        <f t="shared" si="49"/>
        <v>0</v>
      </c>
    </row>
    <row r="581" spans="1:9" s="203" customFormat="1" ht="84.2" customHeight="1" x14ac:dyDescent="0.25">
      <c r="A581" s="23" t="s">
        <v>1180</v>
      </c>
      <c r="B581" s="19">
        <v>906</v>
      </c>
      <c r="C581" s="24" t="s">
        <v>271</v>
      </c>
      <c r="D581" s="24" t="s">
        <v>125</v>
      </c>
      <c r="E581" s="24" t="s">
        <v>1261</v>
      </c>
      <c r="F581" s="24"/>
      <c r="G581" s="21">
        <f>G582+G585</f>
        <v>1666.6</v>
      </c>
      <c r="H581" s="21">
        <f>H582+H585</f>
        <v>0</v>
      </c>
      <c r="I581" s="437">
        <f t="shared" si="49"/>
        <v>0</v>
      </c>
    </row>
    <row r="582" spans="1:9" s="203" customFormat="1" ht="79.5" customHeight="1" x14ac:dyDescent="0.25">
      <c r="A582" s="150" t="s">
        <v>1556</v>
      </c>
      <c r="B582" s="16">
        <v>906</v>
      </c>
      <c r="C582" s="20" t="s">
        <v>271</v>
      </c>
      <c r="D582" s="20" t="s">
        <v>125</v>
      </c>
      <c r="E582" s="20" t="s">
        <v>1262</v>
      </c>
      <c r="F582" s="20"/>
      <c r="G582" s="26">
        <f>G583</f>
        <v>1666.6</v>
      </c>
      <c r="H582" s="26">
        <f>H583</f>
        <v>0</v>
      </c>
      <c r="I582" s="381">
        <f t="shared" si="49"/>
        <v>0</v>
      </c>
    </row>
    <row r="583" spans="1:9" s="203" customFormat="1" ht="33.75" customHeight="1" x14ac:dyDescent="0.25">
      <c r="A583" s="25" t="s">
        <v>279</v>
      </c>
      <c r="B583" s="16">
        <v>906</v>
      </c>
      <c r="C583" s="20" t="s">
        <v>271</v>
      </c>
      <c r="D583" s="20" t="s">
        <v>125</v>
      </c>
      <c r="E583" s="20" t="s">
        <v>1262</v>
      </c>
      <c r="F583" s="20" t="s">
        <v>280</v>
      </c>
      <c r="G583" s="26">
        <f>G584</f>
        <v>1666.6</v>
      </c>
      <c r="H583" s="26">
        <f>H584</f>
        <v>0</v>
      </c>
      <c r="I583" s="381">
        <f t="shared" si="49"/>
        <v>0</v>
      </c>
    </row>
    <row r="584" spans="1:9" s="203" customFormat="1" ht="18.75" customHeight="1" x14ac:dyDescent="0.25">
      <c r="A584" s="25" t="s">
        <v>281</v>
      </c>
      <c r="B584" s="16">
        <v>906</v>
      </c>
      <c r="C584" s="20" t="s">
        <v>271</v>
      </c>
      <c r="D584" s="20" t="s">
        <v>125</v>
      </c>
      <c r="E584" s="20" t="s">
        <v>1262</v>
      </c>
      <c r="F584" s="20" t="s">
        <v>282</v>
      </c>
      <c r="G584" s="26">
        <v>1666.6</v>
      </c>
      <c r="H584" s="26">
        <v>0</v>
      </c>
      <c r="I584" s="381">
        <f t="shared" si="49"/>
        <v>0</v>
      </c>
    </row>
    <row r="585" spans="1:9" s="203" customFormat="1" ht="82.5" hidden="1" customHeight="1" x14ac:dyDescent="0.25">
      <c r="A585" s="150" t="s">
        <v>1195</v>
      </c>
      <c r="B585" s="16">
        <v>906</v>
      </c>
      <c r="C585" s="20" t="s">
        <v>271</v>
      </c>
      <c r="D585" s="20" t="s">
        <v>125</v>
      </c>
      <c r="E585" s="20" t="s">
        <v>1263</v>
      </c>
      <c r="F585" s="20"/>
      <c r="G585" s="26">
        <f>G586</f>
        <v>0</v>
      </c>
      <c r="H585" s="26">
        <f>H586</f>
        <v>0</v>
      </c>
      <c r="I585" s="381" t="e">
        <f t="shared" si="49"/>
        <v>#DIV/0!</v>
      </c>
    </row>
    <row r="586" spans="1:9" s="203" customFormat="1" ht="36.75" hidden="1" customHeight="1" x14ac:dyDescent="0.25">
      <c r="A586" s="25" t="s">
        <v>279</v>
      </c>
      <c r="B586" s="16">
        <v>906</v>
      </c>
      <c r="C586" s="20" t="s">
        <v>271</v>
      </c>
      <c r="D586" s="20" t="s">
        <v>125</v>
      </c>
      <c r="E586" s="20" t="s">
        <v>1263</v>
      </c>
      <c r="F586" s="20" t="s">
        <v>280</v>
      </c>
      <c r="G586" s="26">
        <f>G587</f>
        <v>0</v>
      </c>
      <c r="H586" s="26">
        <f>H587</f>
        <v>0</v>
      </c>
      <c r="I586" s="381" t="e">
        <f t="shared" si="49"/>
        <v>#DIV/0!</v>
      </c>
    </row>
    <row r="587" spans="1:9" s="203" customFormat="1" ht="18.75" hidden="1" customHeight="1" x14ac:dyDescent="0.25">
      <c r="A587" s="25" t="s">
        <v>281</v>
      </c>
      <c r="B587" s="16">
        <v>906</v>
      </c>
      <c r="C587" s="20" t="s">
        <v>271</v>
      </c>
      <c r="D587" s="20" t="s">
        <v>125</v>
      </c>
      <c r="E587" s="20" t="s">
        <v>1263</v>
      </c>
      <c r="F587" s="20" t="s">
        <v>282</v>
      </c>
      <c r="G587" s="26"/>
      <c r="H587" s="26"/>
      <c r="I587" s="381" t="e">
        <f t="shared" ref="I587:I650" si="53">H587/G587*100</f>
        <v>#DIV/0!</v>
      </c>
    </row>
    <row r="588" spans="1:9" ht="46.9" customHeight="1" x14ac:dyDescent="0.25">
      <c r="A588" s="34" t="s">
        <v>1374</v>
      </c>
      <c r="B588" s="19">
        <v>906</v>
      </c>
      <c r="C588" s="24" t="s">
        <v>271</v>
      </c>
      <c r="D588" s="24" t="s">
        <v>125</v>
      </c>
      <c r="E588" s="24" t="s">
        <v>331</v>
      </c>
      <c r="F588" s="24"/>
      <c r="G588" s="21">
        <f t="shared" ref="G588:H591" si="54">G589</f>
        <v>95</v>
      </c>
      <c r="H588" s="21">
        <f t="shared" si="54"/>
        <v>0</v>
      </c>
      <c r="I588" s="437">
        <f t="shared" si="53"/>
        <v>0</v>
      </c>
    </row>
    <row r="589" spans="1:9" s="203" customFormat="1" ht="49.7" customHeight="1" x14ac:dyDescent="0.25">
      <c r="A589" s="34" t="s">
        <v>1019</v>
      </c>
      <c r="B589" s="19">
        <v>906</v>
      </c>
      <c r="C589" s="24" t="s">
        <v>271</v>
      </c>
      <c r="D589" s="24" t="s">
        <v>125</v>
      </c>
      <c r="E589" s="24" t="s">
        <v>944</v>
      </c>
      <c r="F589" s="24"/>
      <c r="G589" s="21">
        <f t="shared" si="54"/>
        <v>95</v>
      </c>
      <c r="H589" s="21">
        <f t="shared" si="54"/>
        <v>0</v>
      </c>
      <c r="I589" s="437">
        <f t="shared" si="53"/>
        <v>0</v>
      </c>
    </row>
    <row r="590" spans="1:9" ht="48.95" customHeight="1" x14ac:dyDescent="0.25">
      <c r="A590" s="31" t="s">
        <v>1092</v>
      </c>
      <c r="B590" s="16">
        <v>906</v>
      </c>
      <c r="C590" s="20" t="s">
        <v>271</v>
      </c>
      <c r="D590" s="20" t="s">
        <v>125</v>
      </c>
      <c r="E590" s="20" t="s">
        <v>945</v>
      </c>
      <c r="F590" s="20"/>
      <c r="G590" s="26">
        <f t="shared" si="54"/>
        <v>95</v>
      </c>
      <c r="H590" s="26">
        <f t="shared" si="54"/>
        <v>0</v>
      </c>
      <c r="I590" s="381">
        <f t="shared" si="53"/>
        <v>0</v>
      </c>
    </row>
    <row r="591" spans="1:9" ht="42" customHeight="1" x14ac:dyDescent="0.25">
      <c r="A591" s="31" t="s">
        <v>279</v>
      </c>
      <c r="B591" s="16">
        <v>906</v>
      </c>
      <c r="C591" s="20" t="s">
        <v>271</v>
      </c>
      <c r="D591" s="20" t="s">
        <v>125</v>
      </c>
      <c r="E591" s="20" t="s">
        <v>945</v>
      </c>
      <c r="F591" s="20" t="s">
        <v>280</v>
      </c>
      <c r="G591" s="26">
        <f t="shared" si="54"/>
        <v>95</v>
      </c>
      <c r="H591" s="26">
        <f>H592</f>
        <v>0</v>
      </c>
      <c r="I591" s="381">
        <f t="shared" si="53"/>
        <v>0</v>
      </c>
    </row>
    <row r="592" spans="1:9" ht="16.5" customHeight="1" x14ac:dyDescent="0.25">
      <c r="A592" s="31" t="s">
        <v>281</v>
      </c>
      <c r="B592" s="16">
        <v>906</v>
      </c>
      <c r="C592" s="20" t="s">
        <v>271</v>
      </c>
      <c r="D592" s="20" t="s">
        <v>125</v>
      </c>
      <c r="E592" s="20" t="s">
        <v>945</v>
      </c>
      <c r="F592" s="20" t="s">
        <v>282</v>
      </c>
      <c r="G592" s="26">
        <v>95</v>
      </c>
      <c r="H592" s="26">
        <v>0</v>
      </c>
      <c r="I592" s="381">
        <f t="shared" si="53"/>
        <v>0</v>
      </c>
    </row>
    <row r="593" spans="1:10" ht="46.5" customHeight="1" x14ac:dyDescent="0.25">
      <c r="A593" s="41" t="s">
        <v>1358</v>
      </c>
      <c r="B593" s="19">
        <v>906</v>
      </c>
      <c r="C593" s="24" t="s">
        <v>271</v>
      </c>
      <c r="D593" s="24" t="s">
        <v>125</v>
      </c>
      <c r="E593" s="24" t="s">
        <v>715</v>
      </c>
      <c r="F593" s="217"/>
      <c r="G593" s="21">
        <f>G595</f>
        <v>549</v>
      </c>
      <c r="H593" s="21">
        <f>H595</f>
        <v>89.992999999999995</v>
      </c>
      <c r="I593" s="381">
        <f t="shared" si="53"/>
        <v>16.392167577413478</v>
      </c>
    </row>
    <row r="594" spans="1:10" s="203" customFormat="1" ht="46.5" customHeight="1" x14ac:dyDescent="0.25">
      <c r="A594" s="41" t="s">
        <v>900</v>
      </c>
      <c r="B594" s="19">
        <v>906</v>
      </c>
      <c r="C594" s="24" t="s">
        <v>271</v>
      </c>
      <c r="D594" s="24" t="s">
        <v>125</v>
      </c>
      <c r="E594" s="24" t="s">
        <v>898</v>
      </c>
      <c r="F594" s="217"/>
      <c r="G594" s="21">
        <f t="shared" ref="G594:H596" si="55">G595</f>
        <v>549</v>
      </c>
      <c r="H594" s="21">
        <f t="shared" si="55"/>
        <v>89.992999999999995</v>
      </c>
      <c r="I594" s="381">
        <f t="shared" si="53"/>
        <v>16.392167577413478</v>
      </c>
    </row>
    <row r="595" spans="1:10" ht="36" customHeight="1" x14ac:dyDescent="0.25">
      <c r="A595" s="98" t="s">
        <v>790</v>
      </c>
      <c r="B595" s="16">
        <v>906</v>
      </c>
      <c r="C595" s="20" t="s">
        <v>271</v>
      </c>
      <c r="D595" s="20" t="s">
        <v>125</v>
      </c>
      <c r="E595" s="20" t="s">
        <v>946</v>
      </c>
      <c r="F595" s="32"/>
      <c r="G595" s="26">
        <f t="shared" si="55"/>
        <v>549</v>
      </c>
      <c r="H595" s="26">
        <f t="shared" si="55"/>
        <v>89.992999999999995</v>
      </c>
      <c r="I595" s="381">
        <f t="shared" si="53"/>
        <v>16.392167577413478</v>
      </c>
    </row>
    <row r="596" spans="1:10" ht="35.450000000000003" customHeight="1" x14ac:dyDescent="0.25">
      <c r="A596" s="29" t="s">
        <v>279</v>
      </c>
      <c r="B596" s="16">
        <v>906</v>
      </c>
      <c r="C596" s="20" t="s">
        <v>271</v>
      </c>
      <c r="D596" s="20" t="s">
        <v>125</v>
      </c>
      <c r="E596" s="20" t="s">
        <v>946</v>
      </c>
      <c r="F596" s="32" t="s">
        <v>280</v>
      </c>
      <c r="G596" s="26">
        <f t="shared" si="55"/>
        <v>549</v>
      </c>
      <c r="H596" s="26">
        <f t="shared" si="55"/>
        <v>89.992999999999995</v>
      </c>
      <c r="I596" s="381">
        <f t="shared" si="53"/>
        <v>16.392167577413478</v>
      </c>
    </row>
    <row r="597" spans="1:10" ht="15.75" customHeight="1" x14ac:dyDescent="0.25">
      <c r="A597" s="184" t="s">
        <v>281</v>
      </c>
      <c r="B597" s="16">
        <v>906</v>
      </c>
      <c r="C597" s="20" t="s">
        <v>271</v>
      </c>
      <c r="D597" s="20" t="s">
        <v>125</v>
      </c>
      <c r="E597" s="20" t="s">
        <v>946</v>
      </c>
      <c r="F597" s="32" t="s">
        <v>282</v>
      </c>
      <c r="G597" s="26">
        <v>549</v>
      </c>
      <c r="H597" s="26">
        <v>89.992999999999995</v>
      </c>
      <c r="I597" s="381">
        <f t="shared" si="53"/>
        <v>16.392167577413478</v>
      </c>
    </row>
    <row r="598" spans="1:10" ht="15.75" x14ac:dyDescent="0.25">
      <c r="A598" s="23" t="s">
        <v>432</v>
      </c>
      <c r="B598" s="19">
        <v>906</v>
      </c>
      <c r="C598" s="24" t="s">
        <v>271</v>
      </c>
      <c r="D598" s="24" t="s">
        <v>220</v>
      </c>
      <c r="E598" s="24"/>
      <c r="F598" s="24"/>
      <c r="G598" s="21">
        <f>G599+G671+G676</f>
        <v>197509.1</v>
      </c>
      <c r="H598" s="21">
        <f>H599+H671+H676</f>
        <v>44278.339</v>
      </c>
      <c r="I598" s="437">
        <f t="shared" si="53"/>
        <v>22.418379203793648</v>
      </c>
    </row>
    <row r="599" spans="1:10" ht="36.75" customHeight="1" x14ac:dyDescent="0.25">
      <c r="A599" s="23" t="s">
        <v>1375</v>
      </c>
      <c r="B599" s="19">
        <v>906</v>
      </c>
      <c r="C599" s="24" t="s">
        <v>271</v>
      </c>
      <c r="D599" s="24" t="s">
        <v>220</v>
      </c>
      <c r="E599" s="24" t="s">
        <v>413</v>
      </c>
      <c r="F599" s="24"/>
      <c r="G599" s="21">
        <f>G600+G604+G623+G636+G643+G647+G651+G663+G655+G659+G667</f>
        <v>196672.1</v>
      </c>
      <c r="H599" s="21">
        <f>H600+H604+H623+H636+H643+H647+H651+H663+H655+H659+H667</f>
        <v>44114.853999999999</v>
      </c>
      <c r="I599" s="437">
        <f t="shared" si="53"/>
        <v>22.430662000354904</v>
      </c>
      <c r="J599" s="225"/>
    </row>
    <row r="600" spans="1:10" s="203" customFormat="1" ht="37.5" customHeight="1" x14ac:dyDescent="0.25">
      <c r="A600" s="23" t="s">
        <v>947</v>
      </c>
      <c r="B600" s="19">
        <v>906</v>
      </c>
      <c r="C600" s="24" t="s">
        <v>271</v>
      </c>
      <c r="D600" s="24" t="s">
        <v>220</v>
      </c>
      <c r="E600" s="24" t="s">
        <v>1245</v>
      </c>
      <c r="F600" s="24"/>
      <c r="G600" s="21">
        <f t="shared" ref="G600:H602" si="56">G601</f>
        <v>28690.799999999999</v>
      </c>
      <c r="H600" s="21">
        <f t="shared" si="56"/>
        <v>6887.625</v>
      </c>
      <c r="I600" s="437">
        <f t="shared" si="53"/>
        <v>24.006388807562008</v>
      </c>
    </row>
    <row r="601" spans="1:10" ht="31.5" x14ac:dyDescent="0.25">
      <c r="A601" s="25" t="s">
        <v>1251</v>
      </c>
      <c r="B601" s="16">
        <v>906</v>
      </c>
      <c r="C601" s="20" t="s">
        <v>271</v>
      </c>
      <c r="D601" s="20" t="s">
        <v>220</v>
      </c>
      <c r="E601" s="20" t="s">
        <v>1264</v>
      </c>
      <c r="F601" s="20"/>
      <c r="G601" s="26">
        <f t="shared" si="56"/>
        <v>28690.799999999999</v>
      </c>
      <c r="H601" s="26">
        <f t="shared" si="56"/>
        <v>6887.625</v>
      </c>
      <c r="I601" s="381">
        <f t="shared" si="53"/>
        <v>24.006388807562008</v>
      </c>
    </row>
    <row r="602" spans="1:10" ht="32.25" customHeight="1" x14ac:dyDescent="0.25">
      <c r="A602" s="25" t="s">
        <v>279</v>
      </c>
      <c r="B602" s="16">
        <v>906</v>
      </c>
      <c r="C602" s="20" t="s">
        <v>271</v>
      </c>
      <c r="D602" s="20" t="s">
        <v>220</v>
      </c>
      <c r="E602" s="20" t="s">
        <v>1264</v>
      </c>
      <c r="F602" s="20" t="s">
        <v>280</v>
      </c>
      <c r="G602" s="26">
        <f t="shared" si="56"/>
        <v>28690.799999999999</v>
      </c>
      <c r="H602" s="26">
        <f t="shared" si="56"/>
        <v>6887.625</v>
      </c>
      <c r="I602" s="381">
        <f t="shared" si="53"/>
        <v>24.006388807562008</v>
      </c>
    </row>
    <row r="603" spans="1:10" ht="15.75" x14ac:dyDescent="0.25">
      <c r="A603" s="25" t="s">
        <v>281</v>
      </c>
      <c r="B603" s="16">
        <v>906</v>
      </c>
      <c r="C603" s="20" t="s">
        <v>271</v>
      </c>
      <c r="D603" s="20" t="s">
        <v>220</v>
      </c>
      <c r="E603" s="20" t="s">
        <v>1264</v>
      </c>
      <c r="F603" s="20" t="s">
        <v>282</v>
      </c>
      <c r="G603" s="27">
        <f>30805-2114.2</f>
        <v>28690.799999999999</v>
      </c>
      <c r="H603" s="27">
        <v>6887.625</v>
      </c>
      <c r="I603" s="381">
        <f t="shared" si="53"/>
        <v>24.006388807562008</v>
      </c>
    </row>
    <row r="604" spans="1:10" s="203" customFormat="1" ht="36.75" customHeight="1" x14ac:dyDescent="0.25">
      <c r="A604" s="23" t="s">
        <v>910</v>
      </c>
      <c r="B604" s="19">
        <v>906</v>
      </c>
      <c r="C604" s="24" t="s">
        <v>271</v>
      </c>
      <c r="D604" s="24" t="s">
        <v>220</v>
      </c>
      <c r="E604" s="24" t="s">
        <v>1247</v>
      </c>
      <c r="F604" s="24"/>
      <c r="G604" s="44">
        <f>G611+G614+G617+G620+G608+G605</f>
        <v>147914.6</v>
      </c>
      <c r="H604" s="44">
        <f>H611+H614+H617+H620+H608+H605</f>
        <v>32282.95</v>
      </c>
      <c r="I604" s="437">
        <f t="shared" si="53"/>
        <v>21.825397898517117</v>
      </c>
    </row>
    <row r="605" spans="1:10" s="203" customFormat="1" ht="50.25" customHeight="1" x14ac:dyDescent="0.25">
      <c r="A605" s="25" t="s">
        <v>1409</v>
      </c>
      <c r="B605" s="16">
        <v>906</v>
      </c>
      <c r="C605" s="20" t="s">
        <v>271</v>
      </c>
      <c r="D605" s="20" t="s">
        <v>220</v>
      </c>
      <c r="E605" s="20" t="s">
        <v>1410</v>
      </c>
      <c r="F605" s="20"/>
      <c r="G605" s="27">
        <f>G606</f>
        <v>7226.1</v>
      </c>
      <c r="H605" s="27">
        <f>H606</f>
        <v>1204.3499999999999</v>
      </c>
      <c r="I605" s="381">
        <f t="shared" si="53"/>
        <v>16.666666666666664</v>
      </c>
    </row>
    <row r="606" spans="1:10" s="203" customFormat="1" ht="36.75" customHeight="1" x14ac:dyDescent="0.25">
      <c r="A606" s="25" t="s">
        <v>279</v>
      </c>
      <c r="B606" s="16">
        <v>906</v>
      </c>
      <c r="C606" s="20" t="s">
        <v>271</v>
      </c>
      <c r="D606" s="20" t="s">
        <v>220</v>
      </c>
      <c r="E606" s="20" t="s">
        <v>1410</v>
      </c>
      <c r="F606" s="20" t="s">
        <v>280</v>
      </c>
      <c r="G606" s="27">
        <f>G607</f>
        <v>7226.1</v>
      </c>
      <c r="H606" s="27">
        <f>H607</f>
        <v>1204.3499999999999</v>
      </c>
      <c r="I606" s="381">
        <f t="shared" si="53"/>
        <v>16.666666666666664</v>
      </c>
    </row>
    <row r="607" spans="1:10" s="203" customFormat="1" ht="19.7" customHeight="1" x14ac:dyDescent="0.25">
      <c r="A607" s="25" t="s">
        <v>281</v>
      </c>
      <c r="B607" s="16">
        <v>906</v>
      </c>
      <c r="C607" s="20" t="s">
        <v>271</v>
      </c>
      <c r="D607" s="20" t="s">
        <v>220</v>
      </c>
      <c r="E607" s="20" t="s">
        <v>1410</v>
      </c>
      <c r="F607" s="20" t="s">
        <v>282</v>
      </c>
      <c r="G607" s="27">
        <v>7226.1</v>
      </c>
      <c r="H607" s="27">
        <v>1204.3499999999999</v>
      </c>
      <c r="I607" s="381">
        <f t="shared" si="53"/>
        <v>16.666666666666664</v>
      </c>
    </row>
    <row r="608" spans="1:10" s="203" customFormat="1" ht="88.35" customHeight="1" x14ac:dyDescent="0.25">
      <c r="A608" s="31" t="s">
        <v>300</v>
      </c>
      <c r="B608" s="16">
        <v>906</v>
      </c>
      <c r="C608" s="20" t="s">
        <v>271</v>
      </c>
      <c r="D608" s="20" t="s">
        <v>220</v>
      </c>
      <c r="E608" s="20" t="s">
        <v>1407</v>
      </c>
      <c r="F608" s="20"/>
      <c r="G608" s="26">
        <f>G609</f>
        <v>4610</v>
      </c>
      <c r="H608" s="26">
        <f>H609</f>
        <v>1166.4000000000001</v>
      </c>
      <c r="I608" s="381">
        <f t="shared" si="53"/>
        <v>25.301518438177879</v>
      </c>
    </row>
    <row r="609" spans="1:13" s="203" customFormat="1" ht="36.75" customHeight="1" x14ac:dyDescent="0.25">
      <c r="A609" s="25" t="s">
        <v>279</v>
      </c>
      <c r="B609" s="16">
        <v>906</v>
      </c>
      <c r="C609" s="20" t="s">
        <v>271</v>
      </c>
      <c r="D609" s="20" t="s">
        <v>220</v>
      </c>
      <c r="E609" s="20" t="s">
        <v>1407</v>
      </c>
      <c r="F609" s="20" t="s">
        <v>280</v>
      </c>
      <c r="G609" s="26">
        <f>G610</f>
        <v>4610</v>
      </c>
      <c r="H609" s="26">
        <f>H610</f>
        <v>1166.4000000000001</v>
      </c>
      <c r="I609" s="381">
        <f t="shared" si="53"/>
        <v>25.301518438177879</v>
      </c>
    </row>
    <row r="610" spans="1:13" s="203" customFormat="1" ht="14.25" customHeight="1" x14ac:dyDescent="0.25">
      <c r="A610" s="25" t="s">
        <v>281</v>
      </c>
      <c r="B610" s="16">
        <v>906</v>
      </c>
      <c r="C610" s="20" t="s">
        <v>271</v>
      </c>
      <c r="D610" s="20" t="s">
        <v>220</v>
      </c>
      <c r="E610" s="20" t="s">
        <v>1407</v>
      </c>
      <c r="F610" s="20" t="s">
        <v>282</v>
      </c>
      <c r="G610" s="27">
        <v>4610</v>
      </c>
      <c r="H610" s="27">
        <v>1166.4000000000001</v>
      </c>
      <c r="I610" s="381">
        <f t="shared" si="53"/>
        <v>25.301518438177879</v>
      </c>
    </row>
    <row r="611" spans="1:13" s="203" customFormat="1" ht="63" x14ac:dyDescent="0.25">
      <c r="A611" s="31" t="s">
        <v>467</v>
      </c>
      <c r="B611" s="16">
        <v>906</v>
      </c>
      <c r="C611" s="20" t="s">
        <v>271</v>
      </c>
      <c r="D611" s="20" t="s">
        <v>220</v>
      </c>
      <c r="E611" s="20" t="s">
        <v>1265</v>
      </c>
      <c r="F611" s="20"/>
      <c r="G611" s="26">
        <f>G612</f>
        <v>131567.20000000001</v>
      </c>
      <c r="H611" s="26">
        <f>H612</f>
        <v>28805.4</v>
      </c>
      <c r="I611" s="381">
        <f t="shared" si="53"/>
        <v>21.894058701560876</v>
      </c>
    </row>
    <row r="612" spans="1:13" s="203" customFormat="1" ht="31.5" x14ac:dyDescent="0.25">
      <c r="A612" s="25" t="s">
        <v>279</v>
      </c>
      <c r="B612" s="16">
        <v>906</v>
      </c>
      <c r="C612" s="20" t="s">
        <v>271</v>
      </c>
      <c r="D612" s="20" t="s">
        <v>220</v>
      </c>
      <c r="E612" s="20" t="s">
        <v>1265</v>
      </c>
      <c r="F612" s="20" t="s">
        <v>280</v>
      </c>
      <c r="G612" s="26">
        <f>G613</f>
        <v>131567.20000000001</v>
      </c>
      <c r="H612" s="26">
        <f>H613</f>
        <v>28805.4</v>
      </c>
      <c r="I612" s="381">
        <f t="shared" si="53"/>
        <v>21.894058701560876</v>
      </c>
    </row>
    <row r="613" spans="1:13" s="203" customFormat="1" ht="15.75" x14ac:dyDescent="0.25">
      <c r="A613" s="25" t="s">
        <v>281</v>
      </c>
      <c r="B613" s="16">
        <v>906</v>
      </c>
      <c r="C613" s="20" t="s">
        <v>271</v>
      </c>
      <c r="D613" s="20" t="s">
        <v>220</v>
      </c>
      <c r="E613" s="20" t="s">
        <v>1265</v>
      </c>
      <c r="F613" s="20" t="s">
        <v>282</v>
      </c>
      <c r="G613" s="27">
        <v>131567.20000000001</v>
      </c>
      <c r="H613" s="27">
        <v>28805.4</v>
      </c>
      <c r="I613" s="381">
        <f t="shared" si="53"/>
        <v>21.894058701560876</v>
      </c>
    </row>
    <row r="614" spans="1:13" s="203" customFormat="1" ht="63" x14ac:dyDescent="0.25">
      <c r="A614" s="31" t="s">
        <v>296</v>
      </c>
      <c r="B614" s="16">
        <v>906</v>
      </c>
      <c r="C614" s="20" t="s">
        <v>271</v>
      </c>
      <c r="D614" s="20" t="s">
        <v>220</v>
      </c>
      <c r="E614" s="20" t="s">
        <v>1248</v>
      </c>
      <c r="F614" s="20"/>
      <c r="G614" s="26">
        <f>G615</f>
        <v>1311</v>
      </c>
      <c r="H614" s="26">
        <f>H615</f>
        <v>266.8</v>
      </c>
      <c r="I614" s="381">
        <f t="shared" si="53"/>
        <v>20.350877192982459</v>
      </c>
    </row>
    <row r="615" spans="1:13" s="203" customFormat="1" ht="31.5" x14ac:dyDescent="0.25">
      <c r="A615" s="25" t="s">
        <v>279</v>
      </c>
      <c r="B615" s="16">
        <v>906</v>
      </c>
      <c r="C615" s="20" t="s">
        <v>271</v>
      </c>
      <c r="D615" s="20" t="s">
        <v>220</v>
      </c>
      <c r="E615" s="20" t="s">
        <v>1248</v>
      </c>
      <c r="F615" s="20" t="s">
        <v>280</v>
      </c>
      <c r="G615" s="26">
        <f>G616</f>
        <v>1311</v>
      </c>
      <c r="H615" s="26">
        <f>H616</f>
        <v>266.8</v>
      </c>
      <c r="I615" s="381">
        <f t="shared" si="53"/>
        <v>20.350877192982459</v>
      </c>
    </row>
    <row r="616" spans="1:13" s="203" customFormat="1" ht="15.75" x14ac:dyDescent="0.25">
      <c r="A616" s="25" t="s">
        <v>281</v>
      </c>
      <c r="B616" s="16">
        <v>906</v>
      </c>
      <c r="C616" s="20" t="s">
        <v>271</v>
      </c>
      <c r="D616" s="20" t="s">
        <v>220</v>
      </c>
      <c r="E616" s="20" t="s">
        <v>1248</v>
      </c>
      <c r="F616" s="20" t="s">
        <v>282</v>
      </c>
      <c r="G616" s="27">
        <v>1311</v>
      </c>
      <c r="H616" s="27">
        <v>266.8</v>
      </c>
      <c r="I616" s="381">
        <f t="shared" si="53"/>
        <v>20.350877192982459</v>
      </c>
    </row>
    <row r="617" spans="1:13" s="203" customFormat="1" ht="63" x14ac:dyDescent="0.25">
      <c r="A617" s="31" t="s">
        <v>298</v>
      </c>
      <c r="B617" s="16">
        <v>906</v>
      </c>
      <c r="C617" s="20" t="s">
        <v>271</v>
      </c>
      <c r="D617" s="20" t="s">
        <v>220</v>
      </c>
      <c r="E617" s="20" t="s">
        <v>1249</v>
      </c>
      <c r="F617" s="20"/>
      <c r="G617" s="26">
        <f>G618</f>
        <v>2300.2999999999997</v>
      </c>
      <c r="H617" s="26">
        <f>H618</f>
        <v>565</v>
      </c>
      <c r="I617" s="381">
        <f t="shared" si="53"/>
        <v>24.562013650393428</v>
      </c>
      <c r="K617" s="225"/>
      <c r="L617" s="225"/>
      <c r="M617" s="225"/>
    </row>
    <row r="618" spans="1:13" s="203" customFormat="1" ht="31.5" x14ac:dyDescent="0.25">
      <c r="A618" s="25" t="s">
        <v>279</v>
      </c>
      <c r="B618" s="16">
        <v>906</v>
      </c>
      <c r="C618" s="20" t="s">
        <v>271</v>
      </c>
      <c r="D618" s="20" t="s">
        <v>220</v>
      </c>
      <c r="E618" s="20" t="s">
        <v>1249</v>
      </c>
      <c r="F618" s="20" t="s">
        <v>280</v>
      </c>
      <c r="G618" s="26">
        <f>G619</f>
        <v>2300.2999999999997</v>
      </c>
      <c r="H618" s="26">
        <f>H619</f>
        <v>565</v>
      </c>
      <c r="I618" s="381">
        <f t="shared" si="53"/>
        <v>24.562013650393428</v>
      </c>
    </row>
    <row r="619" spans="1:13" s="203" customFormat="1" ht="15.75" x14ac:dyDescent="0.25">
      <c r="A619" s="25" t="s">
        <v>281</v>
      </c>
      <c r="B619" s="16">
        <v>906</v>
      </c>
      <c r="C619" s="20" t="s">
        <v>271</v>
      </c>
      <c r="D619" s="20" t="s">
        <v>220</v>
      </c>
      <c r="E619" s="20" t="s">
        <v>1249</v>
      </c>
      <c r="F619" s="20" t="s">
        <v>282</v>
      </c>
      <c r="G619" s="27">
        <f>2266.72-0.02+33.6</f>
        <v>2300.2999999999997</v>
      </c>
      <c r="H619" s="27">
        <v>565</v>
      </c>
      <c r="I619" s="381">
        <f t="shared" si="53"/>
        <v>24.562013650393428</v>
      </c>
    </row>
    <row r="620" spans="1:13" s="203" customFormat="1" ht="47.25" x14ac:dyDescent="0.25">
      <c r="A620" s="31" t="s">
        <v>469</v>
      </c>
      <c r="B620" s="16">
        <v>906</v>
      </c>
      <c r="C620" s="20" t="s">
        <v>271</v>
      </c>
      <c r="D620" s="20" t="s">
        <v>220</v>
      </c>
      <c r="E620" s="20" t="s">
        <v>1266</v>
      </c>
      <c r="F620" s="20"/>
      <c r="G620" s="26">
        <f>G621</f>
        <v>900</v>
      </c>
      <c r="H620" s="26">
        <f>H621</f>
        <v>275</v>
      </c>
      <c r="I620" s="381">
        <f t="shared" si="53"/>
        <v>30.555555555555557</v>
      </c>
    </row>
    <row r="621" spans="1:13" s="203" customFormat="1" ht="31.5" x14ac:dyDescent="0.25">
      <c r="A621" s="25" t="s">
        <v>279</v>
      </c>
      <c r="B621" s="16">
        <v>906</v>
      </c>
      <c r="C621" s="20" t="s">
        <v>271</v>
      </c>
      <c r="D621" s="20" t="s">
        <v>220</v>
      </c>
      <c r="E621" s="20" t="s">
        <v>1266</v>
      </c>
      <c r="F621" s="20" t="s">
        <v>280</v>
      </c>
      <c r="G621" s="26">
        <f>G622</f>
        <v>900</v>
      </c>
      <c r="H621" s="26">
        <f>H622</f>
        <v>275</v>
      </c>
      <c r="I621" s="381">
        <f t="shared" si="53"/>
        <v>30.555555555555557</v>
      </c>
    </row>
    <row r="622" spans="1:13" s="203" customFormat="1" ht="15.75" x14ac:dyDescent="0.25">
      <c r="A622" s="25" t="s">
        <v>281</v>
      </c>
      <c r="B622" s="16">
        <v>906</v>
      </c>
      <c r="C622" s="20" t="s">
        <v>271</v>
      </c>
      <c r="D622" s="20" t="s">
        <v>220</v>
      </c>
      <c r="E622" s="20" t="s">
        <v>1266</v>
      </c>
      <c r="F622" s="20" t="s">
        <v>282</v>
      </c>
      <c r="G622" s="27">
        <v>900</v>
      </c>
      <c r="H622" s="27">
        <v>275</v>
      </c>
      <c r="I622" s="381">
        <f t="shared" si="53"/>
        <v>30.555555555555557</v>
      </c>
    </row>
    <row r="623" spans="1:13" s="203" customFormat="1" ht="35.450000000000003" customHeight="1" x14ac:dyDescent="0.25">
      <c r="A623" s="23" t="s">
        <v>1267</v>
      </c>
      <c r="B623" s="250">
        <v>906</v>
      </c>
      <c r="C623" s="24" t="s">
        <v>271</v>
      </c>
      <c r="D623" s="24" t="s">
        <v>220</v>
      </c>
      <c r="E623" s="24" t="s">
        <v>1252</v>
      </c>
      <c r="F623" s="24"/>
      <c r="G623" s="21">
        <f>G624+G627+G630+G633</f>
        <v>224</v>
      </c>
      <c r="H623" s="21">
        <f>H624+H627+H630+H633</f>
        <v>70.900000000000006</v>
      </c>
      <c r="I623" s="437">
        <f t="shared" si="53"/>
        <v>31.651785714285719</v>
      </c>
    </row>
    <row r="624" spans="1:13" s="203" customFormat="1" ht="35.450000000000003" hidden="1" customHeight="1" x14ac:dyDescent="0.25">
      <c r="A624" s="25" t="s">
        <v>447</v>
      </c>
      <c r="B624" s="37">
        <v>906</v>
      </c>
      <c r="C624" s="20" t="s">
        <v>271</v>
      </c>
      <c r="D624" s="20" t="s">
        <v>220</v>
      </c>
      <c r="E624" s="20" t="s">
        <v>1332</v>
      </c>
      <c r="F624" s="20"/>
      <c r="G624" s="26">
        <f>G625</f>
        <v>0</v>
      </c>
      <c r="H624" s="26">
        <f>H625</f>
        <v>0</v>
      </c>
      <c r="I624" s="381" t="e">
        <f t="shared" si="53"/>
        <v>#DIV/0!</v>
      </c>
    </row>
    <row r="625" spans="1:9" s="203" customFormat="1" ht="39.75" hidden="1" customHeight="1" x14ac:dyDescent="0.25">
      <c r="A625" s="25" t="s">
        <v>279</v>
      </c>
      <c r="B625" s="37">
        <v>906</v>
      </c>
      <c r="C625" s="20" t="s">
        <v>271</v>
      </c>
      <c r="D625" s="20" t="s">
        <v>220</v>
      </c>
      <c r="E625" s="20" t="s">
        <v>1332</v>
      </c>
      <c r="F625" s="20" t="s">
        <v>280</v>
      </c>
      <c r="G625" s="26">
        <f>G626</f>
        <v>0</v>
      </c>
      <c r="H625" s="26">
        <f>H626</f>
        <v>0</v>
      </c>
      <c r="I625" s="381" t="e">
        <f t="shared" si="53"/>
        <v>#DIV/0!</v>
      </c>
    </row>
    <row r="626" spans="1:9" s="203" customFormat="1" ht="18.75" hidden="1" customHeight="1" x14ac:dyDescent="0.25">
      <c r="A626" s="25" t="s">
        <v>281</v>
      </c>
      <c r="B626" s="37">
        <v>906</v>
      </c>
      <c r="C626" s="20" t="s">
        <v>271</v>
      </c>
      <c r="D626" s="20" t="s">
        <v>220</v>
      </c>
      <c r="E626" s="20" t="s">
        <v>1332</v>
      </c>
      <c r="F626" s="20" t="s">
        <v>282</v>
      </c>
      <c r="G626" s="26">
        <v>0</v>
      </c>
      <c r="H626" s="26">
        <v>0</v>
      </c>
      <c r="I626" s="381" t="e">
        <f t="shared" si="53"/>
        <v>#DIV/0!</v>
      </c>
    </row>
    <row r="627" spans="1:9" s="203" customFormat="1" ht="41.25" hidden="1" customHeight="1" x14ac:dyDescent="0.25">
      <c r="A627" s="25" t="s">
        <v>285</v>
      </c>
      <c r="B627" s="37">
        <v>906</v>
      </c>
      <c r="C627" s="20" t="s">
        <v>271</v>
      </c>
      <c r="D627" s="20" t="s">
        <v>220</v>
      </c>
      <c r="E627" s="20" t="s">
        <v>1333</v>
      </c>
      <c r="F627" s="20"/>
      <c r="G627" s="26">
        <f>G628</f>
        <v>0</v>
      </c>
      <c r="H627" s="26">
        <f>H628</f>
        <v>0</v>
      </c>
      <c r="I627" s="381" t="e">
        <f t="shared" si="53"/>
        <v>#DIV/0!</v>
      </c>
    </row>
    <row r="628" spans="1:9" s="203" customFormat="1" ht="33" hidden="1" customHeight="1" x14ac:dyDescent="0.25">
      <c r="A628" s="25" t="s">
        <v>279</v>
      </c>
      <c r="B628" s="37">
        <v>906</v>
      </c>
      <c r="C628" s="20" t="s">
        <v>271</v>
      </c>
      <c r="D628" s="20" t="s">
        <v>220</v>
      </c>
      <c r="E628" s="20" t="s">
        <v>1333</v>
      </c>
      <c r="F628" s="20" t="s">
        <v>280</v>
      </c>
      <c r="G628" s="26">
        <f>G629</f>
        <v>0</v>
      </c>
      <c r="H628" s="26">
        <f>H629</f>
        <v>0</v>
      </c>
      <c r="I628" s="381" t="e">
        <f t="shared" si="53"/>
        <v>#DIV/0!</v>
      </c>
    </row>
    <row r="629" spans="1:9" s="203" customFormat="1" ht="18.75" hidden="1" customHeight="1" x14ac:dyDescent="0.25">
      <c r="A629" s="25" t="s">
        <v>281</v>
      </c>
      <c r="B629" s="37">
        <v>906</v>
      </c>
      <c r="C629" s="20" t="s">
        <v>271</v>
      </c>
      <c r="D629" s="20" t="s">
        <v>220</v>
      </c>
      <c r="E629" s="20" t="s">
        <v>1333</v>
      </c>
      <c r="F629" s="20" t="s">
        <v>282</v>
      </c>
      <c r="G629" s="26">
        <v>0</v>
      </c>
      <c r="H629" s="26">
        <v>0</v>
      </c>
      <c r="I629" s="381" t="e">
        <f t="shared" si="53"/>
        <v>#DIV/0!</v>
      </c>
    </row>
    <row r="630" spans="1:9" s="203" customFormat="1" ht="31.7" hidden="1" customHeight="1" x14ac:dyDescent="0.25">
      <c r="A630" s="25" t="s">
        <v>287</v>
      </c>
      <c r="B630" s="37">
        <v>906</v>
      </c>
      <c r="C630" s="20" t="s">
        <v>271</v>
      </c>
      <c r="D630" s="20" t="s">
        <v>220</v>
      </c>
      <c r="E630" s="20" t="s">
        <v>1334</v>
      </c>
      <c r="F630" s="20"/>
      <c r="G630" s="26">
        <f>G631</f>
        <v>0</v>
      </c>
      <c r="H630" s="26">
        <f>H631</f>
        <v>0</v>
      </c>
      <c r="I630" s="381" t="e">
        <f t="shared" si="53"/>
        <v>#DIV/0!</v>
      </c>
    </row>
    <row r="631" spans="1:9" s="203" customFormat="1" ht="29.25" hidden="1" customHeight="1" x14ac:dyDescent="0.25">
      <c r="A631" s="25" t="s">
        <v>279</v>
      </c>
      <c r="B631" s="37">
        <v>906</v>
      </c>
      <c r="C631" s="20" t="s">
        <v>271</v>
      </c>
      <c r="D631" s="20" t="s">
        <v>220</v>
      </c>
      <c r="E631" s="20" t="s">
        <v>1334</v>
      </c>
      <c r="F631" s="20" t="s">
        <v>280</v>
      </c>
      <c r="G631" s="26">
        <f>G632</f>
        <v>0</v>
      </c>
      <c r="H631" s="26">
        <f>H632</f>
        <v>0</v>
      </c>
      <c r="I631" s="381" t="e">
        <f t="shared" si="53"/>
        <v>#DIV/0!</v>
      </c>
    </row>
    <row r="632" spans="1:9" s="203" customFormat="1" ht="18.75" hidden="1" customHeight="1" x14ac:dyDescent="0.25">
      <c r="A632" s="25" t="s">
        <v>281</v>
      </c>
      <c r="B632" s="37">
        <v>906</v>
      </c>
      <c r="C632" s="20" t="s">
        <v>271</v>
      </c>
      <c r="D632" s="20" t="s">
        <v>220</v>
      </c>
      <c r="E632" s="20" t="s">
        <v>1334</v>
      </c>
      <c r="F632" s="20" t="s">
        <v>282</v>
      </c>
      <c r="G632" s="26">
        <v>0</v>
      </c>
      <c r="H632" s="26">
        <v>0</v>
      </c>
      <c r="I632" s="381" t="e">
        <f t="shared" si="53"/>
        <v>#DIV/0!</v>
      </c>
    </row>
    <row r="633" spans="1:9" s="203" customFormat="1" ht="36" customHeight="1" x14ac:dyDescent="0.25">
      <c r="A633" s="25" t="s">
        <v>289</v>
      </c>
      <c r="B633" s="37">
        <v>906</v>
      </c>
      <c r="C633" s="20" t="s">
        <v>271</v>
      </c>
      <c r="D633" s="20" t="s">
        <v>220</v>
      </c>
      <c r="E633" s="20" t="s">
        <v>1268</v>
      </c>
      <c r="F633" s="20"/>
      <c r="G633" s="26">
        <f>G634</f>
        <v>224</v>
      </c>
      <c r="H633" s="26">
        <f>H634</f>
        <v>70.900000000000006</v>
      </c>
      <c r="I633" s="381">
        <f t="shared" si="53"/>
        <v>31.651785714285719</v>
      </c>
    </row>
    <row r="634" spans="1:9" s="203" customFormat="1" ht="39.75" customHeight="1" x14ac:dyDescent="0.25">
      <c r="A634" s="25" t="s">
        <v>279</v>
      </c>
      <c r="B634" s="37">
        <v>906</v>
      </c>
      <c r="C634" s="20" t="s">
        <v>271</v>
      </c>
      <c r="D634" s="20" t="s">
        <v>220</v>
      </c>
      <c r="E634" s="20" t="s">
        <v>1268</v>
      </c>
      <c r="F634" s="20" t="s">
        <v>280</v>
      </c>
      <c r="G634" s="26">
        <f>G635</f>
        <v>224</v>
      </c>
      <c r="H634" s="26">
        <f>H635</f>
        <v>70.900000000000006</v>
      </c>
      <c r="I634" s="381">
        <f t="shared" si="53"/>
        <v>31.651785714285719</v>
      </c>
    </row>
    <row r="635" spans="1:9" s="203" customFormat="1" ht="18.75" customHeight="1" x14ac:dyDescent="0.25">
      <c r="A635" s="25" t="s">
        <v>281</v>
      </c>
      <c r="B635" s="37">
        <v>906</v>
      </c>
      <c r="C635" s="20" t="s">
        <v>271</v>
      </c>
      <c r="D635" s="20" t="s">
        <v>220</v>
      </c>
      <c r="E635" s="20" t="s">
        <v>1268</v>
      </c>
      <c r="F635" s="20" t="s">
        <v>282</v>
      </c>
      <c r="G635" s="26">
        <f>127-72+72+97.2-0.2</f>
        <v>224</v>
      </c>
      <c r="H635" s="26">
        <v>70.900000000000006</v>
      </c>
      <c r="I635" s="381">
        <f t="shared" si="53"/>
        <v>31.651785714285719</v>
      </c>
    </row>
    <row r="636" spans="1:9" s="203" customFormat="1" ht="34.5" customHeight="1" x14ac:dyDescent="0.25">
      <c r="A636" s="214" t="s">
        <v>958</v>
      </c>
      <c r="B636" s="19">
        <v>906</v>
      </c>
      <c r="C636" s="24" t="s">
        <v>271</v>
      </c>
      <c r="D636" s="24" t="s">
        <v>220</v>
      </c>
      <c r="E636" s="24" t="s">
        <v>1255</v>
      </c>
      <c r="F636" s="24"/>
      <c r="G636" s="44">
        <f>G637+G640</f>
        <v>2700</v>
      </c>
      <c r="H636" s="44">
        <f>H637+H640</f>
        <v>2700</v>
      </c>
      <c r="I636" s="437">
        <f t="shared" si="53"/>
        <v>100</v>
      </c>
    </row>
    <row r="637" spans="1:9" s="203" customFormat="1" ht="36.75" hidden="1" customHeight="1" x14ac:dyDescent="0.25">
      <c r="A637" s="25" t="s">
        <v>801</v>
      </c>
      <c r="B637" s="16">
        <v>906</v>
      </c>
      <c r="C637" s="20" t="s">
        <v>271</v>
      </c>
      <c r="D637" s="20" t="s">
        <v>220</v>
      </c>
      <c r="E637" s="20" t="s">
        <v>1273</v>
      </c>
      <c r="F637" s="20"/>
      <c r="G637" s="26">
        <f>G638</f>
        <v>0</v>
      </c>
      <c r="H637" s="26">
        <f>H638</f>
        <v>0</v>
      </c>
      <c r="I637" s="381" t="e">
        <f t="shared" si="53"/>
        <v>#DIV/0!</v>
      </c>
    </row>
    <row r="638" spans="1:9" s="203" customFormat="1" ht="44.45" hidden="1" customHeight="1" x14ac:dyDescent="0.25">
      <c r="A638" s="25" t="s">
        <v>279</v>
      </c>
      <c r="B638" s="16">
        <v>906</v>
      </c>
      <c r="C638" s="20" t="s">
        <v>271</v>
      </c>
      <c r="D638" s="20" t="s">
        <v>220</v>
      </c>
      <c r="E638" s="20" t="s">
        <v>1273</v>
      </c>
      <c r="F638" s="20" t="s">
        <v>280</v>
      </c>
      <c r="G638" s="26">
        <f>G639</f>
        <v>0</v>
      </c>
      <c r="H638" s="26">
        <f>H639</f>
        <v>0</v>
      </c>
      <c r="I638" s="381" t="e">
        <f t="shared" si="53"/>
        <v>#DIV/0!</v>
      </c>
    </row>
    <row r="639" spans="1:9" s="203" customFormat="1" ht="18.75" hidden="1" customHeight="1" x14ac:dyDescent="0.25">
      <c r="A639" s="25" t="s">
        <v>281</v>
      </c>
      <c r="B639" s="16">
        <v>906</v>
      </c>
      <c r="C639" s="20" t="s">
        <v>271</v>
      </c>
      <c r="D639" s="20" t="s">
        <v>220</v>
      </c>
      <c r="E639" s="20" t="s">
        <v>1273</v>
      </c>
      <c r="F639" s="20" t="s">
        <v>282</v>
      </c>
      <c r="G639" s="26">
        <v>0</v>
      </c>
      <c r="H639" s="26">
        <v>0</v>
      </c>
      <c r="I639" s="381" t="e">
        <f t="shared" si="53"/>
        <v>#DIV/0!</v>
      </c>
    </row>
    <row r="640" spans="1:9" s="203" customFormat="1" ht="38.25" customHeight="1" x14ac:dyDescent="0.25">
      <c r="A640" s="60" t="s">
        <v>774</v>
      </c>
      <c r="B640" s="16">
        <v>906</v>
      </c>
      <c r="C640" s="20" t="s">
        <v>271</v>
      </c>
      <c r="D640" s="20" t="s">
        <v>220</v>
      </c>
      <c r="E640" s="20" t="s">
        <v>1256</v>
      </c>
      <c r="F640" s="20"/>
      <c r="G640" s="26">
        <f>G641</f>
        <v>2700</v>
      </c>
      <c r="H640" s="26">
        <f>H641</f>
        <v>2700</v>
      </c>
      <c r="I640" s="381">
        <f t="shared" si="53"/>
        <v>100</v>
      </c>
    </row>
    <row r="641" spans="1:9" s="203" customFormat="1" ht="39.200000000000003" customHeight="1" x14ac:dyDescent="0.25">
      <c r="A641" s="29" t="s">
        <v>279</v>
      </c>
      <c r="B641" s="16">
        <v>906</v>
      </c>
      <c r="C641" s="20" t="s">
        <v>271</v>
      </c>
      <c r="D641" s="20" t="s">
        <v>220</v>
      </c>
      <c r="E641" s="20" t="s">
        <v>1256</v>
      </c>
      <c r="F641" s="20" t="s">
        <v>280</v>
      </c>
      <c r="G641" s="26">
        <f>G642</f>
        <v>2700</v>
      </c>
      <c r="H641" s="26">
        <f>H642</f>
        <v>2700</v>
      </c>
      <c r="I641" s="381">
        <f t="shared" si="53"/>
        <v>100</v>
      </c>
    </row>
    <row r="642" spans="1:9" s="203" customFormat="1" ht="18.75" customHeight="1" x14ac:dyDescent="0.25">
      <c r="A642" s="184" t="s">
        <v>281</v>
      </c>
      <c r="B642" s="16">
        <v>906</v>
      </c>
      <c r="C642" s="20" t="s">
        <v>271</v>
      </c>
      <c r="D642" s="20" t="s">
        <v>220</v>
      </c>
      <c r="E642" s="20" t="s">
        <v>1256</v>
      </c>
      <c r="F642" s="20" t="s">
        <v>282</v>
      </c>
      <c r="G642" s="26">
        <f>2888-188</f>
        <v>2700</v>
      </c>
      <c r="H642" s="26">
        <v>2700</v>
      </c>
      <c r="I642" s="381">
        <f t="shared" si="53"/>
        <v>100</v>
      </c>
    </row>
    <row r="643" spans="1:9" s="203" customFormat="1" ht="33" customHeight="1" x14ac:dyDescent="0.25">
      <c r="A643" s="23" t="s">
        <v>948</v>
      </c>
      <c r="B643" s="250">
        <v>906</v>
      </c>
      <c r="C643" s="24" t="s">
        <v>271</v>
      </c>
      <c r="D643" s="24" t="s">
        <v>220</v>
      </c>
      <c r="E643" s="24" t="s">
        <v>1269</v>
      </c>
      <c r="F643" s="24"/>
      <c r="G643" s="21">
        <f t="shared" ref="G643:H645" si="57">G644</f>
        <v>3731.8</v>
      </c>
      <c r="H643" s="21">
        <f t="shared" si="57"/>
        <v>424.23200000000003</v>
      </c>
      <c r="I643" s="437">
        <f t="shared" si="53"/>
        <v>11.3680261535988</v>
      </c>
    </row>
    <row r="644" spans="1:9" ht="49.7" customHeight="1" x14ac:dyDescent="0.25">
      <c r="A644" s="29" t="s">
        <v>610</v>
      </c>
      <c r="B644" s="37">
        <v>906</v>
      </c>
      <c r="C644" s="20" t="s">
        <v>271</v>
      </c>
      <c r="D644" s="20" t="s">
        <v>220</v>
      </c>
      <c r="E644" s="20" t="s">
        <v>1270</v>
      </c>
      <c r="F644" s="20"/>
      <c r="G644" s="26">
        <f t="shared" si="57"/>
        <v>3731.8</v>
      </c>
      <c r="H644" s="26">
        <f t="shared" si="57"/>
        <v>424.23200000000003</v>
      </c>
      <c r="I644" s="381">
        <f t="shared" si="53"/>
        <v>11.3680261535988</v>
      </c>
    </row>
    <row r="645" spans="1:9" ht="31.5" x14ac:dyDescent="0.25">
      <c r="A645" s="25" t="s">
        <v>279</v>
      </c>
      <c r="B645" s="37">
        <v>906</v>
      </c>
      <c r="C645" s="20" t="s">
        <v>271</v>
      </c>
      <c r="D645" s="20" t="s">
        <v>220</v>
      </c>
      <c r="E645" s="20" t="s">
        <v>1270</v>
      </c>
      <c r="F645" s="20" t="s">
        <v>280</v>
      </c>
      <c r="G645" s="26">
        <f t="shared" si="57"/>
        <v>3731.8</v>
      </c>
      <c r="H645" s="26">
        <f t="shared" si="57"/>
        <v>424.23200000000003</v>
      </c>
      <c r="I645" s="381">
        <f t="shared" si="53"/>
        <v>11.3680261535988</v>
      </c>
    </row>
    <row r="646" spans="1:9" ht="15.75" x14ac:dyDescent="0.25">
      <c r="A646" s="25" t="s">
        <v>281</v>
      </c>
      <c r="B646" s="37">
        <v>906</v>
      </c>
      <c r="C646" s="20" t="s">
        <v>271</v>
      </c>
      <c r="D646" s="20" t="s">
        <v>220</v>
      </c>
      <c r="E646" s="20" t="s">
        <v>1270</v>
      </c>
      <c r="F646" s="20" t="s">
        <v>282</v>
      </c>
      <c r="G646" s="27">
        <f>2200-200+1731.8</f>
        <v>3731.8</v>
      </c>
      <c r="H646" s="27">
        <v>424.23200000000003</v>
      </c>
      <c r="I646" s="381">
        <f t="shared" si="53"/>
        <v>11.3680261535988</v>
      </c>
    </row>
    <row r="647" spans="1:9" s="203" customFormat="1" ht="34.5" customHeight="1" x14ac:dyDescent="0.25">
      <c r="A647" s="23" t="s">
        <v>949</v>
      </c>
      <c r="B647" s="250">
        <v>906</v>
      </c>
      <c r="C647" s="24" t="s">
        <v>271</v>
      </c>
      <c r="D647" s="24" t="s">
        <v>220</v>
      </c>
      <c r="E647" s="24" t="s">
        <v>1271</v>
      </c>
      <c r="F647" s="24"/>
      <c r="G647" s="44">
        <f t="shared" ref="G647:H649" si="58">G648</f>
        <v>1384.6</v>
      </c>
      <c r="H647" s="44">
        <f t="shared" si="58"/>
        <v>276</v>
      </c>
      <c r="I647" s="437">
        <f t="shared" si="53"/>
        <v>19.933554817275748</v>
      </c>
    </row>
    <row r="648" spans="1:9" ht="47.25" x14ac:dyDescent="0.25">
      <c r="A648" s="25" t="s">
        <v>445</v>
      </c>
      <c r="B648" s="37">
        <v>906</v>
      </c>
      <c r="C648" s="20" t="s">
        <v>271</v>
      </c>
      <c r="D648" s="20" t="s">
        <v>220</v>
      </c>
      <c r="E648" s="20" t="s">
        <v>1272</v>
      </c>
      <c r="F648" s="20"/>
      <c r="G648" s="26">
        <f t="shared" si="58"/>
        <v>1384.6</v>
      </c>
      <c r="H648" s="26">
        <f t="shared" si="58"/>
        <v>276</v>
      </c>
      <c r="I648" s="381">
        <f t="shared" si="53"/>
        <v>19.933554817275748</v>
      </c>
    </row>
    <row r="649" spans="1:9" ht="31.5" x14ac:dyDescent="0.25">
      <c r="A649" s="25" t="s">
        <v>279</v>
      </c>
      <c r="B649" s="37">
        <v>906</v>
      </c>
      <c r="C649" s="20" t="s">
        <v>271</v>
      </c>
      <c r="D649" s="20" t="s">
        <v>220</v>
      </c>
      <c r="E649" s="20" t="s">
        <v>1272</v>
      </c>
      <c r="F649" s="20" t="s">
        <v>280</v>
      </c>
      <c r="G649" s="26">
        <f t="shared" si="58"/>
        <v>1384.6</v>
      </c>
      <c r="H649" s="26">
        <f t="shared" si="58"/>
        <v>276</v>
      </c>
      <c r="I649" s="381">
        <f t="shared" si="53"/>
        <v>19.933554817275748</v>
      </c>
    </row>
    <row r="650" spans="1:9" ht="15.75" x14ac:dyDescent="0.25">
      <c r="A650" s="25" t="s">
        <v>281</v>
      </c>
      <c r="B650" s="37">
        <v>906</v>
      </c>
      <c r="C650" s="20" t="s">
        <v>271</v>
      </c>
      <c r="D650" s="20" t="s">
        <v>220</v>
      </c>
      <c r="E650" s="20" t="s">
        <v>1272</v>
      </c>
      <c r="F650" s="20" t="s">
        <v>282</v>
      </c>
      <c r="G650" s="26">
        <f>868+516.6</f>
        <v>1384.6</v>
      </c>
      <c r="H650" s="26">
        <v>276</v>
      </c>
      <c r="I650" s="381">
        <f t="shared" si="53"/>
        <v>19.933554817275748</v>
      </c>
    </row>
    <row r="651" spans="1:9" s="203" customFormat="1" ht="31.5" x14ac:dyDescent="0.25">
      <c r="A651" s="212" t="s">
        <v>950</v>
      </c>
      <c r="B651" s="19">
        <v>906</v>
      </c>
      <c r="C651" s="24" t="s">
        <v>271</v>
      </c>
      <c r="D651" s="24" t="s">
        <v>220</v>
      </c>
      <c r="E651" s="24" t="s">
        <v>1274</v>
      </c>
      <c r="F651" s="24"/>
      <c r="G651" s="21">
        <f t="shared" ref="G651:H653" si="59">G652</f>
        <v>752.9</v>
      </c>
      <c r="H651" s="21">
        <f t="shared" si="59"/>
        <v>148.57</v>
      </c>
      <c r="I651" s="437">
        <f t="shared" ref="I651:I714" si="60">H651/G651*100</f>
        <v>19.73303227520255</v>
      </c>
    </row>
    <row r="652" spans="1:9" s="203" customFormat="1" ht="47.25" x14ac:dyDescent="0.25">
      <c r="A652" s="184" t="s">
        <v>838</v>
      </c>
      <c r="B652" s="16">
        <v>906</v>
      </c>
      <c r="C652" s="20" t="s">
        <v>271</v>
      </c>
      <c r="D652" s="20" t="s">
        <v>220</v>
      </c>
      <c r="E652" s="20" t="s">
        <v>1444</v>
      </c>
      <c r="F652" s="20"/>
      <c r="G652" s="26">
        <f t="shared" si="59"/>
        <v>752.9</v>
      </c>
      <c r="H652" s="26">
        <f t="shared" si="59"/>
        <v>148.57</v>
      </c>
      <c r="I652" s="381">
        <f t="shared" si="60"/>
        <v>19.73303227520255</v>
      </c>
    </row>
    <row r="653" spans="1:9" s="203" customFormat="1" ht="31.5" x14ac:dyDescent="0.25">
      <c r="A653" s="31" t="s">
        <v>279</v>
      </c>
      <c r="B653" s="16">
        <v>906</v>
      </c>
      <c r="C653" s="20" t="s">
        <v>271</v>
      </c>
      <c r="D653" s="20" t="s">
        <v>220</v>
      </c>
      <c r="E653" s="20" t="s">
        <v>1444</v>
      </c>
      <c r="F653" s="20" t="s">
        <v>280</v>
      </c>
      <c r="G653" s="26">
        <f t="shared" si="59"/>
        <v>752.9</v>
      </c>
      <c r="H653" s="26">
        <f t="shared" si="59"/>
        <v>148.57</v>
      </c>
      <c r="I653" s="381">
        <f t="shared" si="60"/>
        <v>19.73303227520255</v>
      </c>
    </row>
    <row r="654" spans="1:9" s="203" customFormat="1" ht="15.75" x14ac:dyDescent="0.25">
      <c r="A654" s="31" t="s">
        <v>281</v>
      </c>
      <c r="B654" s="16">
        <v>906</v>
      </c>
      <c r="C654" s="20" t="s">
        <v>271</v>
      </c>
      <c r="D654" s="20" t="s">
        <v>220</v>
      </c>
      <c r="E654" s="20" t="s">
        <v>1444</v>
      </c>
      <c r="F654" s="20" t="s">
        <v>282</v>
      </c>
      <c r="G654" s="26">
        <f>678+74.9</f>
        <v>752.9</v>
      </c>
      <c r="H654" s="26">
        <v>148.57</v>
      </c>
      <c r="I654" s="381">
        <f t="shared" si="60"/>
        <v>19.73303227520255</v>
      </c>
    </row>
    <row r="655" spans="1:9" s="203" customFormat="1" ht="31.5" x14ac:dyDescent="0.25">
      <c r="A655" s="289" t="s">
        <v>1422</v>
      </c>
      <c r="B655" s="19">
        <v>906</v>
      </c>
      <c r="C655" s="24" t="s">
        <v>271</v>
      </c>
      <c r="D655" s="24" t="s">
        <v>220</v>
      </c>
      <c r="E655" s="24" t="s">
        <v>1421</v>
      </c>
      <c r="F655" s="24"/>
      <c r="G655" s="21">
        <f t="shared" ref="G655:H657" si="61">G656</f>
        <v>5296.5999999999995</v>
      </c>
      <c r="H655" s="21">
        <f t="shared" si="61"/>
        <v>1324.577</v>
      </c>
      <c r="I655" s="437">
        <f t="shared" si="60"/>
        <v>25.008061775478613</v>
      </c>
    </row>
    <row r="656" spans="1:9" s="203" customFormat="1" ht="51" customHeight="1" x14ac:dyDescent="0.25">
      <c r="A656" s="288" t="s">
        <v>1408</v>
      </c>
      <c r="B656" s="16">
        <v>906</v>
      </c>
      <c r="C656" s="20" t="s">
        <v>271</v>
      </c>
      <c r="D656" s="20" t="s">
        <v>220</v>
      </c>
      <c r="E656" s="20" t="s">
        <v>1475</v>
      </c>
      <c r="F656" s="20"/>
      <c r="G656" s="26">
        <f t="shared" si="61"/>
        <v>5296.5999999999995</v>
      </c>
      <c r="H656" s="26">
        <f t="shared" si="61"/>
        <v>1324.577</v>
      </c>
      <c r="I656" s="381">
        <f t="shared" si="60"/>
        <v>25.008061775478613</v>
      </c>
    </row>
    <row r="657" spans="1:13" s="203" customFormat="1" ht="31.5" x14ac:dyDescent="0.25">
      <c r="A657" s="31" t="s">
        <v>279</v>
      </c>
      <c r="B657" s="16">
        <v>906</v>
      </c>
      <c r="C657" s="20" t="s">
        <v>271</v>
      </c>
      <c r="D657" s="20" t="s">
        <v>220</v>
      </c>
      <c r="E657" s="20" t="s">
        <v>1475</v>
      </c>
      <c r="F657" s="20" t="s">
        <v>280</v>
      </c>
      <c r="G657" s="26">
        <f t="shared" si="61"/>
        <v>5296.5999999999995</v>
      </c>
      <c r="H657" s="26">
        <f t="shared" si="61"/>
        <v>1324.577</v>
      </c>
      <c r="I657" s="381">
        <f t="shared" si="60"/>
        <v>25.008061775478613</v>
      </c>
    </row>
    <row r="658" spans="1:13" s="203" customFormat="1" ht="15.75" x14ac:dyDescent="0.25">
      <c r="A658" s="31" t="s">
        <v>281</v>
      </c>
      <c r="B658" s="16">
        <v>906</v>
      </c>
      <c r="C658" s="20" t="s">
        <v>271</v>
      </c>
      <c r="D658" s="20" t="s">
        <v>220</v>
      </c>
      <c r="E658" s="20" t="s">
        <v>1475</v>
      </c>
      <c r="F658" s="20" t="s">
        <v>282</v>
      </c>
      <c r="G658" s="26">
        <f>5079.4+217.2</f>
        <v>5296.5999999999995</v>
      </c>
      <c r="H658" s="26">
        <v>1324.577</v>
      </c>
      <c r="I658" s="381">
        <f t="shared" si="60"/>
        <v>25.008061775478613</v>
      </c>
      <c r="J658" s="252"/>
    </row>
    <row r="659" spans="1:13" s="203" customFormat="1" ht="31.5" x14ac:dyDescent="0.25">
      <c r="A659" s="289" t="s">
        <v>1450</v>
      </c>
      <c r="B659" s="19">
        <v>906</v>
      </c>
      <c r="C659" s="24" t="s">
        <v>271</v>
      </c>
      <c r="D659" s="24" t="s">
        <v>220</v>
      </c>
      <c r="E659" s="24" t="s">
        <v>1432</v>
      </c>
      <c r="F659" s="24"/>
      <c r="G659" s="21">
        <f t="shared" ref="G659:H661" si="62">G660</f>
        <v>1714</v>
      </c>
      <c r="H659" s="21">
        <f t="shared" si="62"/>
        <v>0</v>
      </c>
      <c r="I659" s="437">
        <f t="shared" si="60"/>
        <v>0</v>
      </c>
    </row>
    <row r="660" spans="1:13" s="203" customFormat="1" ht="15.75" x14ac:dyDescent="0.25">
      <c r="A660" s="288" t="s">
        <v>1433</v>
      </c>
      <c r="B660" s="16">
        <v>906</v>
      </c>
      <c r="C660" s="20" t="s">
        <v>271</v>
      </c>
      <c r="D660" s="20" t="s">
        <v>220</v>
      </c>
      <c r="E660" s="20" t="s">
        <v>1434</v>
      </c>
      <c r="F660" s="20"/>
      <c r="G660" s="26">
        <f t="shared" si="62"/>
        <v>1714</v>
      </c>
      <c r="H660" s="26">
        <f t="shared" si="62"/>
        <v>0</v>
      </c>
      <c r="I660" s="381">
        <f t="shared" si="60"/>
        <v>0</v>
      </c>
    </row>
    <row r="661" spans="1:13" s="203" customFormat="1" ht="31.5" x14ac:dyDescent="0.25">
      <c r="A661" s="31" t="s">
        <v>279</v>
      </c>
      <c r="B661" s="16">
        <v>906</v>
      </c>
      <c r="C661" s="20" t="s">
        <v>271</v>
      </c>
      <c r="D661" s="20" t="s">
        <v>220</v>
      </c>
      <c r="E661" s="20" t="s">
        <v>1434</v>
      </c>
      <c r="F661" s="20" t="s">
        <v>280</v>
      </c>
      <c r="G661" s="26">
        <f t="shared" si="62"/>
        <v>1714</v>
      </c>
      <c r="H661" s="26">
        <f t="shared" si="62"/>
        <v>0</v>
      </c>
      <c r="I661" s="381">
        <f t="shared" si="60"/>
        <v>0</v>
      </c>
    </row>
    <row r="662" spans="1:13" s="203" customFormat="1" ht="15.75" x14ac:dyDescent="0.25">
      <c r="A662" s="31" t="s">
        <v>281</v>
      </c>
      <c r="B662" s="16">
        <v>906</v>
      </c>
      <c r="C662" s="20" t="s">
        <v>271</v>
      </c>
      <c r="D662" s="20" t="s">
        <v>220</v>
      </c>
      <c r="E662" s="20" t="s">
        <v>1434</v>
      </c>
      <c r="F662" s="20" t="s">
        <v>282</v>
      </c>
      <c r="G662" s="26">
        <f>84+1630</f>
        <v>1714</v>
      </c>
      <c r="H662" s="26">
        <v>0</v>
      </c>
      <c r="I662" s="381">
        <f t="shared" si="60"/>
        <v>0</v>
      </c>
      <c r="L662" s="203" t="e">
        <f>#REF!/95.1*4.9</f>
        <v>#REF!</v>
      </c>
    </row>
    <row r="663" spans="1:13" s="203" customFormat="1" ht="36" customHeight="1" x14ac:dyDescent="0.25">
      <c r="A663" s="212" t="s">
        <v>1186</v>
      </c>
      <c r="B663" s="19">
        <v>906</v>
      </c>
      <c r="C663" s="24" t="s">
        <v>271</v>
      </c>
      <c r="D663" s="24" t="s">
        <v>220</v>
      </c>
      <c r="E663" s="24" t="s">
        <v>1335</v>
      </c>
      <c r="F663" s="24"/>
      <c r="G663" s="21">
        <f t="shared" ref="G663:H665" si="63">G664</f>
        <v>1570.7</v>
      </c>
      <c r="H663" s="21">
        <f t="shared" si="63"/>
        <v>0</v>
      </c>
      <c r="I663" s="437">
        <f t="shared" si="60"/>
        <v>0</v>
      </c>
    </row>
    <row r="664" spans="1:13" s="203" customFormat="1" ht="63" x14ac:dyDescent="0.25">
      <c r="A664" s="184" t="s">
        <v>1570</v>
      </c>
      <c r="B664" s="16">
        <v>906</v>
      </c>
      <c r="C664" s="20" t="s">
        <v>271</v>
      </c>
      <c r="D664" s="20" t="s">
        <v>220</v>
      </c>
      <c r="E664" s="20" t="s">
        <v>1336</v>
      </c>
      <c r="F664" s="20"/>
      <c r="G664" s="26">
        <f t="shared" si="63"/>
        <v>1570.7</v>
      </c>
      <c r="H664" s="26">
        <f t="shared" si="63"/>
        <v>0</v>
      </c>
      <c r="I664" s="381">
        <f t="shared" si="60"/>
        <v>0</v>
      </c>
      <c r="K664" s="387" t="s">
        <v>1572</v>
      </c>
    </row>
    <row r="665" spans="1:13" s="203" customFormat="1" ht="31.5" x14ac:dyDescent="0.25">
      <c r="A665" s="31" t="s">
        <v>279</v>
      </c>
      <c r="B665" s="16">
        <v>906</v>
      </c>
      <c r="C665" s="20" t="s">
        <v>271</v>
      </c>
      <c r="D665" s="20" t="s">
        <v>220</v>
      </c>
      <c r="E665" s="20" t="s">
        <v>1336</v>
      </c>
      <c r="F665" s="20" t="s">
        <v>280</v>
      </c>
      <c r="G665" s="26">
        <f t="shared" si="63"/>
        <v>1570.7</v>
      </c>
      <c r="H665" s="26">
        <f t="shared" si="63"/>
        <v>0</v>
      </c>
      <c r="I665" s="381">
        <f t="shared" si="60"/>
        <v>0</v>
      </c>
    </row>
    <row r="666" spans="1:13" s="203" customFormat="1" ht="15.75" x14ac:dyDescent="0.25">
      <c r="A666" s="31" t="s">
        <v>281</v>
      </c>
      <c r="B666" s="16">
        <v>906</v>
      </c>
      <c r="C666" s="20" t="s">
        <v>271</v>
      </c>
      <c r="D666" s="20" t="s">
        <v>220</v>
      </c>
      <c r="E666" s="20" t="s">
        <v>1336</v>
      </c>
      <c r="F666" s="20" t="s">
        <v>282</v>
      </c>
      <c r="G666" s="26">
        <f>1506.3+64.4</f>
        <v>1570.7</v>
      </c>
      <c r="H666" s="26">
        <v>0</v>
      </c>
      <c r="I666" s="381">
        <f t="shared" si="60"/>
        <v>0</v>
      </c>
    </row>
    <row r="667" spans="1:13" s="203" customFormat="1" ht="31.5" x14ac:dyDescent="0.25">
      <c r="A667" s="34" t="s">
        <v>1506</v>
      </c>
      <c r="B667" s="19">
        <v>906</v>
      </c>
      <c r="C667" s="24" t="s">
        <v>271</v>
      </c>
      <c r="D667" s="24" t="s">
        <v>220</v>
      </c>
      <c r="E667" s="24" t="s">
        <v>1507</v>
      </c>
      <c r="F667" s="20"/>
      <c r="G667" s="21">
        <f t="shared" ref="G667:H669" si="64">G668</f>
        <v>2692.1</v>
      </c>
      <c r="H667" s="21">
        <f t="shared" si="64"/>
        <v>0</v>
      </c>
      <c r="I667" s="437">
        <f t="shared" si="60"/>
        <v>0</v>
      </c>
    </row>
    <row r="668" spans="1:13" s="203" customFormat="1" ht="56.25" customHeight="1" x14ac:dyDescent="0.25">
      <c r="A668" s="31" t="s">
        <v>1571</v>
      </c>
      <c r="B668" s="16">
        <v>906</v>
      </c>
      <c r="C668" s="20" t="s">
        <v>271</v>
      </c>
      <c r="D668" s="20" t="s">
        <v>220</v>
      </c>
      <c r="E668" s="20" t="s">
        <v>1508</v>
      </c>
      <c r="F668" s="20"/>
      <c r="G668" s="26">
        <f t="shared" si="64"/>
        <v>2692.1</v>
      </c>
      <c r="H668" s="26">
        <f t="shared" si="64"/>
        <v>0</v>
      </c>
      <c r="I668" s="381">
        <f t="shared" si="60"/>
        <v>0</v>
      </c>
      <c r="M668" s="387" t="s">
        <v>1572</v>
      </c>
    </row>
    <row r="669" spans="1:13" s="203" customFormat="1" ht="31.5" x14ac:dyDescent="0.25">
      <c r="A669" s="31" t="s">
        <v>279</v>
      </c>
      <c r="B669" s="16">
        <v>906</v>
      </c>
      <c r="C669" s="20" t="s">
        <v>271</v>
      </c>
      <c r="D669" s="20" t="s">
        <v>220</v>
      </c>
      <c r="E669" s="20" t="s">
        <v>1508</v>
      </c>
      <c r="F669" s="20" t="s">
        <v>280</v>
      </c>
      <c r="G669" s="26">
        <f t="shared" si="64"/>
        <v>2692.1</v>
      </c>
      <c r="H669" s="26">
        <f t="shared" si="64"/>
        <v>0</v>
      </c>
      <c r="I669" s="381">
        <f t="shared" si="60"/>
        <v>0</v>
      </c>
    </row>
    <row r="670" spans="1:13" s="203" customFormat="1" ht="15.75" x14ac:dyDescent="0.25">
      <c r="A670" s="31" t="s">
        <v>281</v>
      </c>
      <c r="B670" s="16">
        <v>906</v>
      </c>
      <c r="C670" s="20" t="s">
        <v>271</v>
      </c>
      <c r="D670" s="20" t="s">
        <v>220</v>
      </c>
      <c r="E670" s="20" t="s">
        <v>1508</v>
      </c>
      <c r="F670" s="20" t="s">
        <v>282</v>
      </c>
      <c r="G670" s="26">
        <f>2581.7+110.4</f>
        <v>2692.1</v>
      </c>
      <c r="H670" s="26">
        <v>0</v>
      </c>
      <c r="I670" s="381">
        <f t="shared" si="60"/>
        <v>0</v>
      </c>
      <c r="J670" s="204"/>
      <c r="K670" s="204"/>
      <c r="L670" s="204"/>
    </row>
    <row r="671" spans="1:13" ht="47.25" hidden="1" x14ac:dyDescent="0.25">
      <c r="A671" s="34" t="s">
        <v>1374</v>
      </c>
      <c r="B671" s="19">
        <v>906</v>
      </c>
      <c r="C671" s="24" t="s">
        <v>271</v>
      </c>
      <c r="D671" s="24" t="s">
        <v>220</v>
      </c>
      <c r="E671" s="24" t="s">
        <v>331</v>
      </c>
      <c r="F671" s="24"/>
      <c r="G671" s="21">
        <f t="shared" ref="G671:H674" si="65">G672</f>
        <v>0</v>
      </c>
      <c r="H671" s="21">
        <f t="shared" si="65"/>
        <v>0</v>
      </c>
      <c r="I671" s="381" t="e">
        <f t="shared" si="60"/>
        <v>#DIV/0!</v>
      </c>
      <c r="K671" s="203"/>
      <c r="L671" s="203"/>
    </row>
    <row r="672" spans="1:13" s="203" customFormat="1" ht="47.25" hidden="1" x14ac:dyDescent="0.25">
      <c r="A672" s="34" t="s">
        <v>1034</v>
      </c>
      <c r="B672" s="19">
        <v>906</v>
      </c>
      <c r="C672" s="24" t="s">
        <v>271</v>
      </c>
      <c r="D672" s="24" t="s">
        <v>220</v>
      </c>
      <c r="E672" s="24" t="s">
        <v>944</v>
      </c>
      <c r="F672" s="24"/>
      <c r="G672" s="21">
        <f t="shared" si="65"/>
        <v>0</v>
      </c>
      <c r="H672" s="21">
        <f t="shared" si="65"/>
        <v>0</v>
      </c>
      <c r="I672" s="381" t="e">
        <f t="shared" si="60"/>
        <v>#DIV/0!</v>
      </c>
    </row>
    <row r="673" spans="1:9" ht="47.25" hidden="1" x14ac:dyDescent="0.25">
      <c r="A673" s="31" t="s">
        <v>1092</v>
      </c>
      <c r="B673" s="16">
        <v>906</v>
      </c>
      <c r="C673" s="20" t="s">
        <v>271</v>
      </c>
      <c r="D673" s="20" t="s">
        <v>220</v>
      </c>
      <c r="E673" s="20" t="s">
        <v>945</v>
      </c>
      <c r="F673" s="20"/>
      <c r="G673" s="26">
        <f t="shared" si="65"/>
        <v>0</v>
      </c>
      <c r="H673" s="26">
        <f t="shared" si="65"/>
        <v>0</v>
      </c>
      <c r="I673" s="381" t="e">
        <f t="shared" si="60"/>
        <v>#DIV/0!</v>
      </c>
    </row>
    <row r="674" spans="1:9" ht="31.5" hidden="1" x14ac:dyDescent="0.25">
      <c r="A674" s="31" t="s">
        <v>279</v>
      </c>
      <c r="B674" s="16">
        <v>906</v>
      </c>
      <c r="C674" s="20" t="s">
        <v>271</v>
      </c>
      <c r="D674" s="20" t="s">
        <v>220</v>
      </c>
      <c r="E674" s="20" t="s">
        <v>945</v>
      </c>
      <c r="F674" s="20" t="s">
        <v>280</v>
      </c>
      <c r="G674" s="26">
        <f t="shared" si="65"/>
        <v>0</v>
      </c>
      <c r="H674" s="26">
        <f t="shared" si="65"/>
        <v>0</v>
      </c>
      <c r="I674" s="381" t="e">
        <f t="shared" si="60"/>
        <v>#DIV/0!</v>
      </c>
    </row>
    <row r="675" spans="1:9" ht="15.75" hidden="1" x14ac:dyDescent="0.25">
      <c r="A675" s="31" t="s">
        <v>281</v>
      </c>
      <c r="B675" s="16">
        <v>906</v>
      </c>
      <c r="C675" s="20" t="s">
        <v>271</v>
      </c>
      <c r="D675" s="20" t="s">
        <v>220</v>
      </c>
      <c r="E675" s="20" t="s">
        <v>945</v>
      </c>
      <c r="F675" s="20" t="s">
        <v>282</v>
      </c>
      <c r="G675" s="26">
        <v>0</v>
      </c>
      <c r="H675" s="26">
        <v>0</v>
      </c>
      <c r="I675" s="381" t="e">
        <f t="shared" si="60"/>
        <v>#DIV/0!</v>
      </c>
    </row>
    <row r="676" spans="1:9" ht="47.25" x14ac:dyDescent="0.25">
      <c r="A676" s="41" t="s">
        <v>1358</v>
      </c>
      <c r="B676" s="19">
        <v>906</v>
      </c>
      <c r="C676" s="24" t="s">
        <v>271</v>
      </c>
      <c r="D676" s="24" t="s">
        <v>220</v>
      </c>
      <c r="E676" s="24" t="s">
        <v>715</v>
      </c>
      <c r="F676" s="217"/>
      <c r="G676" s="21">
        <f t="shared" ref="G676:H679" si="66">G677</f>
        <v>837</v>
      </c>
      <c r="H676" s="21">
        <f t="shared" si="66"/>
        <v>163.48500000000001</v>
      </c>
      <c r="I676" s="437">
        <f t="shared" si="60"/>
        <v>19.532258064516132</v>
      </c>
    </row>
    <row r="677" spans="1:9" s="203" customFormat="1" ht="47.25" x14ac:dyDescent="0.25">
      <c r="A677" s="41" t="s">
        <v>900</v>
      </c>
      <c r="B677" s="19">
        <v>906</v>
      </c>
      <c r="C677" s="24" t="s">
        <v>271</v>
      </c>
      <c r="D677" s="24" t="s">
        <v>220</v>
      </c>
      <c r="E677" s="24" t="s">
        <v>898</v>
      </c>
      <c r="F677" s="217"/>
      <c r="G677" s="21">
        <f t="shared" si="66"/>
        <v>837</v>
      </c>
      <c r="H677" s="21">
        <f t="shared" si="66"/>
        <v>163.48500000000001</v>
      </c>
      <c r="I677" s="437">
        <f t="shared" si="60"/>
        <v>19.532258064516132</v>
      </c>
    </row>
    <row r="678" spans="1:9" ht="35.450000000000003" customHeight="1" x14ac:dyDescent="0.25">
      <c r="A678" s="98" t="s">
        <v>790</v>
      </c>
      <c r="B678" s="16">
        <v>906</v>
      </c>
      <c r="C678" s="20" t="s">
        <v>271</v>
      </c>
      <c r="D678" s="20" t="s">
        <v>220</v>
      </c>
      <c r="E678" s="20" t="s">
        <v>946</v>
      </c>
      <c r="F678" s="32"/>
      <c r="G678" s="26">
        <f t="shared" si="66"/>
        <v>837</v>
      </c>
      <c r="H678" s="26">
        <f t="shared" si="66"/>
        <v>163.48500000000001</v>
      </c>
      <c r="I678" s="381">
        <f t="shared" si="60"/>
        <v>19.532258064516132</v>
      </c>
    </row>
    <row r="679" spans="1:9" ht="39.75" customHeight="1" x14ac:dyDescent="0.25">
      <c r="A679" s="29" t="s">
        <v>279</v>
      </c>
      <c r="B679" s="16">
        <v>906</v>
      </c>
      <c r="C679" s="20" t="s">
        <v>271</v>
      </c>
      <c r="D679" s="20" t="s">
        <v>220</v>
      </c>
      <c r="E679" s="20" t="s">
        <v>946</v>
      </c>
      <c r="F679" s="32" t="s">
        <v>280</v>
      </c>
      <c r="G679" s="26">
        <f t="shared" si="66"/>
        <v>837</v>
      </c>
      <c r="H679" s="26">
        <f t="shared" si="66"/>
        <v>163.48500000000001</v>
      </c>
      <c r="I679" s="381">
        <f t="shared" si="60"/>
        <v>19.532258064516132</v>
      </c>
    </row>
    <row r="680" spans="1:9" ht="15.75" x14ac:dyDescent="0.25">
      <c r="A680" s="184" t="s">
        <v>281</v>
      </c>
      <c r="B680" s="16">
        <v>906</v>
      </c>
      <c r="C680" s="20" t="s">
        <v>271</v>
      </c>
      <c r="D680" s="20" t="s">
        <v>220</v>
      </c>
      <c r="E680" s="20" t="s">
        <v>946</v>
      </c>
      <c r="F680" s="32" t="s">
        <v>282</v>
      </c>
      <c r="G680" s="26">
        <v>837</v>
      </c>
      <c r="H680" s="26">
        <v>163.48500000000001</v>
      </c>
      <c r="I680" s="381">
        <f t="shared" si="60"/>
        <v>19.532258064516132</v>
      </c>
    </row>
    <row r="681" spans="1:9" ht="15.75" x14ac:dyDescent="0.25">
      <c r="A681" s="23" t="s">
        <v>272</v>
      </c>
      <c r="B681" s="19">
        <v>906</v>
      </c>
      <c r="C681" s="24" t="s">
        <v>271</v>
      </c>
      <c r="D681" s="24" t="s">
        <v>222</v>
      </c>
      <c r="E681" s="24"/>
      <c r="F681" s="24"/>
      <c r="G681" s="44">
        <f>G682+G708</f>
        <v>42472.15</v>
      </c>
      <c r="H681" s="44">
        <f>H682+H708</f>
        <v>9543.0139999999992</v>
      </c>
      <c r="I681" s="437">
        <f t="shared" si="60"/>
        <v>22.468874309400395</v>
      </c>
    </row>
    <row r="682" spans="1:9" ht="36.75" customHeight="1" x14ac:dyDescent="0.25">
      <c r="A682" s="23" t="s">
        <v>1373</v>
      </c>
      <c r="B682" s="19">
        <v>906</v>
      </c>
      <c r="C682" s="24" t="s">
        <v>271</v>
      </c>
      <c r="D682" s="24" t="s">
        <v>222</v>
      </c>
      <c r="E682" s="24" t="s">
        <v>413</v>
      </c>
      <c r="F682" s="24"/>
      <c r="G682" s="44">
        <f>G683+G690+G704</f>
        <v>42181.05</v>
      </c>
      <c r="H682" s="44">
        <f>H683+H690+H704</f>
        <v>9492.101999999999</v>
      </c>
      <c r="I682" s="437">
        <f t="shared" si="60"/>
        <v>22.503237828361311</v>
      </c>
    </row>
    <row r="683" spans="1:9" s="203" customFormat="1" ht="36.75" customHeight="1" x14ac:dyDescent="0.25">
      <c r="A683" s="23" t="s">
        <v>947</v>
      </c>
      <c r="B683" s="19">
        <v>906</v>
      </c>
      <c r="C683" s="24" t="s">
        <v>271</v>
      </c>
      <c r="D683" s="24" t="s">
        <v>222</v>
      </c>
      <c r="E683" s="24" t="s">
        <v>1245</v>
      </c>
      <c r="F683" s="24"/>
      <c r="G683" s="44">
        <f>G684+G687</f>
        <v>38652.550000000003</v>
      </c>
      <c r="H683" s="44">
        <f>H684+H687</f>
        <v>7511.902</v>
      </c>
      <c r="I683" s="437">
        <f t="shared" si="60"/>
        <v>19.434428000222496</v>
      </c>
    </row>
    <row r="684" spans="1:9" ht="31.5" x14ac:dyDescent="0.25">
      <c r="A684" s="25" t="s">
        <v>277</v>
      </c>
      <c r="B684" s="16">
        <v>906</v>
      </c>
      <c r="C684" s="20" t="s">
        <v>271</v>
      </c>
      <c r="D684" s="20" t="s">
        <v>222</v>
      </c>
      <c r="E684" s="20" t="s">
        <v>1275</v>
      </c>
      <c r="F684" s="20"/>
      <c r="G684" s="27">
        <f>G685</f>
        <v>14834.95</v>
      </c>
      <c r="H684" s="27">
        <f>H685</f>
        <v>3464.902</v>
      </c>
      <c r="I684" s="381">
        <f t="shared" si="60"/>
        <v>23.356344308541651</v>
      </c>
    </row>
    <row r="685" spans="1:9" ht="36.75" customHeight="1" x14ac:dyDescent="0.25">
      <c r="A685" s="25" t="s">
        <v>279</v>
      </c>
      <c r="B685" s="16">
        <v>906</v>
      </c>
      <c r="C685" s="20" t="s">
        <v>271</v>
      </c>
      <c r="D685" s="20" t="s">
        <v>222</v>
      </c>
      <c r="E685" s="20" t="s">
        <v>1275</v>
      </c>
      <c r="F685" s="20" t="s">
        <v>280</v>
      </c>
      <c r="G685" s="27">
        <f>G686</f>
        <v>14834.95</v>
      </c>
      <c r="H685" s="27">
        <f>H686</f>
        <v>3464.902</v>
      </c>
      <c r="I685" s="381">
        <f t="shared" si="60"/>
        <v>23.356344308541651</v>
      </c>
    </row>
    <row r="686" spans="1:9" ht="15.75" x14ac:dyDescent="0.25">
      <c r="A686" s="25" t="s">
        <v>281</v>
      </c>
      <c r="B686" s="16">
        <v>906</v>
      </c>
      <c r="C686" s="20" t="s">
        <v>271</v>
      </c>
      <c r="D686" s="20" t="s">
        <v>222</v>
      </c>
      <c r="E686" s="20" t="s">
        <v>1275</v>
      </c>
      <c r="F686" s="20" t="s">
        <v>282</v>
      </c>
      <c r="G686" s="27">
        <v>14834.95</v>
      </c>
      <c r="H686" s="27">
        <v>3464.902</v>
      </c>
      <c r="I686" s="381">
        <f t="shared" si="60"/>
        <v>23.356344308541651</v>
      </c>
    </row>
    <row r="687" spans="1:9" s="203" customFormat="1" ht="31.5" x14ac:dyDescent="0.25">
      <c r="A687" s="31" t="s">
        <v>1554</v>
      </c>
      <c r="B687" s="16">
        <v>906</v>
      </c>
      <c r="C687" s="20" t="s">
        <v>271</v>
      </c>
      <c r="D687" s="20" t="s">
        <v>222</v>
      </c>
      <c r="E687" s="20" t="s">
        <v>1553</v>
      </c>
      <c r="F687" s="20"/>
      <c r="G687" s="27">
        <f>G688</f>
        <v>23817.600000000002</v>
      </c>
      <c r="H687" s="27">
        <f>H688</f>
        <v>4047</v>
      </c>
      <c r="I687" s="381">
        <f t="shared" si="60"/>
        <v>16.991636436920597</v>
      </c>
    </row>
    <row r="688" spans="1:9" s="203" customFormat="1" ht="31.5" x14ac:dyDescent="0.25">
      <c r="A688" s="25" t="s">
        <v>279</v>
      </c>
      <c r="B688" s="16">
        <v>906</v>
      </c>
      <c r="C688" s="20" t="s">
        <v>271</v>
      </c>
      <c r="D688" s="20" t="s">
        <v>222</v>
      </c>
      <c r="E688" s="20" t="s">
        <v>1553</v>
      </c>
      <c r="F688" s="20" t="s">
        <v>280</v>
      </c>
      <c r="G688" s="27">
        <f>G689</f>
        <v>23817.600000000002</v>
      </c>
      <c r="H688" s="27">
        <f>H689</f>
        <v>4047</v>
      </c>
      <c r="I688" s="381">
        <f t="shared" si="60"/>
        <v>16.991636436920597</v>
      </c>
    </row>
    <row r="689" spans="1:9" s="203" customFormat="1" ht="15.75" x14ac:dyDescent="0.25">
      <c r="A689" s="31" t="s">
        <v>281</v>
      </c>
      <c r="B689" s="16">
        <v>906</v>
      </c>
      <c r="C689" s="20" t="s">
        <v>271</v>
      </c>
      <c r="D689" s="20" t="s">
        <v>222</v>
      </c>
      <c r="E689" s="20" t="s">
        <v>1553</v>
      </c>
      <c r="F689" s="20" t="s">
        <v>282</v>
      </c>
      <c r="G689" s="27">
        <f>17677.27+4071.2+2069.13</f>
        <v>23817.600000000002</v>
      </c>
      <c r="H689" s="27">
        <v>4047</v>
      </c>
      <c r="I689" s="381">
        <f t="shared" si="60"/>
        <v>16.991636436920597</v>
      </c>
    </row>
    <row r="690" spans="1:9" s="203" customFormat="1" ht="36" customHeight="1" x14ac:dyDescent="0.25">
      <c r="A690" s="23" t="s">
        <v>910</v>
      </c>
      <c r="B690" s="19">
        <v>906</v>
      </c>
      <c r="C690" s="24" t="s">
        <v>271</v>
      </c>
      <c r="D690" s="24" t="s">
        <v>222</v>
      </c>
      <c r="E690" s="24" t="s">
        <v>1247</v>
      </c>
      <c r="F690" s="24"/>
      <c r="G690" s="44">
        <f>G694+G697+G691</f>
        <v>2128.5</v>
      </c>
      <c r="H690" s="44">
        <f>H694+H697+H691</f>
        <v>580.20000000000005</v>
      </c>
      <c r="I690" s="437">
        <f t="shared" si="60"/>
        <v>27.258632840028191</v>
      </c>
    </row>
    <row r="691" spans="1:9" s="203" customFormat="1" ht="91.15" customHeight="1" x14ac:dyDescent="0.25">
      <c r="A691" s="31" t="s">
        <v>300</v>
      </c>
      <c r="B691" s="16">
        <v>906</v>
      </c>
      <c r="C691" s="20" t="s">
        <v>271</v>
      </c>
      <c r="D691" s="20" t="s">
        <v>222</v>
      </c>
      <c r="E691" s="20" t="s">
        <v>1407</v>
      </c>
      <c r="F691" s="20"/>
      <c r="G691" s="27">
        <f>G692</f>
        <v>1400</v>
      </c>
      <c r="H691" s="27">
        <f>H692</f>
        <v>360</v>
      </c>
      <c r="I691" s="381">
        <f t="shared" si="60"/>
        <v>25.714285714285712</v>
      </c>
    </row>
    <row r="692" spans="1:9" s="203" customFormat="1" ht="36" customHeight="1" x14ac:dyDescent="0.25">
      <c r="A692" s="25" t="s">
        <v>279</v>
      </c>
      <c r="B692" s="16">
        <v>906</v>
      </c>
      <c r="C692" s="20" t="s">
        <v>271</v>
      </c>
      <c r="D692" s="20" t="s">
        <v>222</v>
      </c>
      <c r="E692" s="20" t="s">
        <v>1407</v>
      </c>
      <c r="F692" s="20" t="s">
        <v>280</v>
      </c>
      <c r="G692" s="27">
        <f>G693</f>
        <v>1400</v>
      </c>
      <c r="H692" s="27">
        <f>H693</f>
        <v>360</v>
      </c>
      <c r="I692" s="381">
        <f t="shared" si="60"/>
        <v>25.714285714285712</v>
      </c>
    </row>
    <row r="693" spans="1:9" s="203" customFormat="1" ht="23.1" customHeight="1" x14ac:dyDescent="0.25">
      <c r="A693" s="25" t="s">
        <v>281</v>
      </c>
      <c r="B693" s="16">
        <v>906</v>
      </c>
      <c r="C693" s="20" t="s">
        <v>271</v>
      </c>
      <c r="D693" s="20" t="s">
        <v>222</v>
      </c>
      <c r="E693" s="20" t="s">
        <v>1407</v>
      </c>
      <c r="F693" s="20" t="s">
        <v>282</v>
      </c>
      <c r="G693" s="27">
        <v>1400</v>
      </c>
      <c r="H693" s="27">
        <v>360</v>
      </c>
      <c r="I693" s="381">
        <f t="shared" si="60"/>
        <v>25.714285714285712</v>
      </c>
    </row>
    <row r="694" spans="1:9" s="203" customFormat="1" ht="60.75" customHeight="1" x14ac:dyDescent="0.25">
      <c r="A694" s="31" t="s">
        <v>296</v>
      </c>
      <c r="B694" s="16">
        <v>906</v>
      </c>
      <c r="C694" s="20" t="s">
        <v>271</v>
      </c>
      <c r="D694" s="20" t="s">
        <v>222</v>
      </c>
      <c r="E694" s="20" t="s">
        <v>1248</v>
      </c>
      <c r="F694" s="20"/>
      <c r="G694" s="27">
        <f>G695</f>
        <v>179</v>
      </c>
      <c r="H694" s="27">
        <f>H695</f>
        <v>45</v>
      </c>
      <c r="I694" s="381">
        <f t="shared" si="60"/>
        <v>25.139664804469277</v>
      </c>
    </row>
    <row r="695" spans="1:9" s="203" customFormat="1" ht="31.5" x14ac:dyDescent="0.25">
      <c r="A695" s="25" t="s">
        <v>279</v>
      </c>
      <c r="B695" s="16">
        <v>906</v>
      </c>
      <c r="C695" s="20" t="s">
        <v>271</v>
      </c>
      <c r="D695" s="20" t="s">
        <v>222</v>
      </c>
      <c r="E695" s="20" t="s">
        <v>1248</v>
      </c>
      <c r="F695" s="20" t="s">
        <v>280</v>
      </c>
      <c r="G695" s="27">
        <f>G696</f>
        <v>179</v>
      </c>
      <c r="H695" s="27">
        <f>H696</f>
        <v>45</v>
      </c>
      <c r="I695" s="381">
        <f t="shared" si="60"/>
        <v>25.139664804469277</v>
      </c>
    </row>
    <row r="696" spans="1:9" s="203" customFormat="1" ht="15.75" x14ac:dyDescent="0.25">
      <c r="A696" s="25" t="s">
        <v>281</v>
      </c>
      <c r="B696" s="16">
        <v>906</v>
      </c>
      <c r="C696" s="20" t="s">
        <v>271</v>
      </c>
      <c r="D696" s="20" t="s">
        <v>222</v>
      </c>
      <c r="E696" s="20" t="s">
        <v>1248</v>
      </c>
      <c r="F696" s="20" t="s">
        <v>282</v>
      </c>
      <c r="G696" s="27">
        <v>179</v>
      </c>
      <c r="H696" s="27">
        <v>45</v>
      </c>
      <c r="I696" s="381">
        <f t="shared" si="60"/>
        <v>25.139664804469277</v>
      </c>
    </row>
    <row r="697" spans="1:9" s="203" customFormat="1" ht="63" x14ac:dyDescent="0.25">
      <c r="A697" s="31" t="s">
        <v>298</v>
      </c>
      <c r="B697" s="16">
        <v>906</v>
      </c>
      <c r="C697" s="20" t="s">
        <v>271</v>
      </c>
      <c r="D697" s="20" t="s">
        <v>222</v>
      </c>
      <c r="E697" s="20" t="s">
        <v>1249</v>
      </c>
      <c r="F697" s="20"/>
      <c r="G697" s="27">
        <f>G698</f>
        <v>549.5</v>
      </c>
      <c r="H697" s="27">
        <f>H698</f>
        <v>175.2</v>
      </c>
      <c r="I697" s="381">
        <f t="shared" si="60"/>
        <v>31.883530482256596</v>
      </c>
    </row>
    <row r="698" spans="1:9" s="203" customFormat="1" ht="31.5" x14ac:dyDescent="0.25">
      <c r="A698" s="25" t="s">
        <v>279</v>
      </c>
      <c r="B698" s="16">
        <v>906</v>
      </c>
      <c r="C698" s="20" t="s">
        <v>271</v>
      </c>
      <c r="D698" s="20" t="s">
        <v>222</v>
      </c>
      <c r="E698" s="20" t="s">
        <v>1249</v>
      </c>
      <c r="F698" s="20" t="s">
        <v>280</v>
      </c>
      <c r="G698" s="27">
        <f>G699</f>
        <v>549.5</v>
      </c>
      <c r="H698" s="27">
        <f>H699</f>
        <v>175.2</v>
      </c>
      <c r="I698" s="381">
        <f t="shared" si="60"/>
        <v>31.883530482256596</v>
      </c>
    </row>
    <row r="699" spans="1:9" s="203" customFormat="1" ht="15.75" x14ac:dyDescent="0.25">
      <c r="A699" s="25" t="s">
        <v>281</v>
      </c>
      <c r="B699" s="16">
        <v>906</v>
      </c>
      <c r="C699" s="20" t="s">
        <v>271</v>
      </c>
      <c r="D699" s="20" t="s">
        <v>222</v>
      </c>
      <c r="E699" s="20" t="s">
        <v>1249</v>
      </c>
      <c r="F699" s="20" t="s">
        <v>282</v>
      </c>
      <c r="G699" s="27">
        <f>549.46+0.04</f>
        <v>549.5</v>
      </c>
      <c r="H699" s="27">
        <v>175.2</v>
      </c>
      <c r="I699" s="381">
        <f t="shared" si="60"/>
        <v>31.883530482256596</v>
      </c>
    </row>
    <row r="700" spans="1:9" s="203" customFormat="1" ht="30.75" hidden="1" customHeight="1" x14ac:dyDescent="0.25">
      <c r="A700" s="23" t="s">
        <v>1307</v>
      </c>
      <c r="B700" s="19">
        <v>906</v>
      </c>
      <c r="C700" s="24" t="s">
        <v>271</v>
      </c>
      <c r="D700" s="24" t="s">
        <v>222</v>
      </c>
      <c r="E700" s="24" t="s">
        <v>1252</v>
      </c>
      <c r="F700" s="24"/>
      <c r="G700" s="44">
        <f t="shared" ref="G700:H702" si="67">G701</f>
        <v>0</v>
      </c>
      <c r="H700" s="44">
        <f t="shared" si="67"/>
        <v>0</v>
      </c>
      <c r="I700" s="381" t="e">
        <f t="shared" si="60"/>
        <v>#DIV/0!</v>
      </c>
    </row>
    <row r="701" spans="1:9" ht="31.5" hidden="1" x14ac:dyDescent="0.25">
      <c r="A701" s="45" t="s">
        <v>776</v>
      </c>
      <c r="B701" s="16">
        <v>906</v>
      </c>
      <c r="C701" s="20" t="s">
        <v>271</v>
      </c>
      <c r="D701" s="20" t="s">
        <v>222</v>
      </c>
      <c r="E701" s="20" t="s">
        <v>1344</v>
      </c>
      <c r="F701" s="20"/>
      <c r="G701" s="27">
        <f t="shared" si="67"/>
        <v>0</v>
      </c>
      <c r="H701" s="27">
        <f t="shared" si="67"/>
        <v>0</v>
      </c>
      <c r="I701" s="381" t="e">
        <f t="shared" si="60"/>
        <v>#DIV/0!</v>
      </c>
    </row>
    <row r="702" spans="1:9" ht="31.5" hidden="1" x14ac:dyDescent="0.25">
      <c r="A702" s="31" t="s">
        <v>279</v>
      </c>
      <c r="B702" s="16">
        <v>906</v>
      </c>
      <c r="C702" s="20" t="s">
        <v>271</v>
      </c>
      <c r="D702" s="20" t="s">
        <v>222</v>
      </c>
      <c r="E702" s="20" t="s">
        <v>1344</v>
      </c>
      <c r="F702" s="20" t="s">
        <v>280</v>
      </c>
      <c r="G702" s="27">
        <f t="shared" si="67"/>
        <v>0</v>
      </c>
      <c r="H702" s="27">
        <f t="shared" si="67"/>
        <v>0</v>
      </c>
      <c r="I702" s="381" t="e">
        <f t="shared" si="60"/>
        <v>#DIV/0!</v>
      </c>
    </row>
    <row r="703" spans="1:9" ht="15.75" hidden="1" x14ac:dyDescent="0.25">
      <c r="A703" s="31" t="s">
        <v>281</v>
      </c>
      <c r="B703" s="16">
        <v>906</v>
      </c>
      <c r="C703" s="20" t="s">
        <v>271</v>
      </c>
      <c r="D703" s="20" t="s">
        <v>222</v>
      </c>
      <c r="E703" s="20" t="s">
        <v>1344</v>
      </c>
      <c r="F703" s="20" t="s">
        <v>282</v>
      </c>
      <c r="G703" s="27">
        <v>0</v>
      </c>
      <c r="H703" s="27">
        <v>0</v>
      </c>
      <c r="I703" s="381" t="e">
        <f t="shared" si="60"/>
        <v>#DIV/0!</v>
      </c>
    </row>
    <row r="704" spans="1:9" s="203" customFormat="1" ht="31.5" x14ac:dyDescent="0.25">
      <c r="A704" s="214" t="s">
        <v>958</v>
      </c>
      <c r="B704" s="19">
        <v>906</v>
      </c>
      <c r="C704" s="24" t="s">
        <v>271</v>
      </c>
      <c r="D704" s="24" t="s">
        <v>222</v>
      </c>
      <c r="E704" s="24" t="s">
        <v>1255</v>
      </c>
      <c r="F704" s="24"/>
      <c r="G704" s="44">
        <f t="shared" ref="G704:H706" si="68">G705</f>
        <v>1400</v>
      </c>
      <c r="H704" s="44">
        <f t="shared" si="68"/>
        <v>1400</v>
      </c>
      <c r="I704" s="437">
        <f t="shared" si="60"/>
        <v>100</v>
      </c>
    </row>
    <row r="705" spans="1:9" ht="37.5" customHeight="1" x14ac:dyDescent="0.25">
      <c r="A705" s="45" t="s">
        <v>774</v>
      </c>
      <c r="B705" s="16">
        <v>906</v>
      </c>
      <c r="C705" s="20" t="s">
        <v>271</v>
      </c>
      <c r="D705" s="20" t="s">
        <v>222</v>
      </c>
      <c r="E705" s="20" t="s">
        <v>1256</v>
      </c>
      <c r="F705" s="20"/>
      <c r="G705" s="27">
        <f t="shared" si="68"/>
        <v>1400</v>
      </c>
      <c r="H705" s="27">
        <f t="shared" si="68"/>
        <v>1400</v>
      </c>
      <c r="I705" s="381">
        <f t="shared" si="60"/>
        <v>100</v>
      </c>
    </row>
    <row r="706" spans="1:9" ht="32.25" customHeight="1" x14ac:dyDescent="0.25">
      <c r="A706" s="25" t="s">
        <v>279</v>
      </c>
      <c r="B706" s="16">
        <v>906</v>
      </c>
      <c r="C706" s="20" t="s">
        <v>271</v>
      </c>
      <c r="D706" s="20" t="s">
        <v>222</v>
      </c>
      <c r="E706" s="20" t="s">
        <v>1256</v>
      </c>
      <c r="F706" s="20" t="s">
        <v>280</v>
      </c>
      <c r="G706" s="27">
        <f t="shared" si="68"/>
        <v>1400</v>
      </c>
      <c r="H706" s="27">
        <f t="shared" si="68"/>
        <v>1400</v>
      </c>
      <c r="I706" s="381">
        <f t="shared" si="60"/>
        <v>100</v>
      </c>
    </row>
    <row r="707" spans="1:9" ht="15.75" x14ac:dyDescent="0.25">
      <c r="A707" s="31" t="s">
        <v>281</v>
      </c>
      <c r="B707" s="16">
        <v>906</v>
      </c>
      <c r="C707" s="20" t="s">
        <v>271</v>
      </c>
      <c r="D707" s="20" t="s">
        <v>222</v>
      </c>
      <c r="E707" s="20" t="s">
        <v>1256</v>
      </c>
      <c r="F707" s="20" t="s">
        <v>282</v>
      </c>
      <c r="G707" s="27">
        <f>1564-164</f>
        <v>1400</v>
      </c>
      <c r="H707" s="27">
        <v>1400</v>
      </c>
      <c r="I707" s="381">
        <f t="shared" si="60"/>
        <v>100</v>
      </c>
    </row>
    <row r="708" spans="1:9" ht="54.75" customHeight="1" x14ac:dyDescent="0.25">
      <c r="A708" s="41" t="s">
        <v>1358</v>
      </c>
      <c r="B708" s="19">
        <v>906</v>
      </c>
      <c r="C708" s="24" t="s">
        <v>271</v>
      </c>
      <c r="D708" s="24" t="s">
        <v>222</v>
      </c>
      <c r="E708" s="24" t="s">
        <v>715</v>
      </c>
      <c r="F708" s="217"/>
      <c r="G708" s="44">
        <f>G710</f>
        <v>291.10000000000002</v>
      </c>
      <c r="H708" s="44">
        <f>H710</f>
        <v>50.911999999999999</v>
      </c>
      <c r="I708" s="437">
        <f t="shared" si="60"/>
        <v>17.489522500858808</v>
      </c>
    </row>
    <row r="709" spans="1:9" s="203" customFormat="1" ht="54.75" customHeight="1" x14ac:dyDescent="0.25">
      <c r="A709" s="41" t="s">
        <v>900</v>
      </c>
      <c r="B709" s="19">
        <v>906</v>
      </c>
      <c r="C709" s="24" t="s">
        <v>271</v>
      </c>
      <c r="D709" s="24" t="s">
        <v>952</v>
      </c>
      <c r="E709" s="24" t="s">
        <v>898</v>
      </c>
      <c r="F709" s="217"/>
      <c r="G709" s="44">
        <f t="shared" ref="G709:H711" si="69">G710</f>
        <v>291.10000000000002</v>
      </c>
      <c r="H709" s="44">
        <f t="shared" si="69"/>
        <v>50.911999999999999</v>
      </c>
      <c r="I709" s="437">
        <f t="shared" si="60"/>
        <v>17.489522500858808</v>
      </c>
    </row>
    <row r="710" spans="1:9" ht="38.25" customHeight="1" x14ac:dyDescent="0.25">
      <c r="A710" s="98" t="s">
        <v>790</v>
      </c>
      <c r="B710" s="16">
        <v>906</v>
      </c>
      <c r="C710" s="20" t="s">
        <v>271</v>
      </c>
      <c r="D710" s="20" t="s">
        <v>222</v>
      </c>
      <c r="E710" s="20" t="s">
        <v>946</v>
      </c>
      <c r="F710" s="32"/>
      <c r="G710" s="27">
        <f t="shared" si="69"/>
        <v>291.10000000000002</v>
      </c>
      <c r="H710" s="27">
        <f t="shared" si="69"/>
        <v>50.911999999999999</v>
      </c>
      <c r="I710" s="381">
        <f t="shared" si="60"/>
        <v>17.489522500858808</v>
      </c>
    </row>
    <row r="711" spans="1:9" ht="34.5" customHeight="1" x14ac:dyDescent="0.25">
      <c r="A711" s="29" t="s">
        <v>279</v>
      </c>
      <c r="B711" s="16">
        <v>906</v>
      </c>
      <c r="C711" s="20" t="s">
        <v>271</v>
      </c>
      <c r="D711" s="20" t="s">
        <v>222</v>
      </c>
      <c r="E711" s="20" t="s">
        <v>946</v>
      </c>
      <c r="F711" s="32" t="s">
        <v>280</v>
      </c>
      <c r="G711" s="27">
        <f t="shared" si="69"/>
        <v>291.10000000000002</v>
      </c>
      <c r="H711" s="27">
        <f t="shared" si="69"/>
        <v>50.911999999999999</v>
      </c>
      <c r="I711" s="381">
        <f t="shared" si="60"/>
        <v>17.489522500858808</v>
      </c>
    </row>
    <row r="712" spans="1:9" ht="15.75" x14ac:dyDescent="0.25">
      <c r="A712" s="184" t="s">
        <v>281</v>
      </c>
      <c r="B712" s="16">
        <v>906</v>
      </c>
      <c r="C712" s="20" t="s">
        <v>271</v>
      </c>
      <c r="D712" s="20" t="s">
        <v>222</v>
      </c>
      <c r="E712" s="20" t="s">
        <v>946</v>
      </c>
      <c r="F712" s="32" t="s">
        <v>282</v>
      </c>
      <c r="G712" s="27">
        <v>291.10000000000002</v>
      </c>
      <c r="H712" s="27">
        <v>50.911999999999999</v>
      </c>
      <c r="I712" s="381">
        <f t="shared" si="60"/>
        <v>17.489522500858808</v>
      </c>
    </row>
    <row r="713" spans="1:9" ht="21.2" customHeight="1" x14ac:dyDescent="0.25">
      <c r="A713" s="23" t="s">
        <v>473</v>
      </c>
      <c r="B713" s="19">
        <v>906</v>
      </c>
      <c r="C713" s="24" t="s">
        <v>271</v>
      </c>
      <c r="D713" s="24" t="s">
        <v>271</v>
      </c>
      <c r="E713" s="24"/>
      <c r="F713" s="24"/>
      <c r="G713" s="21">
        <f t="shared" ref="G713:H715" si="70">G714</f>
        <v>5561.1</v>
      </c>
      <c r="H713" s="21">
        <f t="shared" si="70"/>
        <v>0</v>
      </c>
      <c r="I713" s="437">
        <f t="shared" si="60"/>
        <v>0</v>
      </c>
    </row>
    <row r="714" spans="1:9" ht="31.5" x14ac:dyDescent="0.25">
      <c r="A714" s="23" t="s">
        <v>1375</v>
      </c>
      <c r="B714" s="19">
        <v>906</v>
      </c>
      <c r="C714" s="24" t="s">
        <v>271</v>
      </c>
      <c r="D714" s="24" t="s">
        <v>271</v>
      </c>
      <c r="E714" s="24" t="s">
        <v>413</v>
      </c>
      <c r="F714" s="24"/>
      <c r="G714" s="21">
        <f t="shared" si="70"/>
        <v>5561.1</v>
      </c>
      <c r="H714" s="21">
        <f t="shared" si="70"/>
        <v>0</v>
      </c>
      <c r="I714" s="437">
        <f t="shared" si="60"/>
        <v>0</v>
      </c>
    </row>
    <row r="715" spans="1:9" s="203" customFormat="1" ht="31.5" x14ac:dyDescent="0.25">
      <c r="A715" s="23" t="s">
        <v>953</v>
      </c>
      <c r="B715" s="19">
        <v>906</v>
      </c>
      <c r="C715" s="24" t="s">
        <v>271</v>
      </c>
      <c r="D715" s="24" t="s">
        <v>271</v>
      </c>
      <c r="E715" s="24" t="s">
        <v>1254</v>
      </c>
      <c r="F715" s="24"/>
      <c r="G715" s="21">
        <f t="shared" si="70"/>
        <v>5561.1</v>
      </c>
      <c r="H715" s="21">
        <f t="shared" si="70"/>
        <v>0</v>
      </c>
      <c r="I715" s="437">
        <f t="shared" ref="I715:I778" si="71">H715/G715*100</f>
        <v>0</v>
      </c>
    </row>
    <row r="716" spans="1:9" ht="31.5" x14ac:dyDescent="0.25">
      <c r="A716" s="31" t="s">
        <v>1070</v>
      </c>
      <c r="B716" s="16">
        <v>906</v>
      </c>
      <c r="C716" s="20" t="s">
        <v>271</v>
      </c>
      <c r="D716" s="20" t="s">
        <v>271</v>
      </c>
      <c r="E716" s="20" t="s">
        <v>1276</v>
      </c>
      <c r="F716" s="20"/>
      <c r="G716" s="26">
        <f t="shared" ref="G716:H717" si="72">G717</f>
        <v>5561.1</v>
      </c>
      <c r="H716" s="26">
        <f t="shared" si="72"/>
        <v>0</v>
      </c>
      <c r="I716" s="381">
        <f t="shared" si="71"/>
        <v>0</v>
      </c>
    </row>
    <row r="717" spans="1:9" ht="36" customHeight="1" x14ac:dyDescent="0.25">
      <c r="A717" s="25" t="s">
        <v>279</v>
      </c>
      <c r="B717" s="16">
        <v>906</v>
      </c>
      <c r="C717" s="20" t="s">
        <v>271</v>
      </c>
      <c r="D717" s="20" t="s">
        <v>271</v>
      </c>
      <c r="E717" s="20" t="s">
        <v>1276</v>
      </c>
      <c r="F717" s="20" t="s">
        <v>280</v>
      </c>
      <c r="G717" s="26">
        <f t="shared" si="72"/>
        <v>5561.1</v>
      </c>
      <c r="H717" s="26">
        <f t="shared" si="72"/>
        <v>0</v>
      </c>
      <c r="I717" s="381">
        <f t="shared" si="71"/>
        <v>0</v>
      </c>
    </row>
    <row r="718" spans="1:9" ht="15.75" x14ac:dyDescent="0.25">
      <c r="A718" s="25" t="s">
        <v>281</v>
      </c>
      <c r="B718" s="16">
        <v>906</v>
      </c>
      <c r="C718" s="20" t="s">
        <v>271</v>
      </c>
      <c r="D718" s="20" t="s">
        <v>271</v>
      </c>
      <c r="E718" s="20" t="s">
        <v>1276</v>
      </c>
      <c r="F718" s="20" t="s">
        <v>282</v>
      </c>
      <c r="G718" s="27">
        <f>3485+99-184+2161.1</f>
        <v>5561.1</v>
      </c>
      <c r="H718" s="27">
        <v>0</v>
      </c>
      <c r="I718" s="381">
        <f t="shared" si="71"/>
        <v>0</v>
      </c>
    </row>
    <row r="719" spans="1:9" ht="15.75" x14ac:dyDescent="0.25">
      <c r="A719" s="23" t="s">
        <v>302</v>
      </c>
      <c r="B719" s="19">
        <v>906</v>
      </c>
      <c r="C719" s="24" t="s">
        <v>271</v>
      </c>
      <c r="D719" s="24" t="s">
        <v>226</v>
      </c>
      <c r="E719" s="24"/>
      <c r="F719" s="24"/>
      <c r="G719" s="21">
        <f>G720+G730</f>
        <v>19831.8</v>
      </c>
      <c r="H719" s="21">
        <f>H720+H730</f>
        <v>4337.9649999999992</v>
      </c>
      <c r="I719" s="437">
        <f t="shared" si="71"/>
        <v>21.873783519398135</v>
      </c>
    </row>
    <row r="720" spans="1:9" ht="31.5" x14ac:dyDescent="0.25">
      <c r="A720" s="23" t="s">
        <v>927</v>
      </c>
      <c r="B720" s="19">
        <v>906</v>
      </c>
      <c r="C720" s="24" t="s">
        <v>271</v>
      </c>
      <c r="D720" s="24" t="s">
        <v>226</v>
      </c>
      <c r="E720" s="24" t="s">
        <v>868</v>
      </c>
      <c r="F720" s="24"/>
      <c r="G720" s="21">
        <f>G721</f>
        <v>6048.7</v>
      </c>
      <c r="H720" s="21">
        <f>H721</f>
        <v>1314.7039999999997</v>
      </c>
      <c r="I720" s="437">
        <f t="shared" si="71"/>
        <v>21.7353150263693</v>
      </c>
    </row>
    <row r="721" spans="1:9" ht="15.75" x14ac:dyDescent="0.25">
      <c r="A721" s="23" t="s">
        <v>928</v>
      </c>
      <c r="B721" s="19">
        <v>906</v>
      </c>
      <c r="C721" s="24" t="s">
        <v>271</v>
      </c>
      <c r="D721" s="24" t="s">
        <v>226</v>
      </c>
      <c r="E721" s="24" t="s">
        <v>869</v>
      </c>
      <c r="F721" s="24"/>
      <c r="G721" s="21">
        <f>G722+G727</f>
        <v>6048.7</v>
      </c>
      <c r="H721" s="21">
        <f>H722+H727</f>
        <v>1314.7039999999997</v>
      </c>
      <c r="I721" s="437">
        <f t="shared" si="71"/>
        <v>21.7353150263693</v>
      </c>
    </row>
    <row r="722" spans="1:9" ht="34.700000000000003" customHeight="1" x14ac:dyDescent="0.25">
      <c r="A722" s="25" t="s">
        <v>907</v>
      </c>
      <c r="B722" s="16">
        <v>906</v>
      </c>
      <c r="C722" s="20" t="s">
        <v>271</v>
      </c>
      <c r="D722" s="20" t="s">
        <v>226</v>
      </c>
      <c r="E722" s="20" t="s">
        <v>870</v>
      </c>
      <c r="F722" s="20"/>
      <c r="G722" s="26">
        <f>G723+G725</f>
        <v>5922.7</v>
      </c>
      <c r="H722" s="26">
        <f>H723+H725</f>
        <v>1223.8339999999998</v>
      </c>
      <c r="I722" s="381">
        <f t="shared" si="71"/>
        <v>20.663447414186095</v>
      </c>
    </row>
    <row r="723" spans="1:9" ht="72" customHeight="1" x14ac:dyDescent="0.25">
      <c r="A723" s="25" t="s">
        <v>134</v>
      </c>
      <c r="B723" s="16">
        <v>906</v>
      </c>
      <c r="C723" s="20" t="s">
        <v>271</v>
      </c>
      <c r="D723" s="20" t="s">
        <v>226</v>
      </c>
      <c r="E723" s="20" t="s">
        <v>870</v>
      </c>
      <c r="F723" s="20" t="s">
        <v>135</v>
      </c>
      <c r="G723" s="26">
        <f>G724</f>
        <v>5710.7</v>
      </c>
      <c r="H723" s="26">
        <f>H724</f>
        <v>1192.8589999999999</v>
      </c>
      <c r="I723" s="381">
        <f t="shared" si="71"/>
        <v>20.888139807729349</v>
      </c>
    </row>
    <row r="724" spans="1:9" ht="31.5" x14ac:dyDescent="0.25">
      <c r="A724" s="25" t="s">
        <v>136</v>
      </c>
      <c r="B724" s="16">
        <v>906</v>
      </c>
      <c r="C724" s="20" t="s">
        <v>271</v>
      </c>
      <c r="D724" s="20" t="s">
        <v>226</v>
      </c>
      <c r="E724" s="20" t="s">
        <v>870</v>
      </c>
      <c r="F724" s="20" t="s">
        <v>137</v>
      </c>
      <c r="G724" s="27">
        <v>5710.7</v>
      </c>
      <c r="H724" s="27">
        <v>1192.8589999999999</v>
      </c>
      <c r="I724" s="381">
        <f t="shared" si="71"/>
        <v>20.888139807729349</v>
      </c>
    </row>
    <row r="725" spans="1:9" ht="31.5" x14ac:dyDescent="0.25">
      <c r="A725" s="25" t="s">
        <v>138</v>
      </c>
      <c r="B725" s="16">
        <v>906</v>
      </c>
      <c r="C725" s="20" t="s">
        <v>271</v>
      </c>
      <c r="D725" s="20" t="s">
        <v>226</v>
      </c>
      <c r="E725" s="20" t="s">
        <v>870</v>
      </c>
      <c r="F725" s="20" t="s">
        <v>139</v>
      </c>
      <c r="G725" s="26">
        <f>G726</f>
        <v>212</v>
      </c>
      <c r="H725" s="26">
        <f>H726</f>
        <v>30.975000000000001</v>
      </c>
      <c r="I725" s="381">
        <f t="shared" si="71"/>
        <v>14.610849056603776</v>
      </c>
    </row>
    <row r="726" spans="1:9" ht="31.5" x14ac:dyDescent="0.25">
      <c r="A726" s="25" t="s">
        <v>140</v>
      </c>
      <c r="B726" s="16">
        <v>906</v>
      </c>
      <c r="C726" s="20" t="s">
        <v>271</v>
      </c>
      <c r="D726" s="20" t="s">
        <v>226</v>
      </c>
      <c r="E726" s="20" t="s">
        <v>870</v>
      </c>
      <c r="F726" s="20" t="s">
        <v>141</v>
      </c>
      <c r="G726" s="26">
        <v>212</v>
      </c>
      <c r="H726" s="26">
        <v>30.975000000000001</v>
      </c>
      <c r="I726" s="381">
        <f t="shared" si="71"/>
        <v>14.610849056603776</v>
      </c>
    </row>
    <row r="727" spans="1:9" s="203" customFormat="1" ht="31.5" x14ac:dyDescent="0.25">
      <c r="A727" s="25" t="s">
        <v>849</v>
      </c>
      <c r="B727" s="16">
        <v>906</v>
      </c>
      <c r="C727" s="20" t="s">
        <v>271</v>
      </c>
      <c r="D727" s="20" t="s">
        <v>226</v>
      </c>
      <c r="E727" s="20" t="s">
        <v>872</v>
      </c>
      <c r="F727" s="20"/>
      <c r="G727" s="26">
        <f>G728</f>
        <v>126</v>
      </c>
      <c r="H727" s="26">
        <f>H728</f>
        <v>90.87</v>
      </c>
      <c r="I727" s="381">
        <f t="shared" si="71"/>
        <v>72.11904761904762</v>
      </c>
    </row>
    <row r="728" spans="1:9" s="203" customFormat="1" ht="63" x14ac:dyDescent="0.25">
      <c r="A728" s="25" t="s">
        <v>134</v>
      </c>
      <c r="B728" s="16">
        <v>906</v>
      </c>
      <c r="C728" s="20" t="s">
        <v>271</v>
      </c>
      <c r="D728" s="20" t="s">
        <v>226</v>
      </c>
      <c r="E728" s="20" t="s">
        <v>872</v>
      </c>
      <c r="F728" s="20" t="s">
        <v>135</v>
      </c>
      <c r="G728" s="26">
        <f>G729</f>
        <v>126</v>
      </c>
      <c r="H728" s="26">
        <f>H729</f>
        <v>90.87</v>
      </c>
      <c r="I728" s="381">
        <f t="shared" si="71"/>
        <v>72.11904761904762</v>
      </c>
    </row>
    <row r="729" spans="1:9" s="203" customFormat="1" ht="31.5" x14ac:dyDescent="0.25">
      <c r="A729" s="25" t="s">
        <v>136</v>
      </c>
      <c r="B729" s="16">
        <v>906</v>
      </c>
      <c r="C729" s="20" t="s">
        <v>271</v>
      </c>
      <c r="D729" s="20" t="s">
        <v>226</v>
      </c>
      <c r="E729" s="20" t="s">
        <v>872</v>
      </c>
      <c r="F729" s="20" t="s">
        <v>137</v>
      </c>
      <c r="G729" s="26">
        <v>126</v>
      </c>
      <c r="H729" s="26">
        <v>90.87</v>
      </c>
      <c r="I729" s="381">
        <f t="shared" si="71"/>
        <v>72.11904761904762</v>
      </c>
    </row>
    <row r="730" spans="1:9" ht="15.75" x14ac:dyDescent="0.25">
      <c r="A730" s="23" t="s">
        <v>148</v>
      </c>
      <c r="B730" s="19">
        <v>906</v>
      </c>
      <c r="C730" s="24" t="s">
        <v>271</v>
      </c>
      <c r="D730" s="24" t="s">
        <v>226</v>
      </c>
      <c r="E730" s="24" t="s">
        <v>876</v>
      </c>
      <c r="F730" s="24"/>
      <c r="G730" s="21">
        <f>G731+G735</f>
        <v>13783.1</v>
      </c>
      <c r="H730" s="21">
        <f>H731+H735</f>
        <v>3023.2609999999995</v>
      </c>
      <c r="I730" s="437">
        <f t="shared" si="71"/>
        <v>21.934550282592447</v>
      </c>
    </row>
    <row r="731" spans="1:9" s="203" customFormat="1" ht="31.5" x14ac:dyDescent="0.25">
      <c r="A731" s="23" t="s">
        <v>880</v>
      </c>
      <c r="B731" s="19">
        <v>906</v>
      </c>
      <c r="C731" s="24" t="s">
        <v>271</v>
      </c>
      <c r="D731" s="24" t="s">
        <v>226</v>
      </c>
      <c r="E731" s="24" t="s">
        <v>875</v>
      </c>
      <c r="F731" s="24"/>
      <c r="G731" s="21">
        <f t="shared" ref="G731:H733" si="73">G732</f>
        <v>300</v>
      </c>
      <c r="H731" s="21">
        <f t="shared" si="73"/>
        <v>16.91</v>
      </c>
      <c r="I731" s="437">
        <f t="shared" si="71"/>
        <v>5.6366666666666667</v>
      </c>
    </row>
    <row r="732" spans="1:9" ht="15.75" x14ac:dyDescent="0.25">
      <c r="A732" s="25" t="s">
        <v>485</v>
      </c>
      <c r="B732" s="16">
        <v>906</v>
      </c>
      <c r="C732" s="20" t="s">
        <v>271</v>
      </c>
      <c r="D732" s="20" t="s">
        <v>226</v>
      </c>
      <c r="E732" s="20" t="s">
        <v>954</v>
      </c>
      <c r="F732" s="20"/>
      <c r="G732" s="26">
        <f t="shared" si="73"/>
        <v>300</v>
      </c>
      <c r="H732" s="26">
        <f t="shared" si="73"/>
        <v>16.91</v>
      </c>
      <c r="I732" s="381">
        <f t="shared" si="71"/>
        <v>5.6366666666666667</v>
      </c>
    </row>
    <row r="733" spans="1:9" ht="31.5" x14ac:dyDescent="0.25">
      <c r="A733" s="25" t="s">
        <v>138</v>
      </c>
      <c r="B733" s="16">
        <v>906</v>
      </c>
      <c r="C733" s="20" t="s">
        <v>271</v>
      </c>
      <c r="D733" s="20" t="s">
        <v>226</v>
      </c>
      <c r="E733" s="20" t="s">
        <v>954</v>
      </c>
      <c r="F733" s="20" t="s">
        <v>139</v>
      </c>
      <c r="G733" s="26">
        <f t="shared" si="73"/>
        <v>300</v>
      </c>
      <c r="H733" s="26">
        <f t="shared" si="73"/>
        <v>16.91</v>
      </c>
      <c r="I733" s="381">
        <f t="shared" si="71"/>
        <v>5.6366666666666667</v>
      </c>
    </row>
    <row r="734" spans="1:9" ht="31.5" x14ac:dyDescent="0.25">
      <c r="A734" s="25" t="s">
        <v>140</v>
      </c>
      <c r="B734" s="16">
        <v>906</v>
      </c>
      <c r="C734" s="20" t="s">
        <v>271</v>
      </c>
      <c r="D734" s="20" t="s">
        <v>226</v>
      </c>
      <c r="E734" s="20" t="s">
        <v>954</v>
      </c>
      <c r="F734" s="20" t="s">
        <v>141</v>
      </c>
      <c r="G734" s="26">
        <f>600-300</f>
        <v>300</v>
      </c>
      <c r="H734" s="26">
        <v>16.91</v>
      </c>
      <c r="I734" s="381">
        <f t="shared" si="71"/>
        <v>5.6366666666666667</v>
      </c>
    </row>
    <row r="735" spans="1:9" s="203" customFormat="1" ht="31.5" x14ac:dyDescent="0.25">
      <c r="A735" s="23" t="s">
        <v>939</v>
      </c>
      <c r="B735" s="19">
        <v>906</v>
      </c>
      <c r="C735" s="24" t="s">
        <v>271</v>
      </c>
      <c r="D735" s="24" t="s">
        <v>226</v>
      </c>
      <c r="E735" s="24" t="s">
        <v>924</v>
      </c>
      <c r="F735" s="24"/>
      <c r="G735" s="21">
        <f>G736+G743</f>
        <v>13483.1</v>
      </c>
      <c r="H735" s="21">
        <f>H736+H743</f>
        <v>3006.3509999999997</v>
      </c>
      <c r="I735" s="437">
        <f t="shared" si="71"/>
        <v>22.297179432029722</v>
      </c>
    </row>
    <row r="736" spans="1:9" ht="31.5" x14ac:dyDescent="0.25">
      <c r="A736" s="25" t="s">
        <v>1094</v>
      </c>
      <c r="B736" s="16">
        <v>906</v>
      </c>
      <c r="C736" s="20" t="s">
        <v>271</v>
      </c>
      <c r="D736" s="20" t="s">
        <v>226</v>
      </c>
      <c r="E736" s="20" t="s">
        <v>925</v>
      </c>
      <c r="F736" s="20"/>
      <c r="G736" s="26">
        <f>G737+G739+G741</f>
        <v>12977.1</v>
      </c>
      <c r="H736" s="26">
        <f>H737+H739+H741</f>
        <v>2741.5639999999999</v>
      </c>
      <c r="I736" s="381">
        <f t="shared" si="71"/>
        <v>21.126168404343034</v>
      </c>
    </row>
    <row r="737" spans="1:10" ht="61.5" customHeight="1" x14ac:dyDescent="0.25">
      <c r="A737" s="25" t="s">
        <v>134</v>
      </c>
      <c r="B737" s="16">
        <v>906</v>
      </c>
      <c r="C737" s="20" t="s">
        <v>271</v>
      </c>
      <c r="D737" s="20" t="s">
        <v>226</v>
      </c>
      <c r="E737" s="20" t="s">
        <v>925</v>
      </c>
      <c r="F737" s="20" t="s">
        <v>135</v>
      </c>
      <c r="G737" s="26">
        <f>G738</f>
        <v>11885.1</v>
      </c>
      <c r="H737" s="26">
        <f>H738</f>
        <v>2507.556</v>
      </c>
      <c r="I737" s="381">
        <f t="shared" si="71"/>
        <v>21.098316379332104</v>
      </c>
    </row>
    <row r="738" spans="1:10" ht="15.75" x14ac:dyDescent="0.25">
      <c r="A738" s="25" t="s">
        <v>349</v>
      </c>
      <c r="B738" s="16">
        <v>906</v>
      </c>
      <c r="C738" s="20" t="s">
        <v>271</v>
      </c>
      <c r="D738" s="20" t="s">
        <v>226</v>
      </c>
      <c r="E738" s="20" t="s">
        <v>925</v>
      </c>
      <c r="F738" s="20" t="s">
        <v>216</v>
      </c>
      <c r="G738" s="27">
        <f>11885.1</f>
        <v>11885.1</v>
      </c>
      <c r="H738" s="27">
        <v>2507.556</v>
      </c>
      <c r="I738" s="381">
        <f t="shared" si="71"/>
        <v>21.098316379332104</v>
      </c>
    </row>
    <row r="739" spans="1:10" ht="31.5" x14ac:dyDescent="0.25">
      <c r="A739" s="25" t="s">
        <v>138</v>
      </c>
      <c r="B739" s="16">
        <v>906</v>
      </c>
      <c r="C739" s="20" t="s">
        <v>271</v>
      </c>
      <c r="D739" s="20" t="s">
        <v>226</v>
      </c>
      <c r="E739" s="20" t="s">
        <v>925</v>
      </c>
      <c r="F739" s="20" t="s">
        <v>139</v>
      </c>
      <c r="G739" s="26">
        <f>G740</f>
        <v>1077</v>
      </c>
      <c r="H739" s="26">
        <f>H740</f>
        <v>234.00800000000001</v>
      </c>
      <c r="I739" s="381">
        <f t="shared" si="71"/>
        <v>21.727762302692668</v>
      </c>
    </row>
    <row r="740" spans="1:10" ht="33" customHeight="1" x14ac:dyDescent="0.25">
      <c r="A740" s="25" t="s">
        <v>140</v>
      </c>
      <c r="B740" s="16">
        <v>906</v>
      </c>
      <c r="C740" s="20" t="s">
        <v>271</v>
      </c>
      <c r="D740" s="20" t="s">
        <v>226</v>
      </c>
      <c r="E740" s="20" t="s">
        <v>925</v>
      </c>
      <c r="F740" s="20" t="s">
        <v>141</v>
      </c>
      <c r="G740" s="26">
        <v>1077</v>
      </c>
      <c r="H740" s="26">
        <v>234.00800000000001</v>
      </c>
      <c r="I740" s="381">
        <f t="shared" si="71"/>
        <v>21.727762302692668</v>
      </c>
    </row>
    <row r="741" spans="1:10" ht="15.75" x14ac:dyDescent="0.25">
      <c r="A741" s="25" t="s">
        <v>142</v>
      </c>
      <c r="B741" s="16">
        <v>906</v>
      </c>
      <c r="C741" s="20" t="s">
        <v>271</v>
      </c>
      <c r="D741" s="20" t="s">
        <v>226</v>
      </c>
      <c r="E741" s="20" t="s">
        <v>925</v>
      </c>
      <c r="F741" s="20" t="s">
        <v>152</v>
      </c>
      <c r="G741" s="26">
        <f>G742</f>
        <v>15</v>
      </c>
      <c r="H741" s="26">
        <f>H742</f>
        <v>0</v>
      </c>
      <c r="I741" s="381">
        <f t="shared" si="71"/>
        <v>0</v>
      </c>
    </row>
    <row r="742" spans="1:10" ht="15.75" x14ac:dyDescent="0.25">
      <c r="A742" s="25" t="s">
        <v>575</v>
      </c>
      <c r="B742" s="16">
        <v>906</v>
      </c>
      <c r="C742" s="20" t="s">
        <v>271</v>
      </c>
      <c r="D742" s="20" t="s">
        <v>226</v>
      </c>
      <c r="E742" s="20" t="s">
        <v>925</v>
      </c>
      <c r="F742" s="20" t="s">
        <v>145</v>
      </c>
      <c r="G742" s="26">
        <f>15.4-0.4</f>
        <v>15</v>
      </c>
      <c r="H742" s="26">
        <v>0</v>
      </c>
      <c r="I742" s="381">
        <f t="shared" si="71"/>
        <v>0</v>
      </c>
    </row>
    <row r="743" spans="1:10" s="203" customFormat="1" ht="31.5" x14ac:dyDescent="0.25">
      <c r="A743" s="25" t="s">
        <v>849</v>
      </c>
      <c r="B743" s="16">
        <v>906</v>
      </c>
      <c r="C743" s="20" t="s">
        <v>271</v>
      </c>
      <c r="D743" s="20" t="s">
        <v>226</v>
      </c>
      <c r="E743" s="20" t="s">
        <v>926</v>
      </c>
      <c r="F743" s="20"/>
      <c r="G743" s="26">
        <f>G744</f>
        <v>506</v>
      </c>
      <c r="H743" s="26">
        <f>H744</f>
        <v>264.78699999999998</v>
      </c>
      <c r="I743" s="381">
        <f t="shared" si="71"/>
        <v>52.329446640316199</v>
      </c>
    </row>
    <row r="744" spans="1:10" s="203" customFormat="1" ht="63" x14ac:dyDescent="0.25">
      <c r="A744" s="25" t="s">
        <v>134</v>
      </c>
      <c r="B744" s="16">
        <v>906</v>
      </c>
      <c r="C744" s="20" t="s">
        <v>271</v>
      </c>
      <c r="D744" s="20" t="s">
        <v>226</v>
      </c>
      <c r="E744" s="20" t="s">
        <v>926</v>
      </c>
      <c r="F744" s="20" t="s">
        <v>135</v>
      </c>
      <c r="G744" s="26">
        <f>G745</f>
        <v>506</v>
      </c>
      <c r="H744" s="26">
        <f>H745</f>
        <v>264.78699999999998</v>
      </c>
      <c r="I744" s="381">
        <f t="shared" si="71"/>
        <v>52.329446640316199</v>
      </c>
    </row>
    <row r="745" spans="1:10" s="203" customFormat="1" ht="15.75" x14ac:dyDescent="0.25">
      <c r="A745" s="25" t="s">
        <v>349</v>
      </c>
      <c r="B745" s="16">
        <v>906</v>
      </c>
      <c r="C745" s="20" t="s">
        <v>271</v>
      </c>
      <c r="D745" s="20" t="s">
        <v>226</v>
      </c>
      <c r="E745" s="20" t="s">
        <v>926</v>
      </c>
      <c r="F745" s="20" t="s">
        <v>216</v>
      </c>
      <c r="G745" s="26">
        <v>506</v>
      </c>
      <c r="H745" s="26">
        <v>264.78699999999998</v>
      </c>
      <c r="I745" s="381">
        <f t="shared" si="71"/>
        <v>52.329446640316199</v>
      </c>
    </row>
    <row r="746" spans="1:10" ht="36.75" customHeight="1" x14ac:dyDescent="0.25">
      <c r="A746" s="19" t="s">
        <v>487</v>
      </c>
      <c r="B746" s="19">
        <v>907</v>
      </c>
      <c r="C746" s="20"/>
      <c r="D746" s="20"/>
      <c r="E746" s="20"/>
      <c r="F746" s="20"/>
      <c r="G746" s="21">
        <f>G754+G747</f>
        <v>65495.430000000008</v>
      </c>
      <c r="H746" s="21">
        <f>H754+H747</f>
        <v>14864.333999999999</v>
      </c>
      <c r="I746" s="437">
        <f t="shared" si="71"/>
        <v>22.695223162898536</v>
      </c>
      <c r="J746" s="115"/>
    </row>
    <row r="747" spans="1:10" s="203" customFormat="1" ht="18.75" hidden="1" customHeight="1" x14ac:dyDescent="0.25">
      <c r="A747" s="23" t="s">
        <v>124</v>
      </c>
      <c r="B747" s="19">
        <v>907</v>
      </c>
      <c r="C747" s="24" t="s">
        <v>125</v>
      </c>
      <c r="D747" s="24"/>
      <c r="E747" s="24"/>
      <c r="F747" s="24"/>
      <c r="G747" s="21">
        <f t="shared" ref="G747:H748" si="74">G748</f>
        <v>0</v>
      </c>
      <c r="H747" s="21">
        <f t="shared" si="74"/>
        <v>0</v>
      </c>
      <c r="I747" s="437" t="e">
        <f t="shared" si="71"/>
        <v>#DIV/0!</v>
      </c>
    </row>
    <row r="748" spans="1:10" s="203" customFormat="1" ht="21.75" hidden="1" customHeight="1" x14ac:dyDescent="0.25">
      <c r="A748" s="34" t="s">
        <v>146</v>
      </c>
      <c r="B748" s="19">
        <v>907</v>
      </c>
      <c r="C748" s="24" t="s">
        <v>125</v>
      </c>
      <c r="D748" s="24" t="s">
        <v>147</v>
      </c>
      <c r="E748" s="24"/>
      <c r="F748" s="24"/>
      <c r="G748" s="21">
        <f t="shared" si="74"/>
        <v>0</v>
      </c>
      <c r="H748" s="21">
        <f t="shared" si="74"/>
        <v>0</v>
      </c>
      <c r="I748" s="437" t="e">
        <f t="shared" si="71"/>
        <v>#DIV/0!</v>
      </c>
    </row>
    <row r="749" spans="1:10" s="203" customFormat="1" ht="36.75" hidden="1" customHeight="1" x14ac:dyDescent="0.25">
      <c r="A749" s="23" t="s">
        <v>1376</v>
      </c>
      <c r="B749" s="19">
        <v>907</v>
      </c>
      <c r="C749" s="24" t="s">
        <v>125</v>
      </c>
      <c r="D749" s="24" t="s">
        <v>147</v>
      </c>
      <c r="E749" s="24" t="s">
        <v>342</v>
      </c>
      <c r="F749" s="24"/>
      <c r="G749" s="21">
        <f t="shared" ref="G749:H752" si="75">G750</f>
        <v>0</v>
      </c>
      <c r="H749" s="21">
        <f t="shared" si="75"/>
        <v>0</v>
      </c>
      <c r="I749" s="437" t="e">
        <f t="shared" si="71"/>
        <v>#DIV/0!</v>
      </c>
    </row>
    <row r="750" spans="1:10" s="203" customFormat="1" ht="36.75" hidden="1" customHeight="1" x14ac:dyDescent="0.25">
      <c r="A750" s="208" t="s">
        <v>1060</v>
      </c>
      <c r="B750" s="19">
        <v>907</v>
      </c>
      <c r="C750" s="24" t="s">
        <v>125</v>
      </c>
      <c r="D750" s="24" t="s">
        <v>147</v>
      </c>
      <c r="E750" s="24" t="s">
        <v>1061</v>
      </c>
      <c r="F750" s="24"/>
      <c r="G750" s="21">
        <f t="shared" si="75"/>
        <v>0</v>
      </c>
      <c r="H750" s="21">
        <f t="shared" si="75"/>
        <v>0</v>
      </c>
      <c r="I750" s="437" t="e">
        <f t="shared" si="71"/>
        <v>#DIV/0!</v>
      </c>
    </row>
    <row r="751" spans="1:10" s="203" customFormat="1" ht="29.85" hidden="1" customHeight="1" x14ac:dyDescent="0.25">
      <c r="A751" s="97" t="s">
        <v>343</v>
      </c>
      <c r="B751" s="16">
        <v>907</v>
      </c>
      <c r="C751" s="20" t="s">
        <v>125</v>
      </c>
      <c r="D751" s="20" t="s">
        <v>147</v>
      </c>
      <c r="E751" s="20" t="s">
        <v>1062</v>
      </c>
      <c r="F751" s="20"/>
      <c r="G751" s="26">
        <f t="shared" si="75"/>
        <v>0</v>
      </c>
      <c r="H751" s="26">
        <f t="shared" si="75"/>
        <v>0</v>
      </c>
      <c r="I751" s="437" t="e">
        <f t="shared" si="71"/>
        <v>#DIV/0!</v>
      </c>
    </row>
    <row r="752" spans="1:10" s="203" customFormat="1" ht="29.85" hidden="1" customHeight="1" x14ac:dyDescent="0.25">
      <c r="A752" s="25" t="s">
        <v>138</v>
      </c>
      <c r="B752" s="16">
        <v>907</v>
      </c>
      <c r="C752" s="20" t="s">
        <v>125</v>
      </c>
      <c r="D752" s="20" t="s">
        <v>147</v>
      </c>
      <c r="E752" s="20" t="s">
        <v>1062</v>
      </c>
      <c r="F752" s="20" t="s">
        <v>139</v>
      </c>
      <c r="G752" s="26">
        <f t="shared" si="75"/>
        <v>0</v>
      </c>
      <c r="H752" s="26">
        <f t="shared" si="75"/>
        <v>0</v>
      </c>
      <c r="I752" s="437" t="e">
        <f t="shared" si="71"/>
        <v>#DIV/0!</v>
      </c>
    </row>
    <row r="753" spans="1:9" s="203" customFormat="1" ht="36.75" hidden="1" customHeight="1" x14ac:dyDescent="0.25">
      <c r="A753" s="25" t="s">
        <v>140</v>
      </c>
      <c r="B753" s="16">
        <v>907</v>
      </c>
      <c r="C753" s="20" t="s">
        <v>125</v>
      </c>
      <c r="D753" s="20" t="s">
        <v>147</v>
      </c>
      <c r="E753" s="20" t="s">
        <v>1062</v>
      </c>
      <c r="F753" s="20" t="s">
        <v>141</v>
      </c>
      <c r="G753" s="26">
        <v>0</v>
      </c>
      <c r="H753" s="26">
        <v>0</v>
      </c>
      <c r="I753" s="437" t="e">
        <f t="shared" si="71"/>
        <v>#DIV/0!</v>
      </c>
    </row>
    <row r="754" spans="1:9" ht="15.75" x14ac:dyDescent="0.25">
      <c r="A754" s="23" t="s">
        <v>497</v>
      </c>
      <c r="B754" s="19">
        <v>907</v>
      </c>
      <c r="C754" s="24" t="s">
        <v>498</v>
      </c>
      <c r="D754" s="20"/>
      <c r="E754" s="20"/>
      <c r="F754" s="20"/>
      <c r="G754" s="21">
        <f>G755+G791</f>
        <v>65495.430000000008</v>
      </c>
      <c r="H754" s="21">
        <f>H755+H791</f>
        <v>14864.333999999999</v>
      </c>
      <c r="I754" s="437">
        <f t="shared" si="71"/>
        <v>22.695223162898536</v>
      </c>
    </row>
    <row r="755" spans="1:9" ht="15.75" x14ac:dyDescent="0.25">
      <c r="A755" s="23" t="s">
        <v>499</v>
      </c>
      <c r="B755" s="19">
        <v>907</v>
      </c>
      <c r="C755" s="24" t="s">
        <v>498</v>
      </c>
      <c r="D755" s="24" t="s">
        <v>125</v>
      </c>
      <c r="E755" s="20"/>
      <c r="F755" s="20"/>
      <c r="G755" s="21">
        <f>G756+G786</f>
        <v>52266.23</v>
      </c>
      <c r="H755" s="21">
        <f>H756+H786</f>
        <v>11707.102999999999</v>
      </c>
      <c r="I755" s="437">
        <f t="shared" si="71"/>
        <v>22.398981139447017</v>
      </c>
    </row>
    <row r="756" spans="1:9" ht="31.5" x14ac:dyDescent="0.25">
      <c r="A756" s="23" t="s">
        <v>1377</v>
      </c>
      <c r="B756" s="19">
        <v>907</v>
      </c>
      <c r="C756" s="24" t="s">
        <v>498</v>
      </c>
      <c r="D756" s="24" t="s">
        <v>125</v>
      </c>
      <c r="E756" s="24" t="s">
        <v>489</v>
      </c>
      <c r="F756" s="24"/>
      <c r="G756" s="21">
        <f>G757+G761+G771+G778+G782</f>
        <v>51709.43</v>
      </c>
      <c r="H756" s="21">
        <f>H757+H761+H771+H778+H782</f>
        <v>11603.602999999999</v>
      </c>
      <c r="I756" s="437">
        <f t="shared" si="71"/>
        <v>22.440013359265418</v>
      </c>
    </row>
    <row r="757" spans="1:9" ht="31.5" x14ac:dyDescent="0.25">
      <c r="A757" s="23" t="s">
        <v>947</v>
      </c>
      <c r="B757" s="19">
        <v>907</v>
      </c>
      <c r="C757" s="24" t="s">
        <v>498</v>
      </c>
      <c r="D757" s="24" t="s">
        <v>125</v>
      </c>
      <c r="E757" s="24" t="s">
        <v>1278</v>
      </c>
      <c r="F757" s="24"/>
      <c r="G757" s="21">
        <f t="shared" ref="G757:H759" si="76">G758</f>
        <v>48186.7</v>
      </c>
      <c r="H757" s="21">
        <f t="shared" si="76"/>
        <v>10523.353999999999</v>
      </c>
      <c r="I757" s="437">
        <f t="shared" si="71"/>
        <v>21.83871068157811</v>
      </c>
    </row>
    <row r="758" spans="1:9" ht="31.5" x14ac:dyDescent="0.25">
      <c r="A758" s="25" t="s">
        <v>502</v>
      </c>
      <c r="B758" s="16">
        <v>907</v>
      </c>
      <c r="C758" s="20" t="s">
        <v>498</v>
      </c>
      <c r="D758" s="20" t="s">
        <v>125</v>
      </c>
      <c r="E758" s="20" t="s">
        <v>1279</v>
      </c>
      <c r="F758" s="20"/>
      <c r="G758" s="26">
        <f t="shared" si="76"/>
        <v>48186.7</v>
      </c>
      <c r="H758" s="26">
        <f t="shared" si="76"/>
        <v>10523.353999999999</v>
      </c>
      <c r="I758" s="381">
        <f t="shared" si="71"/>
        <v>21.83871068157811</v>
      </c>
    </row>
    <row r="759" spans="1:9" ht="36" customHeight="1" x14ac:dyDescent="0.25">
      <c r="A759" s="25" t="s">
        <v>279</v>
      </c>
      <c r="B759" s="16">
        <v>907</v>
      </c>
      <c r="C759" s="20" t="s">
        <v>498</v>
      </c>
      <c r="D759" s="20" t="s">
        <v>125</v>
      </c>
      <c r="E759" s="20" t="s">
        <v>1279</v>
      </c>
      <c r="F759" s="20" t="s">
        <v>280</v>
      </c>
      <c r="G759" s="26">
        <f t="shared" si="76"/>
        <v>48186.7</v>
      </c>
      <c r="H759" s="26">
        <f t="shared" si="76"/>
        <v>10523.353999999999</v>
      </c>
      <c r="I759" s="381">
        <f t="shared" si="71"/>
        <v>21.83871068157811</v>
      </c>
    </row>
    <row r="760" spans="1:9" ht="15.75" x14ac:dyDescent="0.25">
      <c r="A760" s="25" t="s">
        <v>281</v>
      </c>
      <c r="B760" s="16">
        <v>907</v>
      </c>
      <c r="C760" s="20" t="s">
        <v>498</v>
      </c>
      <c r="D760" s="20" t="s">
        <v>125</v>
      </c>
      <c r="E760" s="20" t="s">
        <v>1279</v>
      </c>
      <c r="F760" s="20" t="s">
        <v>282</v>
      </c>
      <c r="G760" s="27">
        <f>47819.6+367.1</f>
        <v>48186.7</v>
      </c>
      <c r="H760" s="27">
        <v>10523.353999999999</v>
      </c>
      <c r="I760" s="381">
        <f t="shared" si="71"/>
        <v>21.83871068157811</v>
      </c>
    </row>
    <row r="761" spans="1:9" s="203" customFormat="1" ht="15.75" x14ac:dyDescent="0.25">
      <c r="A761" s="23" t="s">
        <v>955</v>
      </c>
      <c r="B761" s="19">
        <v>907</v>
      </c>
      <c r="C761" s="24" t="s">
        <v>498</v>
      </c>
      <c r="D761" s="24" t="s">
        <v>125</v>
      </c>
      <c r="E761" s="24" t="s">
        <v>1280</v>
      </c>
      <c r="F761" s="24"/>
      <c r="G761" s="44">
        <f>G762+G765+G768</f>
        <v>736</v>
      </c>
      <c r="H761" s="44">
        <f>H762+H765+H768</f>
        <v>36</v>
      </c>
      <c r="I761" s="437">
        <f t="shared" si="71"/>
        <v>4.8913043478260869</v>
      </c>
    </row>
    <row r="762" spans="1:9" ht="31.7" hidden="1" customHeight="1" x14ac:dyDescent="0.25">
      <c r="A762" s="25" t="s">
        <v>285</v>
      </c>
      <c r="B762" s="16">
        <v>907</v>
      </c>
      <c r="C762" s="20" t="s">
        <v>498</v>
      </c>
      <c r="D762" s="20" t="s">
        <v>125</v>
      </c>
      <c r="E762" s="20" t="s">
        <v>1338</v>
      </c>
      <c r="F762" s="20"/>
      <c r="G762" s="26">
        <f>G763</f>
        <v>0</v>
      </c>
      <c r="H762" s="26">
        <f>H763</f>
        <v>0</v>
      </c>
      <c r="I762" s="381" t="e">
        <f t="shared" si="71"/>
        <v>#DIV/0!</v>
      </c>
    </row>
    <row r="763" spans="1:9" ht="31.5" hidden="1" customHeight="1" x14ac:dyDescent="0.25">
      <c r="A763" s="25" t="s">
        <v>279</v>
      </c>
      <c r="B763" s="16">
        <v>907</v>
      </c>
      <c r="C763" s="20" t="s">
        <v>498</v>
      </c>
      <c r="D763" s="20" t="s">
        <v>125</v>
      </c>
      <c r="E763" s="20" t="s">
        <v>1338</v>
      </c>
      <c r="F763" s="20" t="s">
        <v>280</v>
      </c>
      <c r="G763" s="26">
        <f>G764</f>
        <v>0</v>
      </c>
      <c r="H763" s="26">
        <f>H764</f>
        <v>0</v>
      </c>
      <c r="I763" s="381" t="e">
        <f t="shared" si="71"/>
        <v>#DIV/0!</v>
      </c>
    </row>
    <row r="764" spans="1:9" ht="15.6" hidden="1" customHeight="1" x14ac:dyDescent="0.25">
      <c r="A764" s="25" t="s">
        <v>281</v>
      </c>
      <c r="B764" s="16">
        <v>907</v>
      </c>
      <c r="C764" s="20" t="s">
        <v>498</v>
      </c>
      <c r="D764" s="20" t="s">
        <v>125</v>
      </c>
      <c r="E764" s="20" t="s">
        <v>1338</v>
      </c>
      <c r="F764" s="20" t="s">
        <v>282</v>
      </c>
      <c r="G764" s="26">
        <v>0</v>
      </c>
      <c r="H764" s="26">
        <v>0</v>
      </c>
      <c r="I764" s="381" t="e">
        <f t="shared" si="71"/>
        <v>#DIV/0!</v>
      </c>
    </row>
    <row r="765" spans="1:9" ht="33" customHeight="1" x14ac:dyDescent="0.25">
      <c r="A765" s="25" t="s">
        <v>287</v>
      </c>
      <c r="B765" s="16">
        <v>907</v>
      </c>
      <c r="C765" s="20" t="s">
        <v>498</v>
      </c>
      <c r="D765" s="20" t="s">
        <v>125</v>
      </c>
      <c r="E765" s="20" t="s">
        <v>1339</v>
      </c>
      <c r="F765" s="20"/>
      <c r="G765" s="26">
        <f>G766</f>
        <v>700</v>
      </c>
      <c r="H765" s="26">
        <f>H766</f>
        <v>0</v>
      </c>
      <c r="I765" s="381">
        <f t="shared" si="71"/>
        <v>0</v>
      </c>
    </row>
    <row r="766" spans="1:9" ht="37.5" customHeight="1" x14ac:dyDescent="0.25">
      <c r="A766" s="25" t="s">
        <v>279</v>
      </c>
      <c r="B766" s="16">
        <v>907</v>
      </c>
      <c r="C766" s="20" t="s">
        <v>498</v>
      </c>
      <c r="D766" s="20" t="s">
        <v>125</v>
      </c>
      <c r="E766" s="20" t="s">
        <v>1339</v>
      </c>
      <c r="F766" s="20" t="s">
        <v>280</v>
      </c>
      <c r="G766" s="26">
        <f>G767</f>
        <v>700</v>
      </c>
      <c r="H766" s="26">
        <f>H767</f>
        <v>0</v>
      </c>
      <c r="I766" s="381">
        <f t="shared" si="71"/>
        <v>0</v>
      </c>
    </row>
    <row r="767" spans="1:9" ht="15.75" customHeight="1" x14ac:dyDescent="0.25">
      <c r="A767" s="25" t="s">
        <v>281</v>
      </c>
      <c r="B767" s="16">
        <v>907</v>
      </c>
      <c r="C767" s="20" t="s">
        <v>498</v>
      </c>
      <c r="D767" s="20" t="s">
        <v>125</v>
      </c>
      <c r="E767" s="20" t="s">
        <v>1339</v>
      </c>
      <c r="F767" s="20" t="s">
        <v>282</v>
      </c>
      <c r="G767" s="26">
        <v>700</v>
      </c>
      <c r="H767" s="26">
        <v>0</v>
      </c>
      <c r="I767" s="381">
        <f t="shared" si="71"/>
        <v>0</v>
      </c>
    </row>
    <row r="768" spans="1:9" s="203" customFormat="1" ht="15.75" customHeight="1" x14ac:dyDescent="0.25">
      <c r="A768" s="25" t="s">
        <v>840</v>
      </c>
      <c r="B768" s="16">
        <v>907</v>
      </c>
      <c r="C768" s="20" t="s">
        <v>498</v>
      </c>
      <c r="D768" s="20" t="s">
        <v>125</v>
      </c>
      <c r="E768" s="20" t="s">
        <v>1281</v>
      </c>
      <c r="F768" s="20"/>
      <c r="G768" s="26">
        <f>G769</f>
        <v>36</v>
      </c>
      <c r="H768" s="26">
        <f>H769</f>
        <v>36</v>
      </c>
      <c r="I768" s="381">
        <f t="shared" si="71"/>
        <v>100</v>
      </c>
    </row>
    <row r="769" spans="1:9" s="203" customFormat="1" ht="41.25" customHeight="1" x14ac:dyDescent="0.25">
      <c r="A769" s="25" t="s">
        <v>279</v>
      </c>
      <c r="B769" s="16">
        <v>907</v>
      </c>
      <c r="C769" s="20" t="s">
        <v>498</v>
      </c>
      <c r="D769" s="20" t="s">
        <v>125</v>
      </c>
      <c r="E769" s="20" t="s">
        <v>1281</v>
      </c>
      <c r="F769" s="20" t="s">
        <v>280</v>
      </c>
      <c r="G769" s="26">
        <f>G770</f>
        <v>36</v>
      </c>
      <c r="H769" s="26">
        <f>H770</f>
        <v>36</v>
      </c>
      <c r="I769" s="381">
        <f t="shared" si="71"/>
        <v>100</v>
      </c>
    </row>
    <row r="770" spans="1:9" s="203" customFormat="1" ht="15.75" customHeight="1" x14ac:dyDescent="0.25">
      <c r="A770" s="25" t="s">
        <v>281</v>
      </c>
      <c r="B770" s="16">
        <v>907</v>
      </c>
      <c r="C770" s="20" t="s">
        <v>498</v>
      </c>
      <c r="D770" s="20" t="s">
        <v>125</v>
      </c>
      <c r="E770" s="20" t="s">
        <v>1281</v>
      </c>
      <c r="F770" s="20" t="s">
        <v>282</v>
      </c>
      <c r="G770" s="26">
        <v>36</v>
      </c>
      <c r="H770" s="26">
        <v>36</v>
      </c>
      <c r="I770" s="381">
        <f t="shared" si="71"/>
        <v>100</v>
      </c>
    </row>
    <row r="771" spans="1:9" s="203" customFormat="1" ht="35.450000000000003" customHeight="1" x14ac:dyDescent="0.25">
      <c r="A771" s="23" t="s">
        <v>957</v>
      </c>
      <c r="B771" s="19">
        <v>907</v>
      </c>
      <c r="C771" s="24" t="s">
        <v>498</v>
      </c>
      <c r="D771" s="24" t="s">
        <v>125</v>
      </c>
      <c r="E771" s="24" t="s">
        <v>1282</v>
      </c>
      <c r="F771" s="24"/>
      <c r="G771" s="21">
        <f>G772+G775</f>
        <v>1204</v>
      </c>
      <c r="H771" s="21">
        <f>H772+H775</f>
        <v>627</v>
      </c>
      <c r="I771" s="437">
        <f t="shared" si="71"/>
        <v>52.076411960132894</v>
      </c>
    </row>
    <row r="772" spans="1:9" ht="33.75" hidden="1" customHeight="1" x14ac:dyDescent="0.25">
      <c r="A772" s="25" t="s">
        <v>801</v>
      </c>
      <c r="B772" s="16">
        <v>907</v>
      </c>
      <c r="C772" s="20" t="s">
        <v>498</v>
      </c>
      <c r="D772" s="20" t="s">
        <v>125</v>
      </c>
      <c r="E772" s="20" t="s">
        <v>1320</v>
      </c>
      <c r="F772" s="20"/>
      <c r="G772" s="26">
        <f>G773</f>
        <v>0</v>
      </c>
      <c r="H772" s="26">
        <f>H773</f>
        <v>0</v>
      </c>
      <c r="I772" s="381" t="e">
        <f t="shared" si="71"/>
        <v>#DIV/0!</v>
      </c>
    </row>
    <row r="773" spans="1:9" ht="31.5" hidden="1" x14ac:dyDescent="0.25">
      <c r="A773" s="25" t="s">
        <v>279</v>
      </c>
      <c r="B773" s="16">
        <v>907</v>
      </c>
      <c r="C773" s="20" t="s">
        <v>498</v>
      </c>
      <c r="D773" s="20" t="s">
        <v>125</v>
      </c>
      <c r="E773" s="20" t="s">
        <v>1320</v>
      </c>
      <c r="F773" s="20" t="s">
        <v>280</v>
      </c>
      <c r="G773" s="26">
        <f>G774</f>
        <v>0</v>
      </c>
      <c r="H773" s="26">
        <f>H774</f>
        <v>0</v>
      </c>
      <c r="I773" s="381" t="e">
        <f t="shared" si="71"/>
        <v>#DIV/0!</v>
      </c>
    </row>
    <row r="774" spans="1:9" ht="15.75" hidden="1" customHeight="1" x14ac:dyDescent="0.25">
      <c r="A774" s="25" t="s">
        <v>281</v>
      </c>
      <c r="B774" s="16">
        <v>907</v>
      </c>
      <c r="C774" s="20" t="s">
        <v>498</v>
      </c>
      <c r="D774" s="20" t="s">
        <v>125</v>
      </c>
      <c r="E774" s="20" t="s">
        <v>1320</v>
      </c>
      <c r="F774" s="20" t="s">
        <v>282</v>
      </c>
      <c r="G774" s="26">
        <v>0</v>
      </c>
      <c r="H774" s="26">
        <v>0</v>
      </c>
      <c r="I774" s="381" t="e">
        <f t="shared" si="71"/>
        <v>#DIV/0!</v>
      </c>
    </row>
    <row r="775" spans="1:9" ht="34.5" customHeight="1" x14ac:dyDescent="0.25">
      <c r="A775" s="45" t="s">
        <v>774</v>
      </c>
      <c r="B775" s="16">
        <v>907</v>
      </c>
      <c r="C775" s="20" t="s">
        <v>498</v>
      </c>
      <c r="D775" s="20" t="s">
        <v>125</v>
      </c>
      <c r="E775" s="20" t="s">
        <v>1283</v>
      </c>
      <c r="F775" s="20"/>
      <c r="G775" s="26">
        <f>G776</f>
        <v>1204</v>
      </c>
      <c r="H775" s="26">
        <f>H776</f>
        <v>627</v>
      </c>
      <c r="I775" s="381">
        <f t="shared" si="71"/>
        <v>52.076411960132894</v>
      </c>
    </row>
    <row r="776" spans="1:9" ht="33" customHeight="1" x14ac:dyDescent="0.25">
      <c r="A776" s="31" t="s">
        <v>279</v>
      </c>
      <c r="B776" s="16">
        <v>907</v>
      </c>
      <c r="C776" s="20" t="s">
        <v>498</v>
      </c>
      <c r="D776" s="20" t="s">
        <v>125</v>
      </c>
      <c r="E776" s="20" t="s">
        <v>1283</v>
      </c>
      <c r="F776" s="20" t="s">
        <v>280</v>
      </c>
      <c r="G776" s="26">
        <f>G777</f>
        <v>1204</v>
      </c>
      <c r="H776" s="26">
        <f>H777</f>
        <v>627</v>
      </c>
      <c r="I776" s="381">
        <f t="shared" si="71"/>
        <v>52.076411960132894</v>
      </c>
    </row>
    <row r="777" spans="1:9" ht="15.75" customHeight="1" x14ac:dyDescent="0.25">
      <c r="A777" s="31" t="s">
        <v>281</v>
      </c>
      <c r="B777" s="16">
        <v>907</v>
      </c>
      <c r="C777" s="20" t="s">
        <v>498</v>
      </c>
      <c r="D777" s="20" t="s">
        <v>125</v>
      </c>
      <c r="E777" s="20" t="s">
        <v>1283</v>
      </c>
      <c r="F777" s="20" t="s">
        <v>282</v>
      </c>
      <c r="G777" s="26">
        <v>1204</v>
      </c>
      <c r="H777" s="26">
        <v>627</v>
      </c>
      <c r="I777" s="381">
        <f t="shared" si="71"/>
        <v>52.076411960132894</v>
      </c>
    </row>
    <row r="778" spans="1:9" s="203" customFormat="1" ht="40.700000000000003" customHeight="1" x14ac:dyDescent="0.25">
      <c r="A778" s="23" t="s">
        <v>910</v>
      </c>
      <c r="B778" s="19">
        <v>907</v>
      </c>
      <c r="C778" s="24" t="s">
        <v>498</v>
      </c>
      <c r="D778" s="24" t="s">
        <v>125</v>
      </c>
      <c r="E778" s="24" t="s">
        <v>1284</v>
      </c>
      <c r="F778" s="24"/>
      <c r="G778" s="21">
        <f t="shared" ref="G778:H780" si="77">G779</f>
        <v>813.5</v>
      </c>
      <c r="H778" s="21">
        <f t="shared" si="77"/>
        <v>117.349</v>
      </c>
      <c r="I778" s="437">
        <f t="shared" si="71"/>
        <v>14.425199754148741</v>
      </c>
    </row>
    <row r="779" spans="1:9" s="203" customFormat="1" ht="78.75" x14ac:dyDescent="0.25">
      <c r="A779" s="31" t="s">
        <v>471</v>
      </c>
      <c r="B779" s="16">
        <v>907</v>
      </c>
      <c r="C779" s="20" t="s">
        <v>498</v>
      </c>
      <c r="D779" s="20" t="s">
        <v>125</v>
      </c>
      <c r="E779" s="20" t="s">
        <v>1419</v>
      </c>
      <c r="F779" s="20"/>
      <c r="G779" s="26">
        <f t="shared" si="77"/>
        <v>813.5</v>
      </c>
      <c r="H779" s="26">
        <f t="shared" si="77"/>
        <v>117.349</v>
      </c>
      <c r="I779" s="381">
        <f t="shared" ref="I779:I842" si="78">H779/G779*100</f>
        <v>14.425199754148741</v>
      </c>
    </row>
    <row r="780" spans="1:9" s="203" customFormat="1" ht="31.5" x14ac:dyDescent="0.25">
      <c r="A780" s="25" t="s">
        <v>279</v>
      </c>
      <c r="B780" s="16">
        <v>907</v>
      </c>
      <c r="C780" s="20" t="s">
        <v>498</v>
      </c>
      <c r="D780" s="20" t="s">
        <v>125</v>
      </c>
      <c r="E780" s="20" t="s">
        <v>1419</v>
      </c>
      <c r="F780" s="20" t="s">
        <v>280</v>
      </c>
      <c r="G780" s="26">
        <f t="shared" si="77"/>
        <v>813.5</v>
      </c>
      <c r="H780" s="26">
        <f t="shared" si="77"/>
        <v>117.349</v>
      </c>
      <c r="I780" s="381">
        <f t="shared" si="78"/>
        <v>14.425199754148741</v>
      </c>
    </row>
    <row r="781" spans="1:9" s="203" customFormat="1" ht="15.75" x14ac:dyDescent="0.25">
      <c r="A781" s="25" t="s">
        <v>281</v>
      </c>
      <c r="B781" s="16">
        <v>907</v>
      </c>
      <c r="C781" s="20" t="s">
        <v>498</v>
      </c>
      <c r="D781" s="20" t="s">
        <v>125</v>
      </c>
      <c r="E781" s="20" t="s">
        <v>1419</v>
      </c>
      <c r="F781" s="20" t="s">
        <v>282</v>
      </c>
      <c r="G781" s="26">
        <f>935.54-122.04</f>
        <v>813.5</v>
      </c>
      <c r="H781" s="26">
        <v>117.349</v>
      </c>
      <c r="I781" s="381">
        <f t="shared" si="78"/>
        <v>14.425199754148741</v>
      </c>
    </row>
    <row r="782" spans="1:9" s="203" customFormat="1" ht="47.25" x14ac:dyDescent="0.25">
      <c r="A782" s="23" t="s">
        <v>1346</v>
      </c>
      <c r="B782" s="19">
        <v>907</v>
      </c>
      <c r="C782" s="24" t="s">
        <v>498</v>
      </c>
      <c r="D782" s="24" t="s">
        <v>125</v>
      </c>
      <c r="E782" s="24" t="s">
        <v>1285</v>
      </c>
      <c r="F782" s="24"/>
      <c r="G782" s="21">
        <f t="shared" ref="G782:H784" si="79">G783</f>
        <v>769.23</v>
      </c>
      <c r="H782" s="21">
        <f t="shared" si="79"/>
        <v>299.89999999999998</v>
      </c>
      <c r="I782" s="437">
        <f t="shared" si="78"/>
        <v>38.987038987038986</v>
      </c>
    </row>
    <row r="783" spans="1:9" s="204" customFormat="1" ht="47.25" x14ac:dyDescent="0.25">
      <c r="A783" s="25" t="s">
        <v>1208</v>
      </c>
      <c r="B783" s="16">
        <v>907</v>
      </c>
      <c r="C783" s="20" t="s">
        <v>498</v>
      </c>
      <c r="D783" s="20" t="s">
        <v>125</v>
      </c>
      <c r="E783" s="20" t="s">
        <v>1340</v>
      </c>
      <c r="F783" s="20"/>
      <c r="G783" s="26">
        <f t="shared" si="79"/>
        <v>769.23</v>
      </c>
      <c r="H783" s="26">
        <f t="shared" si="79"/>
        <v>299.89999999999998</v>
      </c>
      <c r="I783" s="381">
        <f t="shared" si="78"/>
        <v>38.987038987038986</v>
      </c>
    </row>
    <row r="784" spans="1:9" s="204" customFormat="1" ht="31.5" x14ac:dyDescent="0.25">
      <c r="A784" s="25" t="s">
        <v>279</v>
      </c>
      <c r="B784" s="16">
        <v>907</v>
      </c>
      <c r="C784" s="20" t="s">
        <v>498</v>
      </c>
      <c r="D784" s="20" t="s">
        <v>125</v>
      </c>
      <c r="E784" s="20" t="s">
        <v>1340</v>
      </c>
      <c r="F784" s="20" t="s">
        <v>280</v>
      </c>
      <c r="G784" s="26">
        <f t="shared" si="79"/>
        <v>769.23</v>
      </c>
      <c r="H784" s="26">
        <f t="shared" si="79"/>
        <v>299.89999999999998</v>
      </c>
      <c r="I784" s="381">
        <f t="shared" si="78"/>
        <v>38.987038987038986</v>
      </c>
    </row>
    <row r="785" spans="1:13" s="204" customFormat="1" ht="15.75" x14ac:dyDescent="0.25">
      <c r="A785" s="25" t="s">
        <v>281</v>
      </c>
      <c r="B785" s="16">
        <v>907</v>
      </c>
      <c r="C785" s="20" t="s">
        <v>498</v>
      </c>
      <c r="D785" s="20" t="s">
        <v>125</v>
      </c>
      <c r="E785" s="20" t="s">
        <v>1340</v>
      </c>
      <c r="F785" s="20" t="s">
        <v>282</v>
      </c>
      <c r="G785" s="26">
        <f>700+63+6.23</f>
        <v>769.23</v>
      </c>
      <c r="H785" s="26">
        <v>299.89999999999998</v>
      </c>
      <c r="I785" s="381">
        <f t="shared" si="78"/>
        <v>38.987038987038986</v>
      </c>
      <c r="M785" s="127" t="s">
        <v>1501</v>
      </c>
    </row>
    <row r="786" spans="1:13" ht="47.25" x14ac:dyDescent="0.25">
      <c r="A786" s="41" t="s">
        <v>1358</v>
      </c>
      <c r="B786" s="19">
        <v>907</v>
      </c>
      <c r="C786" s="24" t="s">
        <v>498</v>
      </c>
      <c r="D786" s="24" t="s">
        <v>125</v>
      </c>
      <c r="E786" s="24" t="s">
        <v>715</v>
      </c>
      <c r="F786" s="217"/>
      <c r="G786" s="21">
        <f t="shared" ref="G786:H789" si="80">G787</f>
        <v>556.79999999999995</v>
      </c>
      <c r="H786" s="21">
        <f t="shared" si="80"/>
        <v>103.5</v>
      </c>
      <c r="I786" s="437">
        <f t="shared" si="78"/>
        <v>18.58836206896552</v>
      </c>
    </row>
    <row r="787" spans="1:13" s="203" customFormat="1" ht="47.25" x14ac:dyDescent="0.25">
      <c r="A787" s="41" t="s">
        <v>900</v>
      </c>
      <c r="B787" s="19">
        <v>907</v>
      </c>
      <c r="C787" s="24" t="s">
        <v>498</v>
      </c>
      <c r="D787" s="24" t="s">
        <v>125</v>
      </c>
      <c r="E787" s="24" t="s">
        <v>898</v>
      </c>
      <c r="F787" s="217"/>
      <c r="G787" s="21">
        <f t="shared" si="80"/>
        <v>556.79999999999995</v>
      </c>
      <c r="H787" s="21">
        <f t="shared" si="80"/>
        <v>103.5</v>
      </c>
      <c r="I787" s="437">
        <f t="shared" si="78"/>
        <v>18.58836206896552</v>
      </c>
    </row>
    <row r="788" spans="1:13" ht="39.200000000000003" customHeight="1" x14ac:dyDescent="0.25">
      <c r="A788" s="98" t="s">
        <v>790</v>
      </c>
      <c r="B788" s="16">
        <v>907</v>
      </c>
      <c r="C788" s="20" t="s">
        <v>498</v>
      </c>
      <c r="D788" s="20" t="s">
        <v>125</v>
      </c>
      <c r="E788" s="20" t="s">
        <v>946</v>
      </c>
      <c r="F788" s="32"/>
      <c r="G788" s="26">
        <f t="shared" si="80"/>
        <v>556.79999999999995</v>
      </c>
      <c r="H788" s="26">
        <f t="shared" si="80"/>
        <v>103.5</v>
      </c>
      <c r="I788" s="381">
        <f t="shared" si="78"/>
        <v>18.58836206896552</v>
      </c>
    </row>
    <row r="789" spans="1:13" ht="31.5" x14ac:dyDescent="0.25">
      <c r="A789" s="29" t="s">
        <v>279</v>
      </c>
      <c r="B789" s="16">
        <v>907</v>
      </c>
      <c r="C789" s="20" t="s">
        <v>498</v>
      </c>
      <c r="D789" s="20" t="s">
        <v>125</v>
      </c>
      <c r="E789" s="20" t="s">
        <v>946</v>
      </c>
      <c r="F789" s="32" t="s">
        <v>280</v>
      </c>
      <c r="G789" s="26">
        <f t="shared" si="80"/>
        <v>556.79999999999995</v>
      </c>
      <c r="H789" s="26">
        <f t="shared" si="80"/>
        <v>103.5</v>
      </c>
      <c r="I789" s="381">
        <f t="shared" si="78"/>
        <v>18.58836206896552</v>
      </c>
    </row>
    <row r="790" spans="1:13" ht="15.75" x14ac:dyDescent="0.25">
      <c r="A790" s="184" t="s">
        <v>281</v>
      </c>
      <c r="B790" s="16">
        <v>907</v>
      </c>
      <c r="C790" s="20" t="s">
        <v>498</v>
      </c>
      <c r="D790" s="20" t="s">
        <v>125</v>
      </c>
      <c r="E790" s="20" t="s">
        <v>946</v>
      </c>
      <c r="F790" s="32" t="s">
        <v>282</v>
      </c>
      <c r="G790" s="26">
        <v>556.79999999999995</v>
      </c>
      <c r="H790" s="26">
        <v>103.5</v>
      </c>
      <c r="I790" s="381">
        <f t="shared" si="78"/>
        <v>18.58836206896552</v>
      </c>
    </row>
    <row r="791" spans="1:13" ht="19.5" customHeight="1" x14ac:dyDescent="0.25">
      <c r="A791" s="23" t="s">
        <v>507</v>
      </c>
      <c r="B791" s="19">
        <v>907</v>
      </c>
      <c r="C791" s="24" t="s">
        <v>498</v>
      </c>
      <c r="D791" s="24" t="s">
        <v>241</v>
      </c>
      <c r="E791" s="24"/>
      <c r="F791" s="24"/>
      <c r="G791" s="21">
        <f>G792+G800+G812</f>
        <v>13229.2</v>
      </c>
      <c r="H791" s="21">
        <f>H792+H800+H812</f>
        <v>3157.2309999999998</v>
      </c>
      <c r="I791" s="437">
        <f t="shared" si="78"/>
        <v>23.86562301575303</v>
      </c>
    </row>
    <row r="792" spans="1:13" ht="31.5" x14ac:dyDescent="0.25">
      <c r="A792" s="23" t="s">
        <v>927</v>
      </c>
      <c r="B792" s="19">
        <v>907</v>
      </c>
      <c r="C792" s="24" t="s">
        <v>498</v>
      </c>
      <c r="D792" s="24" t="s">
        <v>241</v>
      </c>
      <c r="E792" s="24" t="s">
        <v>868</v>
      </c>
      <c r="F792" s="24"/>
      <c r="G792" s="21">
        <f>G793</f>
        <v>5224.5</v>
      </c>
      <c r="H792" s="21">
        <f>H793</f>
        <v>1095.806</v>
      </c>
      <c r="I792" s="437">
        <f t="shared" si="78"/>
        <v>20.974370753182122</v>
      </c>
    </row>
    <row r="793" spans="1:13" ht="15.75" x14ac:dyDescent="0.25">
      <c r="A793" s="23" t="s">
        <v>928</v>
      </c>
      <c r="B793" s="19">
        <v>907</v>
      </c>
      <c r="C793" s="24" t="s">
        <v>498</v>
      </c>
      <c r="D793" s="24" t="s">
        <v>241</v>
      </c>
      <c r="E793" s="24" t="s">
        <v>869</v>
      </c>
      <c r="F793" s="24"/>
      <c r="G793" s="21">
        <f>G794+G797</f>
        <v>5224.5</v>
      </c>
      <c r="H793" s="21">
        <f>H794+H797</f>
        <v>1095.806</v>
      </c>
      <c r="I793" s="437">
        <f t="shared" si="78"/>
        <v>20.974370753182122</v>
      </c>
    </row>
    <row r="794" spans="1:13" ht="28.15" customHeight="1" x14ac:dyDescent="0.25">
      <c r="A794" s="25" t="s">
        <v>907</v>
      </c>
      <c r="B794" s="16">
        <v>907</v>
      </c>
      <c r="C794" s="20" t="s">
        <v>498</v>
      </c>
      <c r="D794" s="20" t="s">
        <v>241</v>
      </c>
      <c r="E794" s="20" t="s">
        <v>870</v>
      </c>
      <c r="F794" s="20"/>
      <c r="G794" s="26">
        <f>G795</f>
        <v>4888.5</v>
      </c>
      <c r="H794" s="26">
        <f>H795</f>
        <v>1095.806</v>
      </c>
      <c r="I794" s="381">
        <f t="shared" si="78"/>
        <v>22.415996727012377</v>
      </c>
    </row>
    <row r="795" spans="1:13" ht="64.5" customHeight="1" x14ac:dyDescent="0.25">
      <c r="A795" s="25" t="s">
        <v>134</v>
      </c>
      <c r="B795" s="16">
        <v>907</v>
      </c>
      <c r="C795" s="20" t="s">
        <v>498</v>
      </c>
      <c r="D795" s="20" t="s">
        <v>241</v>
      </c>
      <c r="E795" s="20" t="s">
        <v>870</v>
      </c>
      <c r="F795" s="20" t="s">
        <v>135</v>
      </c>
      <c r="G795" s="26">
        <f>G796</f>
        <v>4888.5</v>
      </c>
      <c r="H795" s="26">
        <f>H796</f>
        <v>1095.806</v>
      </c>
      <c r="I795" s="381">
        <f t="shared" si="78"/>
        <v>22.415996727012377</v>
      </c>
    </row>
    <row r="796" spans="1:13" ht="31.5" x14ac:dyDescent="0.25">
      <c r="A796" s="25" t="s">
        <v>136</v>
      </c>
      <c r="B796" s="16">
        <v>907</v>
      </c>
      <c r="C796" s="20" t="s">
        <v>498</v>
      </c>
      <c r="D796" s="20" t="s">
        <v>241</v>
      </c>
      <c r="E796" s="20" t="s">
        <v>870</v>
      </c>
      <c r="F796" s="20" t="s">
        <v>137</v>
      </c>
      <c r="G796" s="27">
        <f>4888.5</f>
        <v>4888.5</v>
      </c>
      <c r="H796" s="27">
        <v>1095.806</v>
      </c>
      <c r="I796" s="381">
        <f t="shared" si="78"/>
        <v>22.415996727012377</v>
      </c>
    </row>
    <row r="797" spans="1:13" s="203" customFormat="1" ht="36.75" customHeight="1" x14ac:dyDescent="0.25">
      <c r="A797" s="25" t="s">
        <v>849</v>
      </c>
      <c r="B797" s="16">
        <v>907</v>
      </c>
      <c r="C797" s="20" t="s">
        <v>498</v>
      </c>
      <c r="D797" s="20" t="s">
        <v>241</v>
      </c>
      <c r="E797" s="20" t="s">
        <v>872</v>
      </c>
      <c r="F797" s="20"/>
      <c r="G797" s="26">
        <f>G798</f>
        <v>336</v>
      </c>
      <c r="H797" s="26">
        <f>H798</f>
        <v>0</v>
      </c>
      <c r="I797" s="381">
        <f t="shared" si="78"/>
        <v>0</v>
      </c>
    </row>
    <row r="798" spans="1:13" s="203" customFormat="1" ht="47.25" customHeight="1" x14ac:dyDescent="0.25">
      <c r="A798" s="25" t="s">
        <v>134</v>
      </c>
      <c r="B798" s="16">
        <v>907</v>
      </c>
      <c r="C798" s="20" t="s">
        <v>498</v>
      </c>
      <c r="D798" s="20" t="s">
        <v>241</v>
      </c>
      <c r="E798" s="20" t="s">
        <v>872</v>
      </c>
      <c r="F798" s="20" t="s">
        <v>135</v>
      </c>
      <c r="G798" s="26">
        <f>G799</f>
        <v>336</v>
      </c>
      <c r="H798" s="26">
        <f>H799</f>
        <v>0</v>
      </c>
      <c r="I798" s="381">
        <f t="shared" si="78"/>
        <v>0</v>
      </c>
    </row>
    <row r="799" spans="1:13" s="203" customFormat="1" ht="34.5" customHeight="1" x14ac:dyDescent="0.25">
      <c r="A799" s="25" t="s">
        <v>136</v>
      </c>
      <c r="B799" s="16">
        <v>907</v>
      </c>
      <c r="C799" s="20" t="s">
        <v>498</v>
      </c>
      <c r="D799" s="20" t="s">
        <v>241</v>
      </c>
      <c r="E799" s="20" t="s">
        <v>872</v>
      </c>
      <c r="F799" s="20" t="s">
        <v>137</v>
      </c>
      <c r="G799" s="26">
        <f>84+252</f>
        <v>336</v>
      </c>
      <c r="H799" s="26">
        <v>0</v>
      </c>
      <c r="I799" s="381">
        <f t="shared" si="78"/>
        <v>0</v>
      </c>
    </row>
    <row r="800" spans="1:13" ht="15.75" x14ac:dyDescent="0.25">
      <c r="A800" s="23" t="s">
        <v>148</v>
      </c>
      <c r="B800" s="19">
        <v>907</v>
      </c>
      <c r="C800" s="24" t="s">
        <v>498</v>
      </c>
      <c r="D800" s="24" t="s">
        <v>241</v>
      </c>
      <c r="E800" s="24" t="s">
        <v>876</v>
      </c>
      <c r="F800" s="24"/>
      <c r="G800" s="21">
        <f>G801</f>
        <v>5304.7</v>
      </c>
      <c r="H800" s="21">
        <f>H801</f>
        <v>1267.68</v>
      </c>
      <c r="I800" s="437">
        <f t="shared" si="78"/>
        <v>23.897298621976741</v>
      </c>
    </row>
    <row r="801" spans="1:9" s="203" customFormat="1" ht="31.5" x14ac:dyDescent="0.25">
      <c r="A801" s="23" t="s">
        <v>939</v>
      </c>
      <c r="B801" s="19">
        <v>907</v>
      </c>
      <c r="C801" s="24" t="s">
        <v>498</v>
      </c>
      <c r="D801" s="24" t="s">
        <v>241</v>
      </c>
      <c r="E801" s="24" t="s">
        <v>924</v>
      </c>
      <c r="F801" s="24"/>
      <c r="G801" s="21">
        <f>G802+G809</f>
        <v>5304.7</v>
      </c>
      <c r="H801" s="21">
        <f>H802+H809</f>
        <v>1267.68</v>
      </c>
      <c r="I801" s="437">
        <f t="shared" si="78"/>
        <v>23.897298621976741</v>
      </c>
    </row>
    <row r="802" spans="1:9" ht="31.5" x14ac:dyDescent="0.25">
      <c r="A802" s="25" t="s">
        <v>913</v>
      </c>
      <c r="B802" s="16">
        <v>907</v>
      </c>
      <c r="C802" s="20" t="s">
        <v>498</v>
      </c>
      <c r="D802" s="20" t="s">
        <v>241</v>
      </c>
      <c r="E802" s="20" t="s">
        <v>925</v>
      </c>
      <c r="F802" s="20"/>
      <c r="G802" s="26">
        <f>G803+G805+G807</f>
        <v>5089.7</v>
      </c>
      <c r="H802" s="26">
        <f>H803+H805+H807</f>
        <v>1059.7150000000001</v>
      </c>
      <c r="I802" s="381">
        <f t="shared" si="78"/>
        <v>20.820775291274536</v>
      </c>
    </row>
    <row r="803" spans="1:9" ht="72.75" customHeight="1" x14ac:dyDescent="0.25">
      <c r="A803" s="25" t="s">
        <v>134</v>
      </c>
      <c r="B803" s="16">
        <v>907</v>
      </c>
      <c r="C803" s="20" t="s">
        <v>498</v>
      </c>
      <c r="D803" s="20" t="s">
        <v>241</v>
      </c>
      <c r="E803" s="20" t="s">
        <v>925</v>
      </c>
      <c r="F803" s="20" t="s">
        <v>135</v>
      </c>
      <c r="G803" s="26">
        <f>G804</f>
        <v>4695.3999999999996</v>
      </c>
      <c r="H803" s="26">
        <f>H804</f>
        <v>1003.652</v>
      </c>
      <c r="I803" s="381">
        <f t="shared" si="78"/>
        <v>21.375218298760494</v>
      </c>
    </row>
    <row r="804" spans="1:9" ht="25.5" customHeight="1" x14ac:dyDescent="0.25">
      <c r="A804" s="25" t="s">
        <v>349</v>
      </c>
      <c r="B804" s="16">
        <v>907</v>
      </c>
      <c r="C804" s="20" t="s">
        <v>498</v>
      </c>
      <c r="D804" s="20" t="s">
        <v>241</v>
      </c>
      <c r="E804" s="20" t="s">
        <v>925</v>
      </c>
      <c r="F804" s="20" t="s">
        <v>216</v>
      </c>
      <c r="G804" s="27">
        <f>4695.4</f>
        <v>4695.3999999999996</v>
      </c>
      <c r="H804" s="27">
        <v>1003.652</v>
      </c>
      <c r="I804" s="381">
        <f t="shared" si="78"/>
        <v>21.375218298760494</v>
      </c>
    </row>
    <row r="805" spans="1:9" ht="31.5" x14ac:dyDescent="0.25">
      <c r="A805" s="25" t="s">
        <v>138</v>
      </c>
      <c r="B805" s="16">
        <v>907</v>
      </c>
      <c r="C805" s="20" t="s">
        <v>498</v>
      </c>
      <c r="D805" s="20" t="s">
        <v>241</v>
      </c>
      <c r="E805" s="20" t="s">
        <v>925</v>
      </c>
      <c r="F805" s="20" t="s">
        <v>139</v>
      </c>
      <c r="G805" s="26">
        <f>G806</f>
        <v>343.3</v>
      </c>
      <c r="H805" s="26">
        <f>H806</f>
        <v>53.969000000000001</v>
      </c>
      <c r="I805" s="381">
        <f t="shared" si="78"/>
        <v>15.720652490533061</v>
      </c>
    </row>
    <row r="806" spans="1:9" ht="31.5" x14ac:dyDescent="0.25">
      <c r="A806" s="25" t="s">
        <v>140</v>
      </c>
      <c r="B806" s="16">
        <v>907</v>
      </c>
      <c r="C806" s="20" t="s">
        <v>498</v>
      </c>
      <c r="D806" s="20" t="s">
        <v>241</v>
      </c>
      <c r="E806" s="20" t="s">
        <v>925</v>
      </c>
      <c r="F806" s="20" t="s">
        <v>141</v>
      </c>
      <c r="G806" s="27">
        <v>343.3</v>
      </c>
      <c r="H806" s="27">
        <v>53.969000000000001</v>
      </c>
      <c r="I806" s="381">
        <f t="shared" si="78"/>
        <v>15.720652490533061</v>
      </c>
    </row>
    <row r="807" spans="1:9" ht="15.75" x14ac:dyDescent="0.25">
      <c r="A807" s="25" t="s">
        <v>142</v>
      </c>
      <c r="B807" s="16">
        <v>907</v>
      </c>
      <c r="C807" s="20" t="s">
        <v>498</v>
      </c>
      <c r="D807" s="20" t="s">
        <v>241</v>
      </c>
      <c r="E807" s="20" t="s">
        <v>925</v>
      </c>
      <c r="F807" s="20" t="s">
        <v>152</v>
      </c>
      <c r="G807" s="26">
        <f>G808</f>
        <v>51</v>
      </c>
      <c r="H807" s="26">
        <f>H808</f>
        <v>2.0939999999999999</v>
      </c>
      <c r="I807" s="381">
        <f t="shared" si="78"/>
        <v>4.1058823529411761</v>
      </c>
    </row>
    <row r="808" spans="1:9" ht="15.75" x14ac:dyDescent="0.25">
      <c r="A808" s="25" t="s">
        <v>575</v>
      </c>
      <c r="B808" s="16">
        <v>907</v>
      </c>
      <c r="C808" s="20" t="s">
        <v>498</v>
      </c>
      <c r="D808" s="20" t="s">
        <v>241</v>
      </c>
      <c r="E808" s="20" t="s">
        <v>925</v>
      </c>
      <c r="F808" s="20" t="s">
        <v>145</v>
      </c>
      <c r="G808" s="26">
        <f>27.1+24.1-0.2</f>
        <v>51</v>
      </c>
      <c r="H808" s="26">
        <v>2.0939999999999999</v>
      </c>
      <c r="I808" s="381">
        <f t="shared" si="78"/>
        <v>4.1058823529411761</v>
      </c>
    </row>
    <row r="809" spans="1:9" s="203" customFormat="1" ht="31.5" x14ac:dyDescent="0.25">
      <c r="A809" s="25" t="s">
        <v>849</v>
      </c>
      <c r="B809" s="16">
        <v>907</v>
      </c>
      <c r="C809" s="20" t="s">
        <v>498</v>
      </c>
      <c r="D809" s="20" t="s">
        <v>241</v>
      </c>
      <c r="E809" s="20" t="s">
        <v>926</v>
      </c>
      <c r="F809" s="20"/>
      <c r="G809" s="26">
        <f>G810</f>
        <v>215</v>
      </c>
      <c r="H809" s="26">
        <f>H810</f>
        <v>207.965</v>
      </c>
      <c r="I809" s="381">
        <f t="shared" si="78"/>
        <v>96.72790697674418</v>
      </c>
    </row>
    <row r="810" spans="1:9" s="203" customFormat="1" ht="63" x14ac:dyDescent="0.25">
      <c r="A810" s="25" t="s">
        <v>134</v>
      </c>
      <c r="B810" s="16">
        <v>907</v>
      </c>
      <c r="C810" s="20" t="s">
        <v>498</v>
      </c>
      <c r="D810" s="20" t="s">
        <v>241</v>
      </c>
      <c r="E810" s="20" t="s">
        <v>926</v>
      </c>
      <c r="F810" s="20" t="s">
        <v>135</v>
      </c>
      <c r="G810" s="26">
        <f>G811</f>
        <v>215</v>
      </c>
      <c r="H810" s="26">
        <f>H811</f>
        <v>207.965</v>
      </c>
      <c r="I810" s="381">
        <f t="shared" si="78"/>
        <v>96.72790697674418</v>
      </c>
    </row>
    <row r="811" spans="1:9" s="203" customFormat="1" ht="15.75" x14ac:dyDescent="0.25">
      <c r="A811" s="25" t="s">
        <v>349</v>
      </c>
      <c r="B811" s="16">
        <v>907</v>
      </c>
      <c r="C811" s="20" t="s">
        <v>498</v>
      </c>
      <c r="D811" s="20" t="s">
        <v>241</v>
      </c>
      <c r="E811" s="20" t="s">
        <v>926</v>
      </c>
      <c r="F811" s="20" t="s">
        <v>216</v>
      </c>
      <c r="G811" s="26">
        <v>215</v>
      </c>
      <c r="H811" s="26">
        <v>207.965</v>
      </c>
      <c r="I811" s="381">
        <f t="shared" si="78"/>
        <v>96.72790697674418</v>
      </c>
    </row>
    <row r="812" spans="1:9" s="203" customFormat="1" ht="31.5" x14ac:dyDescent="0.25">
      <c r="A812" s="41" t="s">
        <v>1377</v>
      </c>
      <c r="B812" s="19">
        <v>907</v>
      </c>
      <c r="C812" s="24" t="s">
        <v>498</v>
      </c>
      <c r="D812" s="24" t="s">
        <v>241</v>
      </c>
      <c r="E812" s="7" t="s">
        <v>489</v>
      </c>
      <c r="F812" s="24"/>
      <c r="G812" s="21">
        <f>G813</f>
        <v>2700</v>
      </c>
      <c r="H812" s="21">
        <f>H813</f>
        <v>793.745</v>
      </c>
      <c r="I812" s="437">
        <f t="shared" si="78"/>
        <v>29.397962962962964</v>
      </c>
    </row>
    <row r="813" spans="1:9" s="203" customFormat="1" ht="31.5" x14ac:dyDescent="0.25">
      <c r="A813" s="58" t="s">
        <v>961</v>
      </c>
      <c r="B813" s="19">
        <v>907</v>
      </c>
      <c r="C813" s="24" t="s">
        <v>498</v>
      </c>
      <c r="D813" s="24" t="s">
        <v>241</v>
      </c>
      <c r="E813" s="7" t="s">
        <v>1286</v>
      </c>
      <c r="F813" s="24"/>
      <c r="G813" s="21">
        <f>G814</f>
        <v>2700</v>
      </c>
      <c r="H813" s="21">
        <f>H814</f>
        <v>793.745</v>
      </c>
      <c r="I813" s="437">
        <f t="shared" si="78"/>
        <v>29.397962962962964</v>
      </c>
    </row>
    <row r="814" spans="1:9" s="203" customFormat="1" ht="15.75" x14ac:dyDescent="0.25">
      <c r="A814" s="29" t="s">
        <v>962</v>
      </c>
      <c r="B814" s="16">
        <v>907</v>
      </c>
      <c r="C814" s="20" t="s">
        <v>498</v>
      </c>
      <c r="D814" s="20" t="s">
        <v>241</v>
      </c>
      <c r="E814" s="40" t="s">
        <v>1287</v>
      </c>
      <c r="F814" s="20"/>
      <c r="G814" s="26">
        <f>G815+G817</f>
        <v>2700</v>
      </c>
      <c r="H814" s="26">
        <f>H815+H817</f>
        <v>793.745</v>
      </c>
      <c r="I814" s="381">
        <f t="shared" si="78"/>
        <v>29.397962962962964</v>
      </c>
    </row>
    <row r="815" spans="1:9" s="203" customFormat="1" ht="63" x14ac:dyDescent="0.25">
      <c r="A815" s="25" t="s">
        <v>134</v>
      </c>
      <c r="B815" s="16">
        <v>907</v>
      </c>
      <c r="C815" s="20" t="s">
        <v>498</v>
      </c>
      <c r="D815" s="20" t="s">
        <v>241</v>
      </c>
      <c r="E815" s="40" t="s">
        <v>1287</v>
      </c>
      <c r="F815" s="20" t="s">
        <v>135</v>
      </c>
      <c r="G815" s="26">
        <f>G816</f>
        <v>2200</v>
      </c>
      <c r="H815" s="26">
        <f>H816</f>
        <v>615.4</v>
      </c>
      <c r="I815" s="381">
        <f t="shared" si="78"/>
        <v>27.972727272727273</v>
      </c>
    </row>
    <row r="816" spans="1:9" s="203" customFormat="1" ht="15.75" x14ac:dyDescent="0.25">
      <c r="A816" s="25" t="s">
        <v>349</v>
      </c>
      <c r="B816" s="16">
        <v>907</v>
      </c>
      <c r="C816" s="20" t="s">
        <v>498</v>
      </c>
      <c r="D816" s="20" t="s">
        <v>241</v>
      </c>
      <c r="E816" s="40" t="s">
        <v>1287</v>
      </c>
      <c r="F816" s="20" t="s">
        <v>216</v>
      </c>
      <c r="G816" s="26">
        <v>2200</v>
      </c>
      <c r="H816" s="26">
        <v>615.4</v>
      </c>
      <c r="I816" s="381">
        <f t="shared" si="78"/>
        <v>27.972727272727273</v>
      </c>
    </row>
    <row r="817" spans="1:9" s="203" customFormat="1" ht="31.5" x14ac:dyDescent="0.25">
      <c r="A817" s="29" t="s">
        <v>138</v>
      </c>
      <c r="B817" s="16">
        <v>907</v>
      </c>
      <c r="C817" s="20" t="s">
        <v>498</v>
      </c>
      <c r="D817" s="20" t="s">
        <v>241</v>
      </c>
      <c r="E817" s="40" t="s">
        <v>1287</v>
      </c>
      <c r="F817" s="20" t="s">
        <v>139</v>
      </c>
      <c r="G817" s="26">
        <f>G818</f>
        <v>500</v>
      </c>
      <c r="H817" s="26">
        <f>H818</f>
        <v>178.345</v>
      </c>
      <c r="I817" s="381">
        <f t="shared" si="78"/>
        <v>35.669000000000004</v>
      </c>
    </row>
    <row r="818" spans="1:9" s="203" customFormat="1" ht="31.5" x14ac:dyDescent="0.25">
      <c r="A818" s="29" t="s">
        <v>140</v>
      </c>
      <c r="B818" s="16">
        <v>907</v>
      </c>
      <c r="C818" s="20" t="s">
        <v>498</v>
      </c>
      <c r="D818" s="20" t="s">
        <v>241</v>
      </c>
      <c r="E818" s="40" t="s">
        <v>1287</v>
      </c>
      <c r="F818" s="20" t="s">
        <v>141</v>
      </c>
      <c r="G818" s="26">
        <f>500</f>
        <v>500</v>
      </c>
      <c r="H818" s="26">
        <v>178.345</v>
      </c>
      <c r="I818" s="381">
        <f t="shared" si="78"/>
        <v>35.669000000000004</v>
      </c>
    </row>
    <row r="819" spans="1:9" ht="31.5" x14ac:dyDescent="0.25">
      <c r="A819" s="19" t="s">
        <v>511</v>
      </c>
      <c r="B819" s="19">
        <v>908</v>
      </c>
      <c r="C819" s="20"/>
      <c r="D819" s="20"/>
      <c r="E819" s="20"/>
      <c r="F819" s="20"/>
      <c r="G819" s="21">
        <f>G834+G841+G862+G1029+G820</f>
        <v>116569.81</v>
      </c>
      <c r="H819" s="21">
        <f>H834+H841+H862+H1029+H820</f>
        <v>15940.220000000001</v>
      </c>
      <c r="I819" s="437">
        <f t="shared" si="78"/>
        <v>13.674398199671081</v>
      </c>
    </row>
    <row r="820" spans="1:9" ht="15.75" x14ac:dyDescent="0.25">
      <c r="A820" s="34" t="s">
        <v>124</v>
      </c>
      <c r="B820" s="19">
        <v>908</v>
      </c>
      <c r="C820" s="24" t="s">
        <v>125</v>
      </c>
      <c r="D820" s="20"/>
      <c r="E820" s="20"/>
      <c r="F820" s="20"/>
      <c r="G820" s="21">
        <f t="shared" ref="G820:H822" si="81">G821</f>
        <v>41282.100000000006</v>
      </c>
      <c r="H820" s="21">
        <f t="shared" si="81"/>
        <v>7343.3239999999996</v>
      </c>
      <c r="I820" s="437">
        <f t="shared" si="78"/>
        <v>17.788155156835526</v>
      </c>
    </row>
    <row r="821" spans="1:9" ht="15.75" x14ac:dyDescent="0.25">
      <c r="A821" s="34" t="s">
        <v>146</v>
      </c>
      <c r="B821" s="19">
        <v>908</v>
      </c>
      <c r="C821" s="24" t="s">
        <v>125</v>
      </c>
      <c r="D821" s="24" t="s">
        <v>147</v>
      </c>
      <c r="E821" s="20"/>
      <c r="F821" s="20"/>
      <c r="G821" s="21">
        <f t="shared" si="81"/>
        <v>41282.100000000006</v>
      </c>
      <c r="H821" s="21">
        <f t="shared" si="81"/>
        <v>7343.3239999999996</v>
      </c>
      <c r="I821" s="437">
        <f t="shared" si="78"/>
        <v>17.788155156835526</v>
      </c>
    </row>
    <row r="822" spans="1:9" ht="21.2" customHeight="1" x14ac:dyDescent="0.25">
      <c r="A822" s="23" t="s">
        <v>148</v>
      </c>
      <c r="B822" s="19">
        <v>908</v>
      </c>
      <c r="C822" s="24" t="s">
        <v>125</v>
      </c>
      <c r="D822" s="24" t="s">
        <v>147</v>
      </c>
      <c r="E822" s="24" t="s">
        <v>876</v>
      </c>
      <c r="F822" s="24"/>
      <c r="G822" s="44">
        <f t="shared" si="81"/>
        <v>41282.100000000006</v>
      </c>
      <c r="H822" s="44">
        <f t="shared" si="81"/>
        <v>7343.3239999999996</v>
      </c>
      <c r="I822" s="437">
        <f t="shared" si="78"/>
        <v>17.788155156835526</v>
      </c>
    </row>
    <row r="823" spans="1:9" ht="15.75" x14ac:dyDescent="0.25">
      <c r="A823" s="23" t="s">
        <v>964</v>
      </c>
      <c r="B823" s="19">
        <v>908</v>
      </c>
      <c r="C823" s="24" t="s">
        <v>125</v>
      </c>
      <c r="D823" s="24" t="s">
        <v>147</v>
      </c>
      <c r="E823" s="24" t="s">
        <v>963</v>
      </c>
      <c r="F823" s="24"/>
      <c r="G823" s="44">
        <f>G827+G824</f>
        <v>41282.100000000006</v>
      </c>
      <c r="H823" s="44">
        <f>H827+H824</f>
        <v>7343.3239999999996</v>
      </c>
      <c r="I823" s="437">
        <f t="shared" si="78"/>
        <v>17.788155156835526</v>
      </c>
    </row>
    <row r="824" spans="1:9" s="203" customFormat="1" ht="31.5" x14ac:dyDescent="0.25">
      <c r="A824" s="25" t="s">
        <v>849</v>
      </c>
      <c r="B824" s="16">
        <v>908</v>
      </c>
      <c r="C824" s="20" t="s">
        <v>125</v>
      </c>
      <c r="D824" s="20" t="s">
        <v>147</v>
      </c>
      <c r="E824" s="20" t="s">
        <v>966</v>
      </c>
      <c r="F824" s="20"/>
      <c r="G824" s="26">
        <f>G825</f>
        <v>1072</v>
      </c>
      <c r="H824" s="26">
        <f>H825</f>
        <v>475.86500000000001</v>
      </c>
      <c r="I824" s="381">
        <f t="shared" si="78"/>
        <v>44.390391791044777</v>
      </c>
    </row>
    <row r="825" spans="1:9" s="203" customFormat="1" ht="63" x14ac:dyDescent="0.25">
      <c r="A825" s="25" t="s">
        <v>134</v>
      </c>
      <c r="B825" s="16">
        <v>908</v>
      </c>
      <c r="C825" s="20" t="s">
        <v>125</v>
      </c>
      <c r="D825" s="20" t="s">
        <v>147</v>
      </c>
      <c r="E825" s="20" t="s">
        <v>966</v>
      </c>
      <c r="F825" s="20" t="s">
        <v>135</v>
      </c>
      <c r="G825" s="26">
        <f>G826</f>
        <v>1072</v>
      </c>
      <c r="H825" s="26">
        <f>H826</f>
        <v>475.86500000000001</v>
      </c>
      <c r="I825" s="381">
        <f t="shared" si="78"/>
        <v>44.390391791044777</v>
      </c>
    </row>
    <row r="826" spans="1:9" s="203" customFormat="1" ht="31.5" x14ac:dyDescent="0.25">
      <c r="A826" s="25" t="s">
        <v>136</v>
      </c>
      <c r="B826" s="16">
        <v>908</v>
      </c>
      <c r="C826" s="20" t="s">
        <v>125</v>
      </c>
      <c r="D826" s="20" t="s">
        <v>147</v>
      </c>
      <c r="E826" s="20" t="s">
        <v>966</v>
      </c>
      <c r="F826" s="20" t="s">
        <v>216</v>
      </c>
      <c r="G826" s="26">
        <v>1072</v>
      </c>
      <c r="H826" s="26">
        <v>475.86500000000001</v>
      </c>
      <c r="I826" s="381">
        <f t="shared" si="78"/>
        <v>44.390391791044777</v>
      </c>
    </row>
    <row r="827" spans="1:9" s="203" customFormat="1" ht="15.75" x14ac:dyDescent="0.25">
      <c r="A827" s="25" t="s">
        <v>811</v>
      </c>
      <c r="B827" s="16">
        <v>908</v>
      </c>
      <c r="C827" s="20" t="s">
        <v>125</v>
      </c>
      <c r="D827" s="20" t="s">
        <v>147</v>
      </c>
      <c r="E827" s="20" t="s">
        <v>965</v>
      </c>
      <c r="F827" s="20"/>
      <c r="G827" s="27">
        <f>G828+G830+G832</f>
        <v>40210.100000000006</v>
      </c>
      <c r="H827" s="27">
        <f>H828+H830+H832</f>
        <v>6867.4589999999998</v>
      </c>
      <c r="I827" s="381">
        <f t="shared" si="78"/>
        <v>17.078940365729007</v>
      </c>
    </row>
    <row r="828" spans="1:9" ht="74.25" customHeight="1" x14ac:dyDescent="0.25">
      <c r="A828" s="25" t="s">
        <v>134</v>
      </c>
      <c r="B828" s="16">
        <v>908</v>
      </c>
      <c r="C828" s="20" t="s">
        <v>125</v>
      </c>
      <c r="D828" s="20" t="s">
        <v>147</v>
      </c>
      <c r="E828" s="20" t="s">
        <v>965</v>
      </c>
      <c r="F828" s="20" t="s">
        <v>135</v>
      </c>
      <c r="G828" s="27">
        <f>G829</f>
        <v>32825.800000000003</v>
      </c>
      <c r="H828" s="27">
        <f>H829</f>
        <v>6101.0879999999997</v>
      </c>
      <c r="I828" s="381">
        <f t="shared" si="78"/>
        <v>18.586258369940715</v>
      </c>
    </row>
    <row r="829" spans="1:9" ht="15.75" x14ac:dyDescent="0.25">
      <c r="A829" s="46" t="s">
        <v>349</v>
      </c>
      <c r="B829" s="16">
        <v>908</v>
      </c>
      <c r="C829" s="20" t="s">
        <v>125</v>
      </c>
      <c r="D829" s="20" t="s">
        <v>147</v>
      </c>
      <c r="E829" s="20" t="s">
        <v>965</v>
      </c>
      <c r="F829" s="20" t="s">
        <v>216</v>
      </c>
      <c r="G829" s="27">
        <v>32825.800000000003</v>
      </c>
      <c r="H829" s="27">
        <v>6101.0879999999997</v>
      </c>
      <c r="I829" s="381">
        <f t="shared" si="78"/>
        <v>18.586258369940715</v>
      </c>
    </row>
    <row r="830" spans="1:9" ht="31.5" x14ac:dyDescent="0.25">
      <c r="A830" s="25" t="s">
        <v>138</v>
      </c>
      <c r="B830" s="16">
        <v>908</v>
      </c>
      <c r="C830" s="20" t="s">
        <v>125</v>
      </c>
      <c r="D830" s="20" t="s">
        <v>147</v>
      </c>
      <c r="E830" s="20" t="s">
        <v>965</v>
      </c>
      <c r="F830" s="20" t="s">
        <v>139</v>
      </c>
      <c r="G830" s="27">
        <f>G831</f>
        <v>6963.3</v>
      </c>
      <c r="H830" s="27">
        <f>H831</f>
        <v>618.78200000000004</v>
      </c>
      <c r="I830" s="381">
        <f t="shared" si="78"/>
        <v>8.8863326296439915</v>
      </c>
    </row>
    <row r="831" spans="1:9" ht="31.5" x14ac:dyDescent="0.25">
      <c r="A831" s="25" t="s">
        <v>140</v>
      </c>
      <c r="B831" s="16">
        <v>908</v>
      </c>
      <c r="C831" s="20" t="s">
        <v>125</v>
      </c>
      <c r="D831" s="20" t="s">
        <v>147</v>
      </c>
      <c r="E831" s="20" t="s">
        <v>965</v>
      </c>
      <c r="F831" s="20" t="s">
        <v>141</v>
      </c>
      <c r="G831" s="27">
        <f>6896.3+67</f>
        <v>6963.3</v>
      </c>
      <c r="H831" s="27">
        <v>618.78200000000004</v>
      </c>
      <c r="I831" s="381">
        <f t="shared" si="78"/>
        <v>8.8863326296439915</v>
      </c>
    </row>
    <row r="832" spans="1:9" ht="15.75" x14ac:dyDescent="0.25">
      <c r="A832" s="25" t="s">
        <v>142</v>
      </c>
      <c r="B832" s="16">
        <v>908</v>
      </c>
      <c r="C832" s="20" t="s">
        <v>125</v>
      </c>
      <c r="D832" s="20" t="s">
        <v>147</v>
      </c>
      <c r="E832" s="20" t="s">
        <v>965</v>
      </c>
      <c r="F832" s="20" t="s">
        <v>152</v>
      </c>
      <c r="G832" s="27">
        <f>G833</f>
        <v>421</v>
      </c>
      <c r="H832" s="27">
        <f>H833</f>
        <v>147.589</v>
      </c>
      <c r="I832" s="381">
        <f t="shared" si="78"/>
        <v>35.05676959619953</v>
      </c>
    </row>
    <row r="833" spans="1:9" ht="15.75" x14ac:dyDescent="0.25">
      <c r="A833" s="25" t="s">
        <v>714</v>
      </c>
      <c r="B833" s="16">
        <v>908</v>
      </c>
      <c r="C833" s="20" t="s">
        <v>125</v>
      </c>
      <c r="D833" s="20" t="s">
        <v>147</v>
      </c>
      <c r="E833" s="20" t="s">
        <v>965</v>
      </c>
      <c r="F833" s="20" t="s">
        <v>145</v>
      </c>
      <c r="G833" s="27">
        <v>421</v>
      </c>
      <c r="H833" s="27">
        <v>147.589</v>
      </c>
      <c r="I833" s="381">
        <f t="shared" si="78"/>
        <v>35.05676959619953</v>
      </c>
    </row>
    <row r="834" spans="1:9" ht="31.5" x14ac:dyDescent="0.25">
      <c r="A834" s="23" t="s">
        <v>229</v>
      </c>
      <c r="B834" s="19">
        <v>908</v>
      </c>
      <c r="C834" s="24" t="s">
        <v>222</v>
      </c>
      <c r="D834" s="24"/>
      <c r="E834" s="24"/>
      <c r="F834" s="24"/>
      <c r="G834" s="21">
        <f t="shared" ref="G834:H839" si="82">G835</f>
        <v>107</v>
      </c>
      <c r="H834" s="21">
        <f t="shared" si="82"/>
        <v>0</v>
      </c>
      <c r="I834" s="437">
        <f t="shared" si="78"/>
        <v>0</v>
      </c>
    </row>
    <row r="835" spans="1:9" ht="47.85" customHeight="1" x14ac:dyDescent="0.25">
      <c r="A835" s="23" t="s">
        <v>1362</v>
      </c>
      <c r="B835" s="19">
        <v>908</v>
      </c>
      <c r="C835" s="24" t="s">
        <v>222</v>
      </c>
      <c r="D835" s="24" t="s">
        <v>251</v>
      </c>
      <c r="E835" s="24"/>
      <c r="F835" s="24"/>
      <c r="G835" s="21">
        <f t="shared" si="82"/>
        <v>107</v>
      </c>
      <c r="H835" s="21">
        <f t="shared" si="82"/>
        <v>0</v>
      </c>
      <c r="I835" s="437">
        <f t="shared" si="78"/>
        <v>0</v>
      </c>
    </row>
    <row r="836" spans="1:9" ht="21.75" customHeight="1" x14ac:dyDescent="0.25">
      <c r="A836" s="23" t="s">
        <v>148</v>
      </c>
      <c r="B836" s="19">
        <v>908</v>
      </c>
      <c r="C836" s="24" t="s">
        <v>222</v>
      </c>
      <c r="D836" s="24" t="s">
        <v>251</v>
      </c>
      <c r="E836" s="24" t="s">
        <v>876</v>
      </c>
      <c r="F836" s="24"/>
      <c r="G836" s="21">
        <f t="shared" si="82"/>
        <v>107</v>
      </c>
      <c r="H836" s="21">
        <f t="shared" si="82"/>
        <v>0</v>
      </c>
      <c r="I836" s="437">
        <f t="shared" si="78"/>
        <v>0</v>
      </c>
    </row>
    <row r="837" spans="1:9" ht="31.5" x14ac:dyDescent="0.25">
      <c r="A837" s="23" t="s">
        <v>880</v>
      </c>
      <c r="B837" s="19">
        <v>908</v>
      </c>
      <c r="C837" s="24" t="s">
        <v>222</v>
      </c>
      <c r="D837" s="24" t="s">
        <v>251</v>
      </c>
      <c r="E837" s="24" t="s">
        <v>875</v>
      </c>
      <c r="F837" s="24"/>
      <c r="G837" s="21">
        <f t="shared" si="82"/>
        <v>107</v>
      </c>
      <c r="H837" s="21">
        <f t="shared" si="82"/>
        <v>0</v>
      </c>
      <c r="I837" s="437">
        <f t="shared" si="78"/>
        <v>0</v>
      </c>
    </row>
    <row r="838" spans="1:9" ht="15.75" x14ac:dyDescent="0.25">
      <c r="A838" s="25" t="s">
        <v>237</v>
      </c>
      <c r="B838" s="16">
        <v>908</v>
      </c>
      <c r="C838" s="20" t="s">
        <v>222</v>
      </c>
      <c r="D838" s="20" t="s">
        <v>251</v>
      </c>
      <c r="E838" s="20" t="s">
        <v>886</v>
      </c>
      <c r="F838" s="20"/>
      <c r="G838" s="26">
        <f t="shared" si="82"/>
        <v>107</v>
      </c>
      <c r="H838" s="26">
        <f t="shared" si="82"/>
        <v>0</v>
      </c>
      <c r="I838" s="381">
        <f t="shared" si="78"/>
        <v>0</v>
      </c>
    </row>
    <row r="839" spans="1:9" ht="31.5" x14ac:dyDescent="0.25">
      <c r="A839" s="25" t="s">
        <v>138</v>
      </c>
      <c r="B839" s="16">
        <v>908</v>
      </c>
      <c r="C839" s="20" t="s">
        <v>222</v>
      </c>
      <c r="D839" s="20" t="s">
        <v>251</v>
      </c>
      <c r="E839" s="20" t="s">
        <v>886</v>
      </c>
      <c r="F839" s="20" t="s">
        <v>139</v>
      </c>
      <c r="G839" s="26">
        <f t="shared" si="82"/>
        <v>107</v>
      </c>
      <c r="H839" s="26">
        <f t="shared" si="82"/>
        <v>0</v>
      </c>
      <c r="I839" s="381">
        <f t="shared" si="78"/>
        <v>0</v>
      </c>
    </row>
    <row r="840" spans="1:9" ht="31.5" x14ac:dyDescent="0.25">
      <c r="A840" s="25" t="s">
        <v>140</v>
      </c>
      <c r="B840" s="16">
        <v>908</v>
      </c>
      <c r="C840" s="20" t="s">
        <v>222</v>
      </c>
      <c r="D840" s="20" t="s">
        <v>251</v>
      </c>
      <c r="E840" s="20" t="s">
        <v>886</v>
      </c>
      <c r="F840" s="20" t="s">
        <v>141</v>
      </c>
      <c r="G840" s="26">
        <v>107</v>
      </c>
      <c r="H840" s="26">
        <v>0</v>
      </c>
      <c r="I840" s="381">
        <f t="shared" si="78"/>
        <v>0</v>
      </c>
    </row>
    <row r="841" spans="1:9" ht="15.75" x14ac:dyDescent="0.25">
      <c r="A841" s="23" t="s">
        <v>239</v>
      </c>
      <c r="B841" s="19">
        <v>908</v>
      </c>
      <c r="C841" s="24" t="s">
        <v>157</v>
      </c>
      <c r="D841" s="24"/>
      <c r="E841" s="24"/>
      <c r="F841" s="24"/>
      <c r="G841" s="21">
        <f>G842+G848</f>
        <v>5577</v>
      </c>
      <c r="H841" s="21">
        <f>H842+H848</f>
        <v>1077.537</v>
      </c>
      <c r="I841" s="437">
        <f t="shared" si="78"/>
        <v>19.321086605701989</v>
      </c>
    </row>
    <row r="842" spans="1:9" ht="15.75" x14ac:dyDescent="0.25">
      <c r="A842" s="23" t="s">
        <v>512</v>
      </c>
      <c r="B842" s="19">
        <v>908</v>
      </c>
      <c r="C842" s="24" t="s">
        <v>157</v>
      </c>
      <c r="D842" s="24" t="s">
        <v>306</v>
      </c>
      <c r="E842" s="24"/>
      <c r="F842" s="24"/>
      <c r="G842" s="21">
        <f t="shared" ref="G842:H846" si="83">G843</f>
        <v>3258</v>
      </c>
      <c r="H842" s="21">
        <f t="shared" si="83"/>
        <v>533.38400000000001</v>
      </c>
      <c r="I842" s="437">
        <f t="shared" si="78"/>
        <v>16.371516267648865</v>
      </c>
    </row>
    <row r="843" spans="1:9" ht="15.75" x14ac:dyDescent="0.25">
      <c r="A843" s="23" t="s">
        <v>148</v>
      </c>
      <c r="B843" s="19">
        <v>908</v>
      </c>
      <c r="C843" s="24" t="s">
        <v>157</v>
      </c>
      <c r="D843" s="24" t="s">
        <v>306</v>
      </c>
      <c r="E843" s="24" t="s">
        <v>876</v>
      </c>
      <c r="F843" s="24"/>
      <c r="G843" s="21">
        <f t="shared" si="83"/>
        <v>3258</v>
      </c>
      <c r="H843" s="21">
        <f t="shared" si="83"/>
        <v>533.38400000000001</v>
      </c>
      <c r="I843" s="437">
        <f t="shared" ref="I843:I906" si="84">H843/G843*100</f>
        <v>16.371516267648865</v>
      </c>
    </row>
    <row r="844" spans="1:9" ht="31.5" x14ac:dyDescent="0.25">
      <c r="A844" s="23" t="s">
        <v>880</v>
      </c>
      <c r="B844" s="19">
        <v>908</v>
      </c>
      <c r="C844" s="24" t="s">
        <v>157</v>
      </c>
      <c r="D844" s="24" t="s">
        <v>306</v>
      </c>
      <c r="E844" s="24" t="s">
        <v>875</v>
      </c>
      <c r="F844" s="24"/>
      <c r="G844" s="21">
        <f t="shared" si="83"/>
        <v>3258</v>
      </c>
      <c r="H844" s="21">
        <f t="shared" si="83"/>
        <v>533.38400000000001</v>
      </c>
      <c r="I844" s="437">
        <f t="shared" si="84"/>
        <v>16.371516267648865</v>
      </c>
    </row>
    <row r="845" spans="1:9" ht="18" customHeight="1" x14ac:dyDescent="0.25">
      <c r="A845" s="25" t="s">
        <v>513</v>
      </c>
      <c r="B845" s="16">
        <v>908</v>
      </c>
      <c r="C845" s="20" t="s">
        <v>157</v>
      </c>
      <c r="D845" s="20" t="s">
        <v>306</v>
      </c>
      <c r="E845" s="20" t="s">
        <v>967</v>
      </c>
      <c r="F845" s="20"/>
      <c r="G845" s="26">
        <f t="shared" si="83"/>
        <v>3258</v>
      </c>
      <c r="H845" s="26">
        <f t="shared" si="83"/>
        <v>533.38400000000001</v>
      </c>
      <c r="I845" s="381">
        <f t="shared" si="84"/>
        <v>16.371516267648865</v>
      </c>
    </row>
    <row r="846" spans="1:9" ht="31.5" x14ac:dyDescent="0.25">
      <c r="A846" s="25" t="s">
        <v>138</v>
      </c>
      <c r="B846" s="16">
        <v>908</v>
      </c>
      <c r="C846" s="20" t="s">
        <v>157</v>
      </c>
      <c r="D846" s="20" t="s">
        <v>306</v>
      </c>
      <c r="E846" s="20" t="s">
        <v>967</v>
      </c>
      <c r="F846" s="20" t="s">
        <v>139</v>
      </c>
      <c r="G846" s="26">
        <f t="shared" si="83"/>
        <v>3258</v>
      </c>
      <c r="H846" s="26">
        <f t="shared" si="83"/>
        <v>533.38400000000001</v>
      </c>
      <c r="I846" s="381">
        <f t="shared" si="84"/>
        <v>16.371516267648865</v>
      </c>
    </row>
    <row r="847" spans="1:9" ht="31.5" x14ac:dyDescent="0.25">
      <c r="A847" s="25" t="s">
        <v>140</v>
      </c>
      <c r="B847" s="16">
        <v>908</v>
      </c>
      <c r="C847" s="20" t="s">
        <v>157</v>
      </c>
      <c r="D847" s="20" t="s">
        <v>306</v>
      </c>
      <c r="E847" s="20" t="s">
        <v>967</v>
      </c>
      <c r="F847" s="20" t="s">
        <v>141</v>
      </c>
      <c r="G847" s="26">
        <v>3258</v>
      </c>
      <c r="H847" s="26">
        <v>533.38400000000001</v>
      </c>
      <c r="I847" s="381">
        <f t="shared" si="84"/>
        <v>16.371516267648865</v>
      </c>
    </row>
    <row r="848" spans="1:9" ht="15.75" x14ac:dyDescent="0.25">
      <c r="A848" s="23" t="s">
        <v>515</v>
      </c>
      <c r="B848" s="19">
        <v>908</v>
      </c>
      <c r="C848" s="24" t="s">
        <v>157</v>
      </c>
      <c r="D848" s="24" t="s">
        <v>226</v>
      </c>
      <c r="E848" s="20"/>
      <c r="F848" s="24"/>
      <c r="G848" s="21">
        <f>G849</f>
        <v>2319</v>
      </c>
      <c r="H848" s="21">
        <f>H849</f>
        <v>544.15300000000002</v>
      </c>
      <c r="I848" s="437">
        <f t="shared" si="84"/>
        <v>23.464984907287626</v>
      </c>
    </row>
    <row r="849" spans="1:9" ht="36.75" customHeight="1" x14ac:dyDescent="0.25">
      <c r="A849" s="34" t="s">
        <v>1378</v>
      </c>
      <c r="B849" s="19">
        <v>908</v>
      </c>
      <c r="C849" s="24" t="s">
        <v>157</v>
      </c>
      <c r="D849" s="24" t="s">
        <v>226</v>
      </c>
      <c r="E849" s="24" t="s">
        <v>517</v>
      </c>
      <c r="F849" s="24"/>
      <c r="G849" s="21">
        <f>G855+G850</f>
        <v>2319</v>
      </c>
      <c r="H849" s="21">
        <f>H855+H850</f>
        <v>544.15300000000002</v>
      </c>
      <c r="I849" s="437">
        <f t="shared" si="84"/>
        <v>23.464984907287626</v>
      </c>
    </row>
    <row r="850" spans="1:9" s="203" customFormat="1" ht="31.5" hidden="1" x14ac:dyDescent="0.25">
      <c r="A850" s="34" t="s">
        <v>1009</v>
      </c>
      <c r="B850" s="19">
        <v>908</v>
      </c>
      <c r="C850" s="24" t="s">
        <v>157</v>
      </c>
      <c r="D850" s="24" t="s">
        <v>226</v>
      </c>
      <c r="E850" s="7" t="s">
        <v>968</v>
      </c>
      <c r="F850" s="24"/>
      <c r="G850" s="21">
        <f t="shared" ref="G850:H852" si="85">G851</f>
        <v>0</v>
      </c>
      <c r="H850" s="21">
        <f t="shared" si="85"/>
        <v>0</v>
      </c>
      <c r="I850" s="437" t="e">
        <f t="shared" si="84"/>
        <v>#DIV/0!</v>
      </c>
    </row>
    <row r="851" spans="1:9" s="203" customFormat="1" ht="15.75" hidden="1" x14ac:dyDescent="0.25">
      <c r="A851" s="29" t="s">
        <v>1011</v>
      </c>
      <c r="B851" s="16">
        <v>908</v>
      </c>
      <c r="C851" s="20" t="s">
        <v>157</v>
      </c>
      <c r="D851" s="20" t="s">
        <v>226</v>
      </c>
      <c r="E851" s="40" t="s">
        <v>1010</v>
      </c>
      <c r="F851" s="20"/>
      <c r="G851" s="26">
        <f t="shared" si="85"/>
        <v>0</v>
      </c>
      <c r="H851" s="26">
        <f t="shared" si="85"/>
        <v>0</v>
      </c>
      <c r="I851" s="437" t="e">
        <f t="shared" si="84"/>
        <v>#DIV/0!</v>
      </c>
    </row>
    <row r="852" spans="1:9" s="203" customFormat="1" ht="31.5" hidden="1" x14ac:dyDescent="0.25">
      <c r="A852" s="25" t="s">
        <v>138</v>
      </c>
      <c r="B852" s="16">
        <v>908</v>
      </c>
      <c r="C852" s="20" t="s">
        <v>157</v>
      </c>
      <c r="D852" s="20" t="s">
        <v>226</v>
      </c>
      <c r="E852" s="40" t="s">
        <v>1010</v>
      </c>
      <c r="F852" s="20" t="s">
        <v>139</v>
      </c>
      <c r="G852" s="26">
        <f t="shared" si="85"/>
        <v>0</v>
      </c>
      <c r="H852" s="26">
        <f t="shared" si="85"/>
        <v>0</v>
      </c>
      <c r="I852" s="437" t="e">
        <f t="shared" si="84"/>
        <v>#DIV/0!</v>
      </c>
    </row>
    <row r="853" spans="1:9" s="203" customFormat="1" ht="31.5" hidden="1" x14ac:dyDescent="0.25">
      <c r="A853" s="25" t="s">
        <v>140</v>
      </c>
      <c r="B853" s="16">
        <v>908</v>
      </c>
      <c r="C853" s="20" t="s">
        <v>157</v>
      </c>
      <c r="D853" s="20" t="s">
        <v>226</v>
      </c>
      <c r="E853" s="40" t="s">
        <v>1010</v>
      </c>
      <c r="F853" s="20" t="s">
        <v>141</v>
      </c>
      <c r="G853" s="26">
        <v>0</v>
      </c>
      <c r="H853" s="26">
        <v>0</v>
      </c>
      <c r="I853" s="437" t="e">
        <f t="shared" si="84"/>
        <v>#DIV/0!</v>
      </c>
    </row>
    <row r="854" spans="1:9" s="203" customFormat="1" ht="31.5" x14ac:dyDescent="0.25">
      <c r="A854" s="34" t="s">
        <v>1071</v>
      </c>
      <c r="B854" s="19">
        <v>908</v>
      </c>
      <c r="C854" s="24" t="s">
        <v>157</v>
      </c>
      <c r="D854" s="24" t="s">
        <v>226</v>
      </c>
      <c r="E854" s="24" t="s">
        <v>969</v>
      </c>
      <c r="F854" s="24"/>
      <c r="G854" s="21">
        <f>G855</f>
        <v>2319</v>
      </c>
      <c r="H854" s="21">
        <f>H855</f>
        <v>544.15300000000002</v>
      </c>
      <c r="I854" s="437">
        <f t="shared" si="84"/>
        <v>23.464984907287626</v>
      </c>
    </row>
    <row r="855" spans="1:9" ht="15.75" x14ac:dyDescent="0.25">
      <c r="A855" s="29" t="s">
        <v>518</v>
      </c>
      <c r="B855" s="16">
        <v>908</v>
      </c>
      <c r="C855" s="20" t="s">
        <v>157</v>
      </c>
      <c r="D855" s="20" t="s">
        <v>226</v>
      </c>
      <c r="E855" s="40" t="s">
        <v>1012</v>
      </c>
      <c r="F855" s="20"/>
      <c r="G855" s="26">
        <f>G858+G860+G856</f>
        <v>2319</v>
      </c>
      <c r="H855" s="26">
        <f>H858+H860+H856</f>
        <v>544.15300000000002</v>
      </c>
      <c r="I855" s="381">
        <f t="shared" si="84"/>
        <v>23.464984907287626</v>
      </c>
    </row>
    <row r="856" spans="1:9" s="203" customFormat="1" ht="63" x14ac:dyDescent="0.25">
      <c r="A856" s="25" t="s">
        <v>134</v>
      </c>
      <c r="B856" s="16">
        <v>908</v>
      </c>
      <c r="C856" s="20" t="s">
        <v>157</v>
      </c>
      <c r="D856" s="20" t="s">
        <v>226</v>
      </c>
      <c r="E856" s="40" t="s">
        <v>1012</v>
      </c>
      <c r="F856" s="20" t="s">
        <v>135</v>
      </c>
      <c r="G856" s="26">
        <f>G857</f>
        <v>1807</v>
      </c>
      <c r="H856" s="26">
        <f>H857</f>
        <v>520.15300000000002</v>
      </c>
      <c r="I856" s="381">
        <f t="shared" si="84"/>
        <v>28.785445489762036</v>
      </c>
    </row>
    <row r="857" spans="1:9" s="203" customFormat="1" ht="15.75" x14ac:dyDescent="0.25">
      <c r="A857" s="25" t="s">
        <v>349</v>
      </c>
      <c r="B857" s="16">
        <v>908</v>
      </c>
      <c r="C857" s="20" t="s">
        <v>157</v>
      </c>
      <c r="D857" s="20" t="s">
        <v>226</v>
      </c>
      <c r="E857" s="40" t="s">
        <v>1012</v>
      </c>
      <c r="F857" s="20" t="s">
        <v>216</v>
      </c>
      <c r="G857" s="26">
        <v>1807</v>
      </c>
      <c r="H857" s="26">
        <v>520.15300000000002</v>
      </c>
      <c r="I857" s="381">
        <f t="shared" si="84"/>
        <v>28.785445489762036</v>
      </c>
    </row>
    <row r="858" spans="1:9" ht="31.5" x14ac:dyDescent="0.25">
      <c r="A858" s="25" t="s">
        <v>138</v>
      </c>
      <c r="B858" s="16">
        <v>908</v>
      </c>
      <c r="C858" s="20" t="s">
        <v>157</v>
      </c>
      <c r="D858" s="20" t="s">
        <v>226</v>
      </c>
      <c r="E858" s="40" t="s">
        <v>1012</v>
      </c>
      <c r="F858" s="20" t="s">
        <v>139</v>
      </c>
      <c r="G858" s="26">
        <f>G859</f>
        <v>512</v>
      </c>
      <c r="H858" s="26">
        <f>H859</f>
        <v>24</v>
      </c>
      <c r="I858" s="381">
        <f t="shared" si="84"/>
        <v>4.6875</v>
      </c>
    </row>
    <row r="859" spans="1:9" ht="31.5" x14ac:dyDescent="0.25">
      <c r="A859" s="25" t="s">
        <v>140</v>
      </c>
      <c r="B859" s="16">
        <v>908</v>
      </c>
      <c r="C859" s="20" t="s">
        <v>157</v>
      </c>
      <c r="D859" s="20" t="s">
        <v>226</v>
      </c>
      <c r="E859" s="40" t="s">
        <v>1012</v>
      </c>
      <c r="F859" s="20" t="s">
        <v>141</v>
      </c>
      <c r="G859" s="26">
        <f>3600+-G857-410.6-205.4-665</f>
        <v>512</v>
      </c>
      <c r="H859" s="26">
        <v>24</v>
      </c>
      <c r="I859" s="381">
        <f t="shared" si="84"/>
        <v>4.6875</v>
      </c>
    </row>
    <row r="860" spans="1:9" ht="15.75" hidden="1" x14ac:dyDescent="0.25">
      <c r="A860" s="25" t="s">
        <v>142</v>
      </c>
      <c r="B860" s="16">
        <v>908</v>
      </c>
      <c r="C860" s="20" t="s">
        <v>157</v>
      </c>
      <c r="D860" s="20" t="s">
        <v>226</v>
      </c>
      <c r="E860" s="40" t="s">
        <v>1012</v>
      </c>
      <c r="F860" s="20" t="s">
        <v>152</v>
      </c>
      <c r="G860" s="26">
        <f>G861</f>
        <v>0</v>
      </c>
      <c r="H860" s="26">
        <f>H861</f>
        <v>0</v>
      </c>
      <c r="I860" s="381" t="e">
        <f t="shared" si="84"/>
        <v>#DIV/0!</v>
      </c>
    </row>
    <row r="861" spans="1:9" ht="15.75" hidden="1" x14ac:dyDescent="0.25">
      <c r="A861" s="25" t="s">
        <v>575</v>
      </c>
      <c r="B861" s="16">
        <v>908</v>
      </c>
      <c r="C861" s="20" t="s">
        <v>157</v>
      </c>
      <c r="D861" s="20" t="s">
        <v>226</v>
      </c>
      <c r="E861" s="40" t="s">
        <v>1012</v>
      </c>
      <c r="F861" s="20" t="s">
        <v>145</v>
      </c>
      <c r="G861" s="26">
        <v>0</v>
      </c>
      <c r="H861" s="26">
        <v>0</v>
      </c>
      <c r="I861" s="381" t="e">
        <f t="shared" si="84"/>
        <v>#DIV/0!</v>
      </c>
    </row>
    <row r="862" spans="1:9" ht="15.75" x14ac:dyDescent="0.25">
      <c r="A862" s="23" t="s">
        <v>397</v>
      </c>
      <c r="B862" s="19">
        <v>908</v>
      </c>
      <c r="C862" s="24" t="s">
        <v>241</v>
      </c>
      <c r="D862" s="24"/>
      <c r="E862" s="24"/>
      <c r="F862" s="24"/>
      <c r="G862" s="21">
        <f>G863+G877+G942+G992</f>
        <v>69516.709999999992</v>
      </c>
      <c r="H862" s="21">
        <f>H863+H877+H942+H992</f>
        <v>7519.3590000000004</v>
      </c>
      <c r="I862" s="381">
        <f t="shared" si="84"/>
        <v>10.816620924666891</v>
      </c>
    </row>
    <row r="863" spans="1:9" ht="15.75" x14ac:dyDescent="0.25">
      <c r="A863" s="23" t="s">
        <v>398</v>
      </c>
      <c r="B863" s="19">
        <v>908</v>
      </c>
      <c r="C863" s="24" t="s">
        <v>241</v>
      </c>
      <c r="D863" s="24" t="s">
        <v>125</v>
      </c>
      <c r="E863" s="24"/>
      <c r="F863" s="24"/>
      <c r="G863" s="21">
        <f>G864</f>
        <v>5790</v>
      </c>
      <c r="H863" s="21">
        <f>H864</f>
        <v>917.32500000000005</v>
      </c>
      <c r="I863" s="381">
        <f t="shared" si="84"/>
        <v>15.843264248704664</v>
      </c>
    </row>
    <row r="864" spans="1:9" ht="15.75" x14ac:dyDescent="0.25">
      <c r="A864" s="23" t="s">
        <v>148</v>
      </c>
      <c r="B864" s="19">
        <v>908</v>
      </c>
      <c r="C864" s="24" t="s">
        <v>241</v>
      </c>
      <c r="D864" s="24" t="s">
        <v>125</v>
      </c>
      <c r="E864" s="24" t="s">
        <v>876</v>
      </c>
      <c r="F864" s="24"/>
      <c r="G864" s="21">
        <f>G865</f>
        <v>5790</v>
      </c>
      <c r="H864" s="21">
        <f>H865</f>
        <v>917.32500000000005</v>
      </c>
      <c r="I864" s="381">
        <f t="shared" si="84"/>
        <v>15.843264248704664</v>
      </c>
    </row>
    <row r="865" spans="1:9" ht="31.5" x14ac:dyDescent="0.25">
      <c r="A865" s="23" t="s">
        <v>880</v>
      </c>
      <c r="B865" s="19">
        <v>908</v>
      </c>
      <c r="C865" s="24" t="s">
        <v>241</v>
      </c>
      <c r="D865" s="24" t="s">
        <v>125</v>
      </c>
      <c r="E865" s="24" t="s">
        <v>875</v>
      </c>
      <c r="F865" s="24"/>
      <c r="G865" s="21">
        <f>G874+G871+G866</f>
        <v>5790</v>
      </c>
      <c r="H865" s="21">
        <f>H874+H871+H866</f>
        <v>917.32500000000005</v>
      </c>
      <c r="I865" s="381">
        <f t="shared" si="84"/>
        <v>15.843264248704664</v>
      </c>
    </row>
    <row r="866" spans="1:9" ht="15.75" hidden="1" x14ac:dyDescent="0.25">
      <c r="A866" s="25" t="s">
        <v>522</v>
      </c>
      <c r="B866" s="16">
        <v>908</v>
      </c>
      <c r="C866" s="20" t="s">
        <v>784</v>
      </c>
      <c r="D866" s="20" t="s">
        <v>125</v>
      </c>
      <c r="E866" s="20" t="s">
        <v>970</v>
      </c>
      <c r="F866" s="24"/>
      <c r="G866" s="26">
        <f>G869+G867</f>
        <v>0</v>
      </c>
      <c r="H866" s="26">
        <f>H869+H867</f>
        <v>0</v>
      </c>
      <c r="I866" s="381" t="e">
        <f t="shared" si="84"/>
        <v>#DIV/0!</v>
      </c>
    </row>
    <row r="867" spans="1:9" s="203" customFormat="1" ht="31.5" hidden="1" x14ac:dyDescent="0.25">
      <c r="A867" s="25" t="s">
        <v>138</v>
      </c>
      <c r="B867" s="16">
        <v>908</v>
      </c>
      <c r="C867" s="20" t="s">
        <v>241</v>
      </c>
      <c r="D867" s="20" t="s">
        <v>125</v>
      </c>
      <c r="E867" s="20" t="s">
        <v>970</v>
      </c>
      <c r="F867" s="20" t="s">
        <v>139</v>
      </c>
      <c r="G867" s="26">
        <f>G868</f>
        <v>0</v>
      </c>
      <c r="H867" s="26">
        <f>H868</f>
        <v>0</v>
      </c>
      <c r="I867" s="381" t="e">
        <f t="shared" si="84"/>
        <v>#DIV/0!</v>
      </c>
    </row>
    <row r="868" spans="1:9" s="203" customFormat="1" ht="31.5" hidden="1" x14ac:dyDescent="0.25">
      <c r="A868" s="25" t="s">
        <v>140</v>
      </c>
      <c r="B868" s="16">
        <v>908</v>
      </c>
      <c r="C868" s="20" t="s">
        <v>241</v>
      </c>
      <c r="D868" s="20" t="s">
        <v>125</v>
      </c>
      <c r="E868" s="20" t="s">
        <v>970</v>
      </c>
      <c r="F868" s="20" t="s">
        <v>141</v>
      </c>
      <c r="G868" s="26">
        <v>0</v>
      </c>
      <c r="H868" s="26">
        <v>0</v>
      </c>
      <c r="I868" s="381" t="e">
        <f t="shared" si="84"/>
        <v>#DIV/0!</v>
      </c>
    </row>
    <row r="869" spans="1:9" ht="25.5" hidden="1" customHeight="1" x14ac:dyDescent="0.25">
      <c r="A869" s="25" t="s">
        <v>142</v>
      </c>
      <c r="B869" s="16">
        <v>908</v>
      </c>
      <c r="C869" s="20" t="s">
        <v>241</v>
      </c>
      <c r="D869" s="20" t="s">
        <v>125</v>
      </c>
      <c r="E869" s="20" t="s">
        <v>970</v>
      </c>
      <c r="F869" s="20" t="s">
        <v>152</v>
      </c>
      <c r="G869" s="26">
        <f>G870</f>
        <v>0</v>
      </c>
      <c r="H869" s="26">
        <f>H870</f>
        <v>0</v>
      </c>
      <c r="I869" s="381" t="e">
        <f t="shared" si="84"/>
        <v>#DIV/0!</v>
      </c>
    </row>
    <row r="870" spans="1:9" ht="25.5" hidden="1" customHeight="1" x14ac:dyDescent="0.25">
      <c r="A870" s="25" t="s">
        <v>191</v>
      </c>
      <c r="B870" s="16">
        <v>908</v>
      </c>
      <c r="C870" s="20" t="s">
        <v>241</v>
      </c>
      <c r="D870" s="20" t="s">
        <v>125</v>
      </c>
      <c r="E870" s="20" t="s">
        <v>970</v>
      </c>
      <c r="F870" s="20" t="s">
        <v>167</v>
      </c>
      <c r="G870" s="26"/>
      <c r="H870" s="26"/>
      <c r="I870" s="381" t="e">
        <f t="shared" si="84"/>
        <v>#DIV/0!</v>
      </c>
    </row>
    <row r="871" spans="1:9" ht="33.75" customHeight="1" x14ac:dyDescent="0.25">
      <c r="A871" s="29" t="s">
        <v>405</v>
      </c>
      <c r="B871" s="16">
        <v>908</v>
      </c>
      <c r="C871" s="20" t="s">
        <v>241</v>
      </c>
      <c r="D871" s="20" t="s">
        <v>125</v>
      </c>
      <c r="E871" s="20" t="s">
        <v>971</v>
      </c>
      <c r="F871" s="24"/>
      <c r="G871" s="26">
        <f>G872</f>
        <v>4650</v>
      </c>
      <c r="H871" s="26">
        <f>H872</f>
        <v>917.32500000000005</v>
      </c>
      <c r="I871" s="381">
        <f t="shared" si="84"/>
        <v>19.727419354838709</v>
      </c>
    </row>
    <row r="872" spans="1:9" ht="31.5" x14ac:dyDescent="0.25">
      <c r="A872" s="25" t="s">
        <v>138</v>
      </c>
      <c r="B872" s="16">
        <v>908</v>
      </c>
      <c r="C872" s="20" t="s">
        <v>241</v>
      </c>
      <c r="D872" s="20" t="s">
        <v>125</v>
      </c>
      <c r="E872" s="20" t="s">
        <v>971</v>
      </c>
      <c r="F872" s="20" t="s">
        <v>139</v>
      </c>
      <c r="G872" s="26">
        <f>G873</f>
        <v>4650</v>
      </c>
      <c r="H872" s="26">
        <f>H873</f>
        <v>917.32500000000005</v>
      </c>
      <c r="I872" s="381">
        <f t="shared" si="84"/>
        <v>19.727419354838709</v>
      </c>
    </row>
    <row r="873" spans="1:9" ht="33" customHeight="1" x14ac:dyDescent="0.25">
      <c r="A873" s="25" t="s">
        <v>140</v>
      </c>
      <c r="B873" s="16">
        <v>908</v>
      </c>
      <c r="C873" s="20" t="s">
        <v>241</v>
      </c>
      <c r="D873" s="20" t="s">
        <v>125</v>
      </c>
      <c r="E873" s="20" t="s">
        <v>971</v>
      </c>
      <c r="F873" s="20" t="s">
        <v>141</v>
      </c>
      <c r="G873" s="27">
        <v>4650</v>
      </c>
      <c r="H873" s="27">
        <v>917.32500000000005</v>
      </c>
      <c r="I873" s="381">
        <f t="shared" si="84"/>
        <v>19.727419354838709</v>
      </c>
    </row>
    <row r="874" spans="1:9" ht="31.5" x14ac:dyDescent="0.25">
      <c r="A874" s="29" t="s">
        <v>942</v>
      </c>
      <c r="B874" s="16">
        <v>908</v>
      </c>
      <c r="C874" s="20" t="s">
        <v>241</v>
      </c>
      <c r="D874" s="20" t="s">
        <v>125</v>
      </c>
      <c r="E874" s="20" t="s">
        <v>972</v>
      </c>
      <c r="F874" s="24"/>
      <c r="G874" s="26">
        <f>G875</f>
        <v>1140</v>
      </c>
      <c r="H874" s="26">
        <f>H875</f>
        <v>0</v>
      </c>
      <c r="I874" s="381">
        <f t="shared" si="84"/>
        <v>0</v>
      </c>
    </row>
    <row r="875" spans="1:9" ht="31.5" x14ac:dyDescent="0.25">
      <c r="A875" s="25" t="s">
        <v>138</v>
      </c>
      <c r="B875" s="16">
        <v>908</v>
      </c>
      <c r="C875" s="20" t="s">
        <v>241</v>
      </c>
      <c r="D875" s="20" t="s">
        <v>125</v>
      </c>
      <c r="E875" s="20" t="s">
        <v>972</v>
      </c>
      <c r="F875" s="20" t="s">
        <v>139</v>
      </c>
      <c r="G875" s="26">
        <f>G876</f>
        <v>1140</v>
      </c>
      <c r="H875" s="26">
        <f>H876</f>
        <v>0</v>
      </c>
      <c r="I875" s="381">
        <f t="shared" si="84"/>
        <v>0</v>
      </c>
    </row>
    <row r="876" spans="1:9" ht="33" customHeight="1" x14ac:dyDescent="0.25">
      <c r="A876" s="25" t="s">
        <v>140</v>
      </c>
      <c r="B876" s="16">
        <v>908</v>
      </c>
      <c r="C876" s="20" t="s">
        <v>241</v>
      </c>
      <c r="D876" s="20" t="s">
        <v>125</v>
      </c>
      <c r="E876" s="20" t="s">
        <v>972</v>
      </c>
      <c r="F876" s="20" t="s">
        <v>141</v>
      </c>
      <c r="G876" s="26">
        <v>1140</v>
      </c>
      <c r="H876" s="26">
        <v>0</v>
      </c>
      <c r="I876" s="381">
        <f t="shared" si="84"/>
        <v>0</v>
      </c>
    </row>
    <row r="877" spans="1:9" ht="15.75" x14ac:dyDescent="0.25">
      <c r="A877" s="23" t="s">
        <v>524</v>
      </c>
      <c r="B877" s="19">
        <v>908</v>
      </c>
      <c r="C877" s="24" t="s">
        <v>241</v>
      </c>
      <c r="D877" s="24" t="s">
        <v>220</v>
      </c>
      <c r="E877" s="24"/>
      <c r="F877" s="24"/>
      <c r="G877" s="21">
        <f>G878+G908+G937</f>
        <v>6788.01</v>
      </c>
      <c r="H877" s="21">
        <f>H878+H908+H937</f>
        <v>566.95100000000002</v>
      </c>
      <c r="I877" s="437">
        <f t="shared" si="84"/>
        <v>8.3522416731855138</v>
      </c>
    </row>
    <row r="878" spans="1:9" s="203" customFormat="1" ht="15.75" x14ac:dyDescent="0.25">
      <c r="A878" s="23" t="s">
        <v>148</v>
      </c>
      <c r="B878" s="19">
        <v>908</v>
      </c>
      <c r="C878" s="24" t="s">
        <v>241</v>
      </c>
      <c r="D878" s="24" t="s">
        <v>220</v>
      </c>
      <c r="E878" s="24" t="s">
        <v>876</v>
      </c>
      <c r="F878" s="24"/>
      <c r="G878" s="21">
        <f>G879+G891</f>
        <v>6398.01</v>
      </c>
      <c r="H878" s="21">
        <f>H879+H891</f>
        <v>177</v>
      </c>
      <c r="I878" s="437">
        <f t="shared" si="84"/>
        <v>2.7664852039931165</v>
      </c>
    </row>
    <row r="879" spans="1:9" s="203" customFormat="1" ht="31.5" x14ac:dyDescent="0.25">
      <c r="A879" s="23" t="s">
        <v>880</v>
      </c>
      <c r="B879" s="19">
        <v>908</v>
      </c>
      <c r="C879" s="24" t="s">
        <v>241</v>
      </c>
      <c r="D879" s="24" t="s">
        <v>220</v>
      </c>
      <c r="E879" s="24" t="s">
        <v>875</v>
      </c>
      <c r="F879" s="24"/>
      <c r="G879" s="21">
        <f>G880+G886</f>
        <v>6398.01</v>
      </c>
      <c r="H879" s="21">
        <f>H880+H886</f>
        <v>177</v>
      </c>
      <c r="I879" s="437">
        <f t="shared" si="84"/>
        <v>2.7664852039931165</v>
      </c>
    </row>
    <row r="880" spans="1:9" s="203" customFormat="1" ht="15.75" x14ac:dyDescent="0.25">
      <c r="A880" s="35" t="s">
        <v>544</v>
      </c>
      <c r="B880" s="16">
        <v>908</v>
      </c>
      <c r="C880" s="20" t="s">
        <v>241</v>
      </c>
      <c r="D880" s="20" t="s">
        <v>220</v>
      </c>
      <c r="E880" s="20" t="s">
        <v>989</v>
      </c>
      <c r="F880" s="20"/>
      <c r="G880" s="26">
        <f>G881+G883</f>
        <v>177</v>
      </c>
      <c r="H880" s="26">
        <f>H881+H883</f>
        <v>177</v>
      </c>
      <c r="I880" s="381">
        <f t="shared" si="84"/>
        <v>100</v>
      </c>
    </row>
    <row r="881" spans="1:9" s="203" customFormat="1" ht="31.5" x14ac:dyDescent="0.25">
      <c r="A881" s="25" t="s">
        <v>138</v>
      </c>
      <c r="B881" s="16">
        <v>908</v>
      </c>
      <c r="C881" s="20" t="s">
        <v>241</v>
      </c>
      <c r="D881" s="20" t="s">
        <v>220</v>
      </c>
      <c r="E881" s="20" t="s">
        <v>989</v>
      </c>
      <c r="F881" s="20" t="s">
        <v>139</v>
      </c>
      <c r="G881" s="26">
        <f>G882</f>
        <v>177</v>
      </c>
      <c r="H881" s="26">
        <f>H882</f>
        <v>177</v>
      </c>
      <c r="I881" s="381">
        <f t="shared" si="84"/>
        <v>100</v>
      </c>
    </row>
    <row r="882" spans="1:9" s="203" customFormat="1" ht="31.5" x14ac:dyDescent="0.25">
      <c r="A882" s="25" t="s">
        <v>140</v>
      </c>
      <c r="B882" s="16">
        <v>908</v>
      </c>
      <c r="C882" s="20" t="s">
        <v>241</v>
      </c>
      <c r="D882" s="20" t="s">
        <v>220</v>
      </c>
      <c r="E882" s="20" t="s">
        <v>989</v>
      </c>
      <c r="F882" s="20" t="s">
        <v>141</v>
      </c>
      <c r="G882" s="438">
        <v>177</v>
      </c>
      <c r="H882" s="438">
        <v>177</v>
      </c>
      <c r="I882" s="381">
        <f t="shared" si="84"/>
        <v>100</v>
      </c>
    </row>
    <row r="883" spans="1:9" s="203" customFormat="1" ht="15.75" hidden="1" x14ac:dyDescent="0.25">
      <c r="A883" s="25" t="s">
        <v>142</v>
      </c>
      <c r="B883" s="16">
        <v>908</v>
      </c>
      <c r="C883" s="20" t="s">
        <v>241</v>
      </c>
      <c r="D883" s="20" t="s">
        <v>220</v>
      </c>
      <c r="E883" s="20" t="s">
        <v>989</v>
      </c>
      <c r="F883" s="20" t="s">
        <v>152</v>
      </c>
      <c r="G883" s="438">
        <f>G884+G885</f>
        <v>0</v>
      </c>
      <c r="H883" s="438">
        <f>H884+H885</f>
        <v>0</v>
      </c>
      <c r="I883" s="381" t="e">
        <f t="shared" si="84"/>
        <v>#DIV/0!</v>
      </c>
    </row>
    <row r="884" spans="1:9" s="203" customFormat="1" ht="47.25" hidden="1" x14ac:dyDescent="0.25">
      <c r="A884" s="25" t="s">
        <v>191</v>
      </c>
      <c r="B884" s="16">
        <v>908</v>
      </c>
      <c r="C884" s="20" t="s">
        <v>241</v>
      </c>
      <c r="D884" s="20" t="s">
        <v>220</v>
      </c>
      <c r="E884" s="20" t="s">
        <v>989</v>
      </c>
      <c r="F884" s="20" t="s">
        <v>167</v>
      </c>
      <c r="G884" s="438">
        <v>0</v>
      </c>
      <c r="H884" s="438">
        <v>0</v>
      </c>
      <c r="I884" s="381" t="e">
        <f t="shared" si="84"/>
        <v>#DIV/0!</v>
      </c>
    </row>
    <row r="885" spans="1:9" s="203" customFormat="1" ht="15.75" hidden="1" x14ac:dyDescent="0.25">
      <c r="A885" s="25" t="s">
        <v>153</v>
      </c>
      <c r="B885" s="16">
        <v>908</v>
      </c>
      <c r="C885" s="20" t="s">
        <v>241</v>
      </c>
      <c r="D885" s="20" t="s">
        <v>220</v>
      </c>
      <c r="E885" s="20" t="s">
        <v>989</v>
      </c>
      <c r="F885" s="20" t="s">
        <v>154</v>
      </c>
      <c r="G885" s="438">
        <v>0</v>
      </c>
      <c r="H885" s="438">
        <v>0</v>
      </c>
      <c r="I885" s="381" t="e">
        <f t="shared" si="84"/>
        <v>#DIV/0!</v>
      </c>
    </row>
    <row r="886" spans="1:9" s="203" customFormat="1" ht="31.5" x14ac:dyDescent="0.25">
      <c r="A886" s="29" t="s">
        <v>942</v>
      </c>
      <c r="B886" s="16">
        <v>908</v>
      </c>
      <c r="C886" s="20" t="s">
        <v>241</v>
      </c>
      <c r="D886" s="20" t="s">
        <v>220</v>
      </c>
      <c r="E886" s="20" t="s">
        <v>972</v>
      </c>
      <c r="F886" s="20"/>
      <c r="G886" s="26">
        <f>G889+G887</f>
        <v>6221.01</v>
      </c>
      <c r="H886" s="26">
        <f>H889+H887</f>
        <v>0</v>
      </c>
      <c r="I886" s="381">
        <f t="shared" si="84"/>
        <v>0</v>
      </c>
    </row>
    <row r="887" spans="1:9" s="203" customFormat="1" ht="31.5" x14ac:dyDescent="0.25">
      <c r="A887" s="25" t="s">
        <v>138</v>
      </c>
      <c r="B887" s="16">
        <v>908</v>
      </c>
      <c r="C887" s="20" t="s">
        <v>241</v>
      </c>
      <c r="D887" s="20" t="s">
        <v>220</v>
      </c>
      <c r="E887" s="20" t="s">
        <v>972</v>
      </c>
      <c r="F887" s="20" t="s">
        <v>139</v>
      </c>
      <c r="G887" s="26">
        <f>G888</f>
        <v>6221.01</v>
      </c>
      <c r="H887" s="26">
        <f>H888</f>
        <v>0</v>
      </c>
      <c r="I887" s="381">
        <f t="shared" si="84"/>
        <v>0</v>
      </c>
    </row>
    <row r="888" spans="1:9" s="203" customFormat="1" ht="31.5" x14ac:dyDescent="0.25">
      <c r="A888" s="25" t="s">
        <v>140</v>
      </c>
      <c r="B888" s="16">
        <v>908</v>
      </c>
      <c r="C888" s="20" t="s">
        <v>241</v>
      </c>
      <c r="D888" s="20" t="s">
        <v>220</v>
      </c>
      <c r="E888" s="20" t="s">
        <v>972</v>
      </c>
      <c r="F888" s="20" t="s">
        <v>141</v>
      </c>
      <c r="G888" s="26">
        <f>10000-1000-2446.4+234.41-177-390</f>
        <v>6221.01</v>
      </c>
      <c r="H888" s="26">
        <v>0</v>
      </c>
      <c r="I888" s="381">
        <f t="shared" si="84"/>
        <v>0</v>
      </c>
    </row>
    <row r="889" spans="1:9" s="203" customFormat="1" ht="15.75" hidden="1" x14ac:dyDescent="0.25">
      <c r="A889" s="25" t="s">
        <v>142</v>
      </c>
      <c r="B889" s="16">
        <v>908</v>
      </c>
      <c r="C889" s="20" t="s">
        <v>241</v>
      </c>
      <c r="D889" s="20" t="s">
        <v>220</v>
      </c>
      <c r="E889" s="20" t="s">
        <v>972</v>
      </c>
      <c r="F889" s="20" t="s">
        <v>152</v>
      </c>
      <c r="G889" s="26">
        <f>G890</f>
        <v>0</v>
      </c>
      <c r="H889" s="26">
        <f>H890</f>
        <v>0</v>
      </c>
      <c r="I889" s="381" t="e">
        <f t="shared" si="84"/>
        <v>#DIV/0!</v>
      </c>
    </row>
    <row r="890" spans="1:9" ht="15.75" hidden="1" x14ac:dyDescent="0.25">
      <c r="A890" s="25" t="s">
        <v>153</v>
      </c>
      <c r="B890" s="16">
        <v>908</v>
      </c>
      <c r="C890" s="20" t="s">
        <v>241</v>
      </c>
      <c r="D890" s="20" t="s">
        <v>220</v>
      </c>
      <c r="E890" s="20" t="s">
        <v>972</v>
      </c>
      <c r="F890" s="20" t="s">
        <v>154</v>
      </c>
      <c r="G890" s="26">
        <v>0</v>
      </c>
      <c r="H890" s="26">
        <v>0</v>
      </c>
      <c r="I890" s="381" t="e">
        <f t="shared" si="84"/>
        <v>#DIV/0!</v>
      </c>
    </row>
    <row r="891" spans="1:9" s="203" customFormat="1" ht="48.75" hidden="1" customHeight="1" x14ac:dyDescent="0.25">
      <c r="A891" s="23" t="s">
        <v>1023</v>
      </c>
      <c r="B891" s="19">
        <v>908</v>
      </c>
      <c r="C891" s="24" t="s">
        <v>241</v>
      </c>
      <c r="D891" s="24" t="s">
        <v>220</v>
      </c>
      <c r="E891" s="24" t="s">
        <v>990</v>
      </c>
      <c r="F891" s="24"/>
      <c r="G891" s="21">
        <f>G892+G900+G897+G905</f>
        <v>0</v>
      </c>
      <c r="H891" s="21">
        <f>H892+H900+H897+H905</f>
        <v>0</v>
      </c>
      <c r="I891" s="381" t="e">
        <f t="shared" si="84"/>
        <v>#DIV/0!</v>
      </c>
    </row>
    <row r="892" spans="1:9" s="203" customFormat="1" ht="35.450000000000003" hidden="1" customHeight="1" x14ac:dyDescent="0.25">
      <c r="A892" s="25" t="s">
        <v>837</v>
      </c>
      <c r="B892" s="16">
        <v>908</v>
      </c>
      <c r="C892" s="20" t="s">
        <v>241</v>
      </c>
      <c r="D892" s="20" t="s">
        <v>220</v>
      </c>
      <c r="E892" s="20" t="s">
        <v>991</v>
      </c>
      <c r="F892" s="20"/>
      <c r="G892" s="26">
        <f>G893+G895</f>
        <v>0</v>
      </c>
      <c r="H892" s="26">
        <f>H893+H895</f>
        <v>0</v>
      </c>
      <c r="I892" s="381" t="e">
        <f t="shared" si="84"/>
        <v>#DIV/0!</v>
      </c>
    </row>
    <row r="893" spans="1:9" s="203" customFormat="1" ht="34.5" hidden="1" customHeight="1" x14ac:dyDescent="0.25">
      <c r="A893" s="25" t="s">
        <v>138</v>
      </c>
      <c r="B893" s="16">
        <v>908</v>
      </c>
      <c r="C893" s="20" t="s">
        <v>241</v>
      </c>
      <c r="D893" s="20" t="s">
        <v>220</v>
      </c>
      <c r="E893" s="20" t="s">
        <v>991</v>
      </c>
      <c r="F893" s="20" t="s">
        <v>139</v>
      </c>
      <c r="G893" s="26">
        <f>G894</f>
        <v>0</v>
      </c>
      <c r="H893" s="26">
        <f>H894</f>
        <v>0</v>
      </c>
      <c r="I893" s="381" t="e">
        <f t="shared" si="84"/>
        <v>#DIV/0!</v>
      </c>
    </row>
    <row r="894" spans="1:9" s="203" customFormat="1" ht="33" hidden="1" customHeight="1" x14ac:dyDescent="0.25">
      <c r="A894" s="25" t="s">
        <v>140</v>
      </c>
      <c r="B894" s="16">
        <v>908</v>
      </c>
      <c r="C894" s="20" t="s">
        <v>241</v>
      </c>
      <c r="D894" s="20" t="s">
        <v>220</v>
      </c>
      <c r="E894" s="20" t="s">
        <v>991</v>
      </c>
      <c r="F894" s="20" t="s">
        <v>141</v>
      </c>
      <c r="G894" s="26">
        <v>0</v>
      </c>
      <c r="H894" s="26">
        <v>0</v>
      </c>
      <c r="I894" s="381" t="e">
        <f t="shared" si="84"/>
        <v>#DIV/0!</v>
      </c>
    </row>
    <row r="895" spans="1:9" s="203" customFormat="1" ht="20.25" hidden="1" customHeight="1" x14ac:dyDescent="0.25">
      <c r="A895" s="25" t="s">
        <v>142</v>
      </c>
      <c r="B895" s="16">
        <v>908</v>
      </c>
      <c r="C895" s="20" t="s">
        <v>241</v>
      </c>
      <c r="D895" s="20" t="s">
        <v>220</v>
      </c>
      <c r="E895" s="20" t="s">
        <v>991</v>
      </c>
      <c r="F895" s="20" t="s">
        <v>847</v>
      </c>
      <c r="G895" s="26">
        <f>G896</f>
        <v>0</v>
      </c>
      <c r="H895" s="26">
        <f>H896</f>
        <v>0</v>
      </c>
      <c r="I895" s="381" t="e">
        <f t="shared" si="84"/>
        <v>#DIV/0!</v>
      </c>
    </row>
    <row r="896" spans="1:9" s="203" customFormat="1" ht="20.25" hidden="1" customHeight="1" x14ac:dyDescent="0.25">
      <c r="A896" s="25" t="s">
        <v>575</v>
      </c>
      <c r="B896" s="16">
        <v>908</v>
      </c>
      <c r="C896" s="20" t="s">
        <v>241</v>
      </c>
      <c r="D896" s="20" t="s">
        <v>220</v>
      </c>
      <c r="E896" s="20" t="s">
        <v>991</v>
      </c>
      <c r="F896" s="20" t="s">
        <v>1078</v>
      </c>
      <c r="G896" s="26">
        <v>0</v>
      </c>
      <c r="H896" s="26">
        <v>0</v>
      </c>
      <c r="I896" s="381" t="e">
        <f t="shared" si="84"/>
        <v>#DIV/0!</v>
      </c>
    </row>
    <row r="897" spans="1:9" s="203" customFormat="1" ht="47.25" hidden="1" customHeight="1" x14ac:dyDescent="0.25">
      <c r="A897" s="25" t="s">
        <v>803</v>
      </c>
      <c r="B897" s="16">
        <v>908</v>
      </c>
      <c r="C897" s="20" t="s">
        <v>241</v>
      </c>
      <c r="D897" s="20" t="s">
        <v>220</v>
      </c>
      <c r="E897" s="20" t="s">
        <v>992</v>
      </c>
      <c r="F897" s="20"/>
      <c r="G897" s="26">
        <f>G898</f>
        <v>0</v>
      </c>
      <c r="H897" s="26">
        <f>H898</f>
        <v>0</v>
      </c>
      <c r="I897" s="381" t="e">
        <f t="shared" si="84"/>
        <v>#DIV/0!</v>
      </c>
    </row>
    <row r="898" spans="1:9" s="203" customFormat="1" ht="33.75" hidden="1" customHeight="1" x14ac:dyDescent="0.25">
      <c r="A898" s="25" t="s">
        <v>138</v>
      </c>
      <c r="B898" s="16">
        <v>908</v>
      </c>
      <c r="C898" s="20" t="s">
        <v>241</v>
      </c>
      <c r="D898" s="20" t="s">
        <v>220</v>
      </c>
      <c r="E898" s="20" t="s">
        <v>992</v>
      </c>
      <c r="F898" s="20" t="s">
        <v>139</v>
      </c>
      <c r="G898" s="26">
        <f>G899</f>
        <v>0</v>
      </c>
      <c r="H898" s="26">
        <f>H899</f>
        <v>0</v>
      </c>
      <c r="I898" s="381" t="e">
        <f t="shared" si="84"/>
        <v>#DIV/0!</v>
      </c>
    </row>
    <row r="899" spans="1:9" s="203" customFormat="1" ht="32.25" hidden="1" customHeight="1" x14ac:dyDescent="0.25">
      <c r="A899" s="25" t="s">
        <v>140</v>
      </c>
      <c r="B899" s="16">
        <v>908</v>
      </c>
      <c r="C899" s="20" t="s">
        <v>241</v>
      </c>
      <c r="D899" s="20" t="s">
        <v>220</v>
      </c>
      <c r="E899" s="20" t="s">
        <v>992</v>
      </c>
      <c r="F899" s="20" t="s">
        <v>141</v>
      </c>
      <c r="G899" s="26">
        <v>0</v>
      </c>
      <c r="H899" s="26">
        <v>0</v>
      </c>
      <c r="I899" s="381" t="e">
        <f t="shared" si="84"/>
        <v>#DIV/0!</v>
      </c>
    </row>
    <row r="900" spans="1:9" s="203" customFormat="1" ht="47.25" hidden="1" customHeight="1" x14ac:dyDescent="0.25">
      <c r="A900" s="97" t="s">
        <v>843</v>
      </c>
      <c r="B900" s="16">
        <v>908</v>
      </c>
      <c r="C900" s="20" t="s">
        <v>241</v>
      </c>
      <c r="D900" s="20" t="s">
        <v>220</v>
      </c>
      <c r="E900" s="20" t="s">
        <v>993</v>
      </c>
      <c r="F900" s="20"/>
      <c r="G900" s="26">
        <f>G901+G903</f>
        <v>0</v>
      </c>
      <c r="H900" s="26">
        <f>H901+H903</f>
        <v>0</v>
      </c>
      <c r="I900" s="381" t="e">
        <f t="shared" si="84"/>
        <v>#DIV/0!</v>
      </c>
    </row>
    <row r="901" spans="1:9" s="203" customFormat="1" ht="34.5" hidden="1" customHeight="1" x14ac:dyDescent="0.25">
      <c r="A901" s="25" t="s">
        <v>848</v>
      </c>
      <c r="B901" s="16">
        <v>908</v>
      </c>
      <c r="C901" s="20" t="s">
        <v>241</v>
      </c>
      <c r="D901" s="20" t="s">
        <v>220</v>
      </c>
      <c r="E901" s="20" t="s">
        <v>993</v>
      </c>
      <c r="F901" s="20" t="s">
        <v>847</v>
      </c>
      <c r="G901" s="26">
        <f>G902</f>
        <v>0</v>
      </c>
      <c r="H901" s="26">
        <f>H902</f>
        <v>0</v>
      </c>
      <c r="I901" s="381" t="e">
        <f t="shared" si="84"/>
        <v>#DIV/0!</v>
      </c>
    </row>
    <row r="902" spans="1:9" s="203" customFormat="1" ht="47.25" hidden="1" customHeight="1" x14ac:dyDescent="0.25">
      <c r="A902" s="25" t="s">
        <v>1059</v>
      </c>
      <c r="B902" s="16">
        <v>908</v>
      </c>
      <c r="C902" s="20" t="s">
        <v>241</v>
      </c>
      <c r="D902" s="20" t="s">
        <v>220</v>
      </c>
      <c r="E902" s="20" t="s">
        <v>993</v>
      </c>
      <c r="F902" s="20" t="s">
        <v>1078</v>
      </c>
      <c r="G902" s="26">
        <v>0</v>
      </c>
      <c r="H902" s="26">
        <v>0</v>
      </c>
      <c r="I902" s="381" t="e">
        <f t="shared" si="84"/>
        <v>#DIV/0!</v>
      </c>
    </row>
    <row r="903" spans="1:9" s="203" customFormat="1" ht="17.45" hidden="1" customHeight="1" x14ac:dyDescent="0.25">
      <c r="A903" s="25" t="s">
        <v>142</v>
      </c>
      <c r="B903" s="16">
        <v>908</v>
      </c>
      <c r="C903" s="20" t="s">
        <v>241</v>
      </c>
      <c r="D903" s="20" t="s">
        <v>220</v>
      </c>
      <c r="E903" s="20" t="s">
        <v>993</v>
      </c>
      <c r="F903" s="20" t="s">
        <v>152</v>
      </c>
      <c r="G903" s="26">
        <f>G904</f>
        <v>0</v>
      </c>
      <c r="H903" s="26">
        <f>H904</f>
        <v>0</v>
      </c>
      <c r="I903" s="381" t="e">
        <f t="shared" si="84"/>
        <v>#DIV/0!</v>
      </c>
    </row>
    <row r="904" spans="1:9" s="203" customFormat="1" ht="18.75" hidden="1" customHeight="1" x14ac:dyDescent="0.25">
      <c r="A904" s="25" t="s">
        <v>714</v>
      </c>
      <c r="B904" s="16">
        <v>908</v>
      </c>
      <c r="C904" s="20" t="s">
        <v>241</v>
      </c>
      <c r="D904" s="20" t="s">
        <v>220</v>
      </c>
      <c r="E904" s="20" t="s">
        <v>993</v>
      </c>
      <c r="F904" s="20" t="s">
        <v>145</v>
      </c>
      <c r="G904" s="26">
        <v>0</v>
      </c>
      <c r="H904" s="26">
        <v>0</v>
      </c>
      <c r="I904" s="381" t="e">
        <f t="shared" si="84"/>
        <v>#DIV/0!</v>
      </c>
    </row>
    <row r="905" spans="1:9" s="203" customFormat="1" ht="38.25" hidden="1" customHeight="1" x14ac:dyDescent="0.25">
      <c r="A905" s="25" t="s">
        <v>1079</v>
      </c>
      <c r="B905" s="16">
        <v>908</v>
      </c>
      <c r="C905" s="20" t="s">
        <v>241</v>
      </c>
      <c r="D905" s="20" t="s">
        <v>220</v>
      </c>
      <c r="E905" s="20" t="s">
        <v>1080</v>
      </c>
      <c r="F905" s="20"/>
      <c r="G905" s="26">
        <f>G906</f>
        <v>0</v>
      </c>
      <c r="H905" s="26">
        <f>H906</f>
        <v>0</v>
      </c>
      <c r="I905" s="381" t="e">
        <f t="shared" si="84"/>
        <v>#DIV/0!</v>
      </c>
    </row>
    <row r="906" spans="1:9" s="203" customFormat="1" ht="32.25" hidden="1" customHeight="1" x14ac:dyDescent="0.25">
      <c r="A906" s="25" t="s">
        <v>138</v>
      </c>
      <c r="B906" s="16">
        <v>908</v>
      </c>
      <c r="C906" s="20" t="s">
        <v>241</v>
      </c>
      <c r="D906" s="20" t="s">
        <v>220</v>
      </c>
      <c r="E906" s="20" t="s">
        <v>1080</v>
      </c>
      <c r="F906" s="20" t="s">
        <v>139</v>
      </c>
      <c r="G906" s="26">
        <f>G907</f>
        <v>0</v>
      </c>
      <c r="H906" s="26">
        <f>H907</f>
        <v>0</v>
      </c>
      <c r="I906" s="381" t="e">
        <f t="shared" si="84"/>
        <v>#DIV/0!</v>
      </c>
    </row>
    <row r="907" spans="1:9" s="203" customFormat="1" ht="35.450000000000003" hidden="1" customHeight="1" x14ac:dyDescent="0.25">
      <c r="A907" s="25" t="s">
        <v>140</v>
      </c>
      <c r="B907" s="16">
        <v>908</v>
      </c>
      <c r="C907" s="20" t="s">
        <v>241</v>
      </c>
      <c r="D907" s="20" t="s">
        <v>220</v>
      </c>
      <c r="E907" s="20" t="s">
        <v>1080</v>
      </c>
      <c r="F907" s="20" t="s">
        <v>141</v>
      </c>
      <c r="G907" s="26">
        <v>0</v>
      </c>
      <c r="H907" s="26">
        <v>0</v>
      </c>
      <c r="I907" s="381" t="e">
        <f t="shared" ref="I907:I970" si="86">H907/G907*100</f>
        <v>#DIV/0!</v>
      </c>
    </row>
    <row r="908" spans="1:9" s="203" customFormat="1" ht="47.25" customHeight="1" x14ac:dyDescent="0.25">
      <c r="A908" s="23" t="s">
        <v>1575</v>
      </c>
      <c r="B908" s="19">
        <v>908</v>
      </c>
      <c r="C908" s="24" t="s">
        <v>241</v>
      </c>
      <c r="D908" s="24" t="s">
        <v>220</v>
      </c>
      <c r="E908" s="24" t="s">
        <v>525</v>
      </c>
      <c r="F908" s="24"/>
      <c r="G908" s="21">
        <f>G909+G913+G917+G921+G933+G929</f>
        <v>390</v>
      </c>
      <c r="H908" s="21">
        <f>H909+H913+H917+H921+H933+H929</f>
        <v>389.95100000000002</v>
      </c>
      <c r="I908" s="437">
        <f t="shared" si="86"/>
        <v>99.987435897435901</v>
      </c>
    </row>
    <row r="909" spans="1:9" s="203" customFormat="1" ht="30.75" hidden="1" customHeight="1" x14ac:dyDescent="0.25">
      <c r="A909" s="23" t="s">
        <v>973</v>
      </c>
      <c r="B909" s="19">
        <v>908</v>
      </c>
      <c r="C909" s="24" t="s">
        <v>241</v>
      </c>
      <c r="D909" s="24" t="s">
        <v>220</v>
      </c>
      <c r="E909" s="24" t="s">
        <v>975</v>
      </c>
      <c r="F909" s="24"/>
      <c r="G909" s="21">
        <f t="shared" ref="G909:H911" si="87">G910</f>
        <v>0</v>
      </c>
      <c r="H909" s="21">
        <f t="shared" si="87"/>
        <v>0</v>
      </c>
      <c r="I909" s="437" t="e">
        <f t="shared" si="86"/>
        <v>#DIV/0!</v>
      </c>
    </row>
    <row r="910" spans="1:9" ht="15.75" hidden="1" x14ac:dyDescent="0.25">
      <c r="A910" s="45" t="s">
        <v>974</v>
      </c>
      <c r="B910" s="16">
        <v>908</v>
      </c>
      <c r="C910" s="40" t="s">
        <v>241</v>
      </c>
      <c r="D910" s="40" t="s">
        <v>220</v>
      </c>
      <c r="E910" s="20" t="s">
        <v>976</v>
      </c>
      <c r="F910" s="40"/>
      <c r="G910" s="26">
        <f t="shared" si="87"/>
        <v>0</v>
      </c>
      <c r="H910" s="26">
        <f t="shared" si="87"/>
        <v>0</v>
      </c>
      <c r="I910" s="381" t="e">
        <f t="shared" si="86"/>
        <v>#DIV/0!</v>
      </c>
    </row>
    <row r="911" spans="1:9" ht="31.5" hidden="1" x14ac:dyDescent="0.25">
      <c r="A911" s="31" t="s">
        <v>138</v>
      </c>
      <c r="B911" s="16">
        <v>908</v>
      </c>
      <c r="C911" s="40" t="s">
        <v>241</v>
      </c>
      <c r="D911" s="40" t="s">
        <v>220</v>
      </c>
      <c r="E911" s="20" t="s">
        <v>976</v>
      </c>
      <c r="F911" s="40" t="s">
        <v>139</v>
      </c>
      <c r="G911" s="26">
        <f t="shared" si="87"/>
        <v>0</v>
      </c>
      <c r="H911" s="26">
        <f t="shared" si="87"/>
        <v>0</v>
      </c>
      <c r="I911" s="381" t="e">
        <f t="shared" si="86"/>
        <v>#DIV/0!</v>
      </c>
    </row>
    <row r="912" spans="1:9" ht="31.5" hidden="1" x14ac:dyDescent="0.25">
      <c r="A912" s="31" t="s">
        <v>140</v>
      </c>
      <c r="B912" s="16">
        <v>908</v>
      </c>
      <c r="C912" s="40" t="s">
        <v>241</v>
      </c>
      <c r="D912" s="40" t="s">
        <v>220</v>
      </c>
      <c r="E912" s="20" t="s">
        <v>976</v>
      </c>
      <c r="F912" s="40" t="s">
        <v>141</v>
      </c>
      <c r="G912" s="373">
        <f>700-700</f>
        <v>0</v>
      </c>
      <c r="H912" s="373">
        <f>700-700</f>
        <v>0</v>
      </c>
      <c r="I912" s="381" t="e">
        <f t="shared" si="86"/>
        <v>#DIV/0!</v>
      </c>
    </row>
    <row r="913" spans="1:9" s="203" customFormat="1" ht="15.75" x14ac:dyDescent="0.25">
      <c r="A913" s="34" t="s">
        <v>977</v>
      </c>
      <c r="B913" s="19">
        <v>908</v>
      </c>
      <c r="C913" s="7" t="s">
        <v>241</v>
      </c>
      <c r="D913" s="7" t="s">
        <v>220</v>
      </c>
      <c r="E913" s="24" t="s">
        <v>978</v>
      </c>
      <c r="F913" s="7"/>
      <c r="G913" s="21">
        <f t="shared" ref="G913:H915" si="88">G914</f>
        <v>390</v>
      </c>
      <c r="H913" s="21">
        <f t="shared" si="88"/>
        <v>389.95100000000002</v>
      </c>
      <c r="I913" s="437">
        <f t="shared" si="86"/>
        <v>99.987435897435901</v>
      </c>
    </row>
    <row r="914" spans="1:9" ht="15.75" x14ac:dyDescent="0.25">
      <c r="A914" s="45" t="s">
        <v>530</v>
      </c>
      <c r="B914" s="16">
        <v>908</v>
      </c>
      <c r="C914" s="40" t="s">
        <v>241</v>
      </c>
      <c r="D914" s="40" t="s">
        <v>220</v>
      </c>
      <c r="E914" s="20" t="s">
        <v>981</v>
      </c>
      <c r="F914" s="40"/>
      <c r="G914" s="26">
        <f t="shared" si="88"/>
        <v>390</v>
      </c>
      <c r="H914" s="26">
        <f t="shared" si="88"/>
        <v>389.95100000000002</v>
      </c>
      <c r="I914" s="381">
        <f t="shared" si="86"/>
        <v>99.987435897435901</v>
      </c>
    </row>
    <row r="915" spans="1:9" ht="31.5" x14ac:dyDescent="0.25">
      <c r="A915" s="31" t="s">
        <v>138</v>
      </c>
      <c r="B915" s="16">
        <v>908</v>
      </c>
      <c r="C915" s="40" t="s">
        <v>241</v>
      </c>
      <c r="D915" s="40" t="s">
        <v>220</v>
      </c>
      <c r="E915" s="20" t="s">
        <v>981</v>
      </c>
      <c r="F915" s="40" t="s">
        <v>139</v>
      </c>
      <c r="G915" s="26">
        <f t="shared" si="88"/>
        <v>390</v>
      </c>
      <c r="H915" s="26">
        <f t="shared" si="88"/>
        <v>389.95100000000002</v>
      </c>
      <c r="I915" s="381">
        <f t="shared" si="86"/>
        <v>99.987435897435901</v>
      </c>
    </row>
    <row r="916" spans="1:9" ht="31.5" x14ac:dyDescent="0.25">
      <c r="A916" s="31" t="s">
        <v>140</v>
      </c>
      <c r="B916" s="16">
        <v>908</v>
      </c>
      <c r="C916" s="40" t="s">
        <v>241</v>
      </c>
      <c r="D916" s="40" t="s">
        <v>220</v>
      </c>
      <c r="E916" s="20" t="s">
        <v>981</v>
      </c>
      <c r="F916" s="40" t="s">
        <v>141</v>
      </c>
      <c r="G916" s="6">
        <v>390</v>
      </c>
      <c r="H916" s="6">
        <v>389.95100000000002</v>
      </c>
      <c r="I916" s="381">
        <f t="shared" si="86"/>
        <v>99.987435897435901</v>
      </c>
    </row>
    <row r="917" spans="1:9" s="203" customFormat="1" ht="16.5" hidden="1" customHeight="1" x14ac:dyDescent="0.25">
      <c r="A917" s="58" t="s">
        <v>979</v>
      </c>
      <c r="B917" s="19">
        <v>908</v>
      </c>
      <c r="C917" s="7" t="s">
        <v>241</v>
      </c>
      <c r="D917" s="7" t="s">
        <v>220</v>
      </c>
      <c r="E917" s="24" t="s">
        <v>980</v>
      </c>
      <c r="F917" s="7"/>
      <c r="G917" s="4">
        <f t="shared" ref="G917:H919" si="89">G918</f>
        <v>0</v>
      </c>
      <c r="H917" s="4">
        <f t="shared" si="89"/>
        <v>0</v>
      </c>
      <c r="I917" s="381" t="e">
        <f t="shared" si="86"/>
        <v>#DIV/0!</v>
      </c>
    </row>
    <row r="918" spans="1:9" ht="15.75" hidden="1" x14ac:dyDescent="0.25">
      <c r="A918" s="45" t="s">
        <v>532</v>
      </c>
      <c r="B918" s="16">
        <v>908</v>
      </c>
      <c r="C918" s="40" t="s">
        <v>241</v>
      </c>
      <c r="D918" s="40" t="s">
        <v>220</v>
      </c>
      <c r="E918" s="20" t="s">
        <v>982</v>
      </c>
      <c r="F918" s="40"/>
      <c r="G918" s="26">
        <f t="shared" si="89"/>
        <v>0</v>
      </c>
      <c r="H918" s="26">
        <f t="shared" si="89"/>
        <v>0</v>
      </c>
      <c r="I918" s="381" t="e">
        <f t="shared" si="86"/>
        <v>#DIV/0!</v>
      </c>
    </row>
    <row r="919" spans="1:9" ht="31.5" hidden="1" x14ac:dyDescent="0.25">
      <c r="A919" s="31" t="s">
        <v>138</v>
      </c>
      <c r="B919" s="16">
        <v>908</v>
      </c>
      <c r="C919" s="40" t="s">
        <v>241</v>
      </c>
      <c r="D919" s="40" t="s">
        <v>220</v>
      </c>
      <c r="E919" s="20" t="s">
        <v>982</v>
      </c>
      <c r="F919" s="40" t="s">
        <v>139</v>
      </c>
      <c r="G919" s="26">
        <f t="shared" si="89"/>
        <v>0</v>
      </c>
      <c r="H919" s="26">
        <f t="shared" si="89"/>
        <v>0</v>
      </c>
      <c r="I919" s="381" t="e">
        <f t="shared" si="86"/>
        <v>#DIV/0!</v>
      </c>
    </row>
    <row r="920" spans="1:9" ht="31.5" hidden="1" x14ac:dyDescent="0.25">
      <c r="A920" s="31" t="s">
        <v>140</v>
      </c>
      <c r="B920" s="16">
        <v>908</v>
      </c>
      <c r="C920" s="40" t="s">
        <v>241</v>
      </c>
      <c r="D920" s="40" t="s">
        <v>220</v>
      </c>
      <c r="E920" s="20" t="s">
        <v>982</v>
      </c>
      <c r="F920" s="40" t="s">
        <v>141</v>
      </c>
      <c r="G920" s="6">
        <v>0</v>
      </c>
      <c r="H920" s="6">
        <v>0</v>
      </c>
      <c r="I920" s="381" t="e">
        <f t="shared" si="86"/>
        <v>#DIV/0!</v>
      </c>
    </row>
    <row r="921" spans="1:9" s="203" customFormat="1" ht="31.5" hidden="1" x14ac:dyDescent="0.25">
      <c r="A921" s="58" t="s">
        <v>983</v>
      </c>
      <c r="B921" s="19">
        <v>908</v>
      </c>
      <c r="C921" s="7" t="s">
        <v>241</v>
      </c>
      <c r="D921" s="7" t="s">
        <v>220</v>
      </c>
      <c r="E921" s="24" t="s">
        <v>984</v>
      </c>
      <c r="F921" s="7"/>
      <c r="G921" s="4">
        <f t="shared" ref="G921:H923" si="90">G922</f>
        <v>0</v>
      </c>
      <c r="H921" s="4">
        <f t="shared" si="90"/>
        <v>0</v>
      </c>
      <c r="I921" s="381" t="e">
        <f t="shared" si="86"/>
        <v>#DIV/0!</v>
      </c>
    </row>
    <row r="922" spans="1:9" ht="15.75" hidden="1" x14ac:dyDescent="0.25">
      <c r="A922" s="45" t="s">
        <v>534</v>
      </c>
      <c r="B922" s="16">
        <v>908</v>
      </c>
      <c r="C922" s="40" t="s">
        <v>241</v>
      </c>
      <c r="D922" s="40" t="s">
        <v>220</v>
      </c>
      <c r="E922" s="20" t="s">
        <v>985</v>
      </c>
      <c r="F922" s="40"/>
      <c r="G922" s="26">
        <f t="shared" si="90"/>
        <v>0</v>
      </c>
      <c r="H922" s="26">
        <f t="shared" si="90"/>
        <v>0</v>
      </c>
      <c r="I922" s="381" t="e">
        <f t="shared" si="86"/>
        <v>#DIV/0!</v>
      </c>
    </row>
    <row r="923" spans="1:9" ht="31.5" hidden="1" x14ac:dyDescent="0.25">
      <c r="A923" s="31" t="s">
        <v>138</v>
      </c>
      <c r="B923" s="16">
        <v>908</v>
      </c>
      <c r="C923" s="40" t="s">
        <v>241</v>
      </c>
      <c r="D923" s="40" t="s">
        <v>220</v>
      </c>
      <c r="E923" s="20" t="s">
        <v>985</v>
      </c>
      <c r="F923" s="40" t="s">
        <v>139</v>
      </c>
      <c r="G923" s="26">
        <f t="shared" si="90"/>
        <v>0</v>
      </c>
      <c r="H923" s="26">
        <f t="shared" si="90"/>
        <v>0</v>
      </c>
      <c r="I923" s="381" t="e">
        <f t="shared" si="86"/>
        <v>#DIV/0!</v>
      </c>
    </row>
    <row r="924" spans="1:9" ht="31.5" hidden="1" x14ac:dyDescent="0.25">
      <c r="A924" s="31" t="s">
        <v>140</v>
      </c>
      <c r="B924" s="16">
        <v>908</v>
      </c>
      <c r="C924" s="40" t="s">
        <v>241</v>
      </c>
      <c r="D924" s="40" t="s">
        <v>220</v>
      </c>
      <c r="E924" s="20" t="s">
        <v>985</v>
      </c>
      <c r="F924" s="40" t="s">
        <v>141</v>
      </c>
      <c r="G924" s="6">
        <v>0</v>
      </c>
      <c r="H924" s="6">
        <v>0</v>
      </c>
      <c r="I924" s="381" t="e">
        <f t="shared" si="86"/>
        <v>#DIV/0!</v>
      </c>
    </row>
    <row r="925" spans="1:9" s="203" customFormat="1" ht="31.7" hidden="1" customHeight="1" x14ac:dyDescent="0.25">
      <c r="A925" s="34" t="s">
        <v>1024</v>
      </c>
      <c r="B925" s="19">
        <v>908</v>
      </c>
      <c r="C925" s="7" t="s">
        <v>241</v>
      </c>
      <c r="D925" s="7" t="s">
        <v>220</v>
      </c>
      <c r="E925" s="24" t="s">
        <v>1025</v>
      </c>
      <c r="F925" s="7"/>
      <c r="G925" s="4">
        <f t="shared" ref="G925:H927" si="91">G926</f>
        <v>0</v>
      </c>
      <c r="H925" s="4">
        <f t="shared" si="91"/>
        <v>0</v>
      </c>
      <c r="I925" s="381" t="e">
        <f t="shared" si="86"/>
        <v>#DIV/0!</v>
      </c>
    </row>
    <row r="926" spans="1:9" ht="15.75" hidden="1" x14ac:dyDescent="0.25">
      <c r="A926" s="45" t="s">
        <v>536</v>
      </c>
      <c r="B926" s="16">
        <v>908</v>
      </c>
      <c r="C926" s="40" t="s">
        <v>241</v>
      </c>
      <c r="D926" s="40" t="s">
        <v>220</v>
      </c>
      <c r="E926" s="20" t="s">
        <v>1028</v>
      </c>
      <c r="F926" s="40"/>
      <c r="G926" s="26">
        <f t="shared" si="91"/>
        <v>0</v>
      </c>
      <c r="H926" s="26">
        <f t="shared" si="91"/>
        <v>0</v>
      </c>
      <c r="I926" s="381" t="e">
        <f t="shared" si="86"/>
        <v>#DIV/0!</v>
      </c>
    </row>
    <row r="927" spans="1:9" ht="31.5" hidden="1" x14ac:dyDescent="0.25">
      <c r="A927" s="31" t="s">
        <v>138</v>
      </c>
      <c r="B927" s="16">
        <v>908</v>
      </c>
      <c r="C927" s="40" t="s">
        <v>241</v>
      </c>
      <c r="D927" s="40" t="s">
        <v>220</v>
      </c>
      <c r="E927" s="20" t="s">
        <v>1028</v>
      </c>
      <c r="F927" s="40" t="s">
        <v>139</v>
      </c>
      <c r="G927" s="26">
        <f t="shared" si="91"/>
        <v>0</v>
      </c>
      <c r="H927" s="26">
        <f t="shared" si="91"/>
        <v>0</v>
      </c>
      <c r="I927" s="381" t="e">
        <f t="shared" si="86"/>
        <v>#DIV/0!</v>
      </c>
    </row>
    <row r="928" spans="1:9" ht="31.5" hidden="1" x14ac:dyDescent="0.25">
      <c r="A928" s="31" t="s">
        <v>140</v>
      </c>
      <c r="B928" s="16">
        <v>908</v>
      </c>
      <c r="C928" s="40" t="s">
        <v>241</v>
      </c>
      <c r="D928" s="40" t="s">
        <v>220</v>
      </c>
      <c r="E928" s="20" t="s">
        <v>1028</v>
      </c>
      <c r="F928" s="40" t="s">
        <v>141</v>
      </c>
      <c r="G928" s="26">
        <v>0</v>
      </c>
      <c r="H928" s="26">
        <v>0</v>
      </c>
      <c r="I928" s="381" t="e">
        <f t="shared" si="86"/>
        <v>#DIV/0!</v>
      </c>
    </row>
    <row r="929" spans="1:9" s="203" customFormat="1" ht="31.5" hidden="1" x14ac:dyDescent="0.25">
      <c r="A929" s="215" t="s">
        <v>1026</v>
      </c>
      <c r="B929" s="19">
        <v>908</v>
      </c>
      <c r="C929" s="7" t="s">
        <v>241</v>
      </c>
      <c r="D929" s="7" t="s">
        <v>220</v>
      </c>
      <c r="E929" s="24" t="s">
        <v>1027</v>
      </c>
      <c r="F929" s="7"/>
      <c r="G929" s="21">
        <f t="shared" ref="G929:H931" si="92">G930</f>
        <v>0</v>
      </c>
      <c r="H929" s="21">
        <f t="shared" si="92"/>
        <v>0</v>
      </c>
      <c r="I929" s="381" t="e">
        <f t="shared" si="86"/>
        <v>#DIV/0!</v>
      </c>
    </row>
    <row r="930" spans="1:9" ht="21.75" hidden="1" customHeight="1" x14ac:dyDescent="0.25">
      <c r="A930" s="176" t="s">
        <v>538</v>
      </c>
      <c r="B930" s="16">
        <v>908</v>
      </c>
      <c r="C930" s="40" t="s">
        <v>241</v>
      </c>
      <c r="D930" s="40" t="s">
        <v>220</v>
      </c>
      <c r="E930" s="20" t="s">
        <v>1029</v>
      </c>
      <c r="F930" s="40"/>
      <c r="G930" s="26">
        <f t="shared" si="92"/>
        <v>0</v>
      </c>
      <c r="H930" s="26">
        <f t="shared" si="92"/>
        <v>0</v>
      </c>
      <c r="I930" s="381" t="e">
        <f t="shared" si="86"/>
        <v>#DIV/0!</v>
      </c>
    </row>
    <row r="931" spans="1:9" ht="31.7" hidden="1" customHeight="1" x14ac:dyDescent="0.25">
      <c r="A931" s="31" t="s">
        <v>138</v>
      </c>
      <c r="B931" s="16">
        <v>908</v>
      </c>
      <c r="C931" s="40" t="s">
        <v>241</v>
      </c>
      <c r="D931" s="40" t="s">
        <v>220</v>
      </c>
      <c r="E931" s="20" t="s">
        <v>1029</v>
      </c>
      <c r="F931" s="40" t="s">
        <v>139</v>
      </c>
      <c r="G931" s="26">
        <f t="shared" si="92"/>
        <v>0</v>
      </c>
      <c r="H931" s="26">
        <f t="shared" si="92"/>
        <v>0</v>
      </c>
      <c r="I931" s="381" t="e">
        <f t="shared" si="86"/>
        <v>#DIV/0!</v>
      </c>
    </row>
    <row r="932" spans="1:9" ht="36" hidden="1" customHeight="1" x14ac:dyDescent="0.25">
      <c r="A932" s="31" t="s">
        <v>140</v>
      </c>
      <c r="B932" s="16">
        <v>908</v>
      </c>
      <c r="C932" s="40" t="s">
        <v>241</v>
      </c>
      <c r="D932" s="40" t="s">
        <v>220</v>
      </c>
      <c r="E932" s="20" t="s">
        <v>1029</v>
      </c>
      <c r="F932" s="40" t="s">
        <v>141</v>
      </c>
      <c r="G932" s="26">
        <v>0</v>
      </c>
      <c r="H932" s="26">
        <v>0</v>
      </c>
      <c r="I932" s="381" t="e">
        <f t="shared" si="86"/>
        <v>#DIV/0!</v>
      </c>
    </row>
    <row r="933" spans="1:9" s="203" customFormat="1" ht="31.7" hidden="1" customHeight="1" x14ac:dyDescent="0.25">
      <c r="A933" s="215" t="s">
        <v>987</v>
      </c>
      <c r="B933" s="19">
        <v>908</v>
      </c>
      <c r="C933" s="7" t="s">
        <v>241</v>
      </c>
      <c r="D933" s="7" t="s">
        <v>220</v>
      </c>
      <c r="E933" s="24" t="s">
        <v>988</v>
      </c>
      <c r="F933" s="7"/>
      <c r="G933" s="21">
        <f t="shared" ref="G933:H935" si="93">G934</f>
        <v>0</v>
      </c>
      <c r="H933" s="21">
        <f t="shared" si="93"/>
        <v>0</v>
      </c>
      <c r="I933" s="381" t="e">
        <f t="shared" si="86"/>
        <v>#DIV/0!</v>
      </c>
    </row>
    <row r="934" spans="1:9" ht="15.75" hidden="1" x14ac:dyDescent="0.25">
      <c r="A934" s="176" t="s">
        <v>540</v>
      </c>
      <c r="B934" s="16">
        <v>908</v>
      </c>
      <c r="C934" s="40" t="s">
        <v>241</v>
      </c>
      <c r="D934" s="40" t="s">
        <v>220</v>
      </c>
      <c r="E934" s="20" t="s">
        <v>986</v>
      </c>
      <c r="F934" s="40"/>
      <c r="G934" s="26">
        <f t="shared" si="93"/>
        <v>0</v>
      </c>
      <c r="H934" s="26">
        <f t="shared" si="93"/>
        <v>0</v>
      </c>
      <c r="I934" s="381" t="e">
        <f t="shared" si="86"/>
        <v>#DIV/0!</v>
      </c>
    </row>
    <row r="935" spans="1:9" ht="31.5" hidden="1" x14ac:dyDescent="0.25">
      <c r="A935" s="25" t="s">
        <v>138</v>
      </c>
      <c r="B935" s="16">
        <v>908</v>
      </c>
      <c r="C935" s="40" t="s">
        <v>241</v>
      </c>
      <c r="D935" s="40" t="s">
        <v>220</v>
      </c>
      <c r="E935" s="20" t="s">
        <v>986</v>
      </c>
      <c r="F935" s="40" t="s">
        <v>139</v>
      </c>
      <c r="G935" s="26">
        <f t="shared" si="93"/>
        <v>0</v>
      </c>
      <c r="H935" s="26">
        <f t="shared" si="93"/>
        <v>0</v>
      </c>
      <c r="I935" s="381" t="e">
        <f t="shared" si="86"/>
        <v>#DIV/0!</v>
      </c>
    </row>
    <row r="936" spans="1:9" ht="31.5" hidden="1" x14ac:dyDescent="0.25">
      <c r="A936" s="25" t="s">
        <v>140</v>
      </c>
      <c r="B936" s="16">
        <v>908</v>
      </c>
      <c r="C936" s="40" t="s">
        <v>241</v>
      </c>
      <c r="D936" s="40" t="s">
        <v>220</v>
      </c>
      <c r="E936" s="20" t="s">
        <v>986</v>
      </c>
      <c r="F936" s="40" t="s">
        <v>141</v>
      </c>
      <c r="G936" s="26">
        <v>0</v>
      </c>
      <c r="H936" s="26">
        <v>0</v>
      </c>
      <c r="I936" s="381" t="e">
        <f t="shared" si="86"/>
        <v>#DIV/0!</v>
      </c>
    </row>
    <row r="937" spans="1:9" s="203" customFormat="1" ht="31.5" hidden="1" x14ac:dyDescent="0.25">
      <c r="A937" s="23" t="s">
        <v>1577</v>
      </c>
      <c r="B937" s="19">
        <v>908</v>
      </c>
      <c r="C937" s="7" t="s">
        <v>241</v>
      </c>
      <c r="D937" s="7" t="s">
        <v>220</v>
      </c>
      <c r="E937" s="24" t="s">
        <v>1155</v>
      </c>
      <c r="F937" s="7"/>
      <c r="G937" s="21">
        <f t="shared" ref="G937:H940" si="94">G938</f>
        <v>0</v>
      </c>
      <c r="H937" s="21">
        <f t="shared" si="94"/>
        <v>0</v>
      </c>
      <c r="I937" s="381" t="e">
        <f t="shared" si="86"/>
        <v>#DIV/0!</v>
      </c>
    </row>
    <row r="938" spans="1:9" s="203" customFormat="1" ht="31.5" hidden="1" x14ac:dyDescent="0.25">
      <c r="A938" s="23" t="s">
        <v>1156</v>
      </c>
      <c r="B938" s="19">
        <v>908</v>
      </c>
      <c r="C938" s="7" t="s">
        <v>241</v>
      </c>
      <c r="D938" s="7" t="s">
        <v>220</v>
      </c>
      <c r="E938" s="24" t="s">
        <v>1157</v>
      </c>
      <c r="F938" s="7"/>
      <c r="G938" s="21">
        <f t="shared" si="94"/>
        <v>0</v>
      </c>
      <c r="H938" s="21">
        <f t="shared" si="94"/>
        <v>0</v>
      </c>
      <c r="I938" s="381" t="e">
        <f t="shared" si="86"/>
        <v>#DIV/0!</v>
      </c>
    </row>
    <row r="939" spans="1:9" s="203" customFormat="1" ht="12.75" hidden="1" customHeight="1" x14ac:dyDescent="0.25">
      <c r="A939" s="25" t="s">
        <v>544</v>
      </c>
      <c r="B939" s="16">
        <v>908</v>
      </c>
      <c r="C939" s="40" t="s">
        <v>241</v>
      </c>
      <c r="D939" s="40" t="s">
        <v>220</v>
      </c>
      <c r="E939" s="20" t="s">
        <v>1158</v>
      </c>
      <c r="F939" s="40"/>
      <c r="G939" s="26">
        <f t="shared" si="94"/>
        <v>0</v>
      </c>
      <c r="H939" s="26">
        <f t="shared" si="94"/>
        <v>0</v>
      </c>
      <c r="I939" s="381" t="e">
        <f t="shared" si="86"/>
        <v>#DIV/0!</v>
      </c>
    </row>
    <row r="940" spans="1:9" s="203" customFormat="1" ht="28.5" hidden="1" customHeight="1" x14ac:dyDescent="0.25">
      <c r="A940" s="25" t="s">
        <v>138</v>
      </c>
      <c r="B940" s="16">
        <v>908</v>
      </c>
      <c r="C940" s="40" t="s">
        <v>241</v>
      </c>
      <c r="D940" s="40" t="s">
        <v>220</v>
      </c>
      <c r="E940" s="20" t="s">
        <v>1158</v>
      </c>
      <c r="F940" s="40" t="s">
        <v>139</v>
      </c>
      <c r="G940" s="26">
        <f t="shared" si="94"/>
        <v>0</v>
      </c>
      <c r="H940" s="26">
        <f t="shared" si="94"/>
        <v>0</v>
      </c>
      <c r="I940" s="381" t="e">
        <f t="shared" si="86"/>
        <v>#DIV/0!</v>
      </c>
    </row>
    <row r="941" spans="1:9" s="203" customFormat="1" ht="31.5" hidden="1" customHeight="1" x14ac:dyDescent="0.25">
      <c r="A941" s="25" t="s">
        <v>140</v>
      </c>
      <c r="B941" s="16">
        <v>908</v>
      </c>
      <c r="C941" s="40" t="s">
        <v>241</v>
      </c>
      <c r="D941" s="40" t="s">
        <v>220</v>
      </c>
      <c r="E941" s="20" t="s">
        <v>1158</v>
      </c>
      <c r="F941" s="40" t="s">
        <v>141</v>
      </c>
      <c r="G941" s="373">
        <f>235-235</f>
        <v>0</v>
      </c>
      <c r="H941" s="373">
        <f>235-235</f>
        <v>0</v>
      </c>
      <c r="I941" s="381" t="e">
        <f t="shared" si="86"/>
        <v>#DIV/0!</v>
      </c>
    </row>
    <row r="942" spans="1:9" ht="15.75" x14ac:dyDescent="0.25">
      <c r="A942" s="23" t="s">
        <v>548</v>
      </c>
      <c r="B942" s="19">
        <v>908</v>
      </c>
      <c r="C942" s="24" t="s">
        <v>241</v>
      </c>
      <c r="D942" s="24" t="s">
        <v>222</v>
      </c>
      <c r="E942" s="24"/>
      <c r="F942" s="24"/>
      <c r="G942" s="21">
        <f>G943+G948+G987</f>
        <v>27134.2</v>
      </c>
      <c r="H942" s="21">
        <f>H943+H948+H987</f>
        <v>421.90800000000002</v>
      </c>
      <c r="I942" s="437">
        <f t="shared" si="86"/>
        <v>1.5548938240301906</v>
      </c>
    </row>
    <row r="943" spans="1:9" s="203" customFormat="1" ht="15.75" x14ac:dyDescent="0.25">
      <c r="A943" s="23" t="s">
        <v>148</v>
      </c>
      <c r="B943" s="19">
        <v>908</v>
      </c>
      <c r="C943" s="24" t="s">
        <v>241</v>
      </c>
      <c r="D943" s="24" t="s">
        <v>222</v>
      </c>
      <c r="E943" s="24" t="s">
        <v>876</v>
      </c>
      <c r="F943" s="24"/>
      <c r="G943" s="21">
        <f t="shared" ref="G943:H946" si="95">G944</f>
        <v>390</v>
      </c>
      <c r="H943" s="21">
        <f t="shared" si="95"/>
        <v>0</v>
      </c>
      <c r="I943" s="437">
        <f t="shared" si="86"/>
        <v>0</v>
      </c>
    </row>
    <row r="944" spans="1:9" s="203" customFormat="1" ht="31.5" x14ac:dyDescent="0.25">
      <c r="A944" s="23" t="s">
        <v>880</v>
      </c>
      <c r="B944" s="19">
        <v>908</v>
      </c>
      <c r="C944" s="24" t="s">
        <v>241</v>
      </c>
      <c r="D944" s="24" t="s">
        <v>222</v>
      </c>
      <c r="E944" s="24" t="s">
        <v>875</v>
      </c>
      <c r="F944" s="24"/>
      <c r="G944" s="21">
        <f t="shared" si="95"/>
        <v>390</v>
      </c>
      <c r="H944" s="21">
        <f t="shared" si="95"/>
        <v>0</v>
      </c>
      <c r="I944" s="437">
        <f t="shared" si="86"/>
        <v>0</v>
      </c>
    </row>
    <row r="945" spans="1:11" s="203" customFormat="1" ht="15.75" x14ac:dyDescent="0.25">
      <c r="A945" s="25" t="s">
        <v>571</v>
      </c>
      <c r="B945" s="16">
        <v>908</v>
      </c>
      <c r="C945" s="20" t="s">
        <v>241</v>
      </c>
      <c r="D945" s="20" t="s">
        <v>222</v>
      </c>
      <c r="E945" s="20" t="s">
        <v>1085</v>
      </c>
      <c r="F945" s="20"/>
      <c r="G945" s="26">
        <f t="shared" si="95"/>
        <v>390</v>
      </c>
      <c r="H945" s="26">
        <f t="shared" si="95"/>
        <v>0</v>
      </c>
      <c r="I945" s="381">
        <f t="shared" si="86"/>
        <v>0</v>
      </c>
    </row>
    <row r="946" spans="1:11" s="203" customFormat="1" ht="31.5" x14ac:dyDescent="0.25">
      <c r="A946" s="25" t="s">
        <v>138</v>
      </c>
      <c r="B946" s="16">
        <v>908</v>
      </c>
      <c r="C946" s="20" t="s">
        <v>241</v>
      </c>
      <c r="D946" s="20" t="s">
        <v>222</v>
      </c>
      <c r="E946" s="20" t="s">
        <v>1085</v>
      </c>
      <c r="F946" s="20" t="s">
        <v>139</v>
      </c>
      <c r="G946" s="26">
        <f t="shared" si="95"/>
        <v>390</v>
      </c>
      <c r="H946" s="26">
        <f t="shared" si="95"/>
        <v>0</v>
      </c>
      <c r="I946" s="381">
        <f t="shared" si="86"/>
        <v>0</v>
      </c>
    </row>
    <row r="947" spans="1:11" s="203" customFormat="1" ht="31.5" x14ac:dyDescent="0.25">
      <c r="A947" s="25" t="s">
        <v>140</v>
      </c>
      <c r="B947" s="16">
        <v>908</v>
      </c>
      <c r="C947" s="20" t="s">
        <v>241</v>
      </c>
      <c r="D947" s="20" t="s">
        <v>222</v>
      </c>
      <c r="E947" s="20" t="s">
        <v>1085</v>
      </c>
      <c r="F947" s="20" t="s">
        <v>141</v>
      </c>
      <c r="G947" s="27">
        <f>390+1000-1000</f>
        <v>390</v>
      </c>
      <c r="H947" s="27">
        <v>0</v>
      </c>
      <c r="I947" s="381">
        <f t="shared" si="86"/>
        <v>0</v>
      </c>
    </row>
    <row r="948" spans="1:11" ht="34.5" customHeight="1" x14ac:dyDescent="0.25">
      <c r="A948" s="23" t="s">
        <v>1379</v>
      </c>
      <c r="B948" s="19">
        <v>908</v>
      </c>
      <c r="C948" s="24" t="s">
        <v>241</v>
      </c>
      <c r="D948" s="24" t="s">
        <v>222</v>
      </c>
      <c r="E948" s="24" t="s">
        <v>550</v>
      </c>
      <c r="F948" s="24"/>
      <c r="G948" s="21">
        <f>G949+G980+G953</f>
        <v>3935.2</v>
      </c>
      <c r="H948" s="21">
        <f>H949+H980+H953</f>
        <v>421.90800000000002</v>
      </c>
      <c r="I948" s="437">
        <f t="shared" si="86"/>
        <v>10.721386460662737</v>
      </c>
    </row>
    <row r="949" spans="1:11" s="203" customFormat="1" ht="35.450000000000003" hidden="1" customHeight="1" x14ac:dyDescent="0.25">
      <c r="A949" s="23" t="s">
        <v>1452</v>
      </c>
      <c r="B949" s="19">
        <v>908</v>
      </c>
      <c r="C949" s="24" t="s">
        <v>241</v>
      </c>
      <c r="D949" s="24" t="s">
        <v>222</v>
      </c>
      <c r="E949" s="24" t="s">
        <v>1288</v>
      </c>
      <c r="F949" s="24"/>
      <c r="G949" s="21">
        <f t="shared" ref="G949:H951" si="96">G950</f>
        <v>0</v>
      </c>
      <c r="H949" s="21">
        <f t="shared" si="96"/>
        <v>0</v>
      </c>
      <c r="I949" s="437" t="e">
        <f t="shared" si="86"/>
        <v>#DIV/0!</v>
      </c>
    </row>
    <row r="950" spans="1:11" s="203" customFormat="1" ht="21.2" hidden="1" customHeight="1" x14ac:dyDescent="0.25">
      <c r="A950" s="312" t="s">
        <v>1453</v>
      </c>
      <c r="B950" s="16">
        <v>908</v>
      </c>
      <c r="C950" s="20" t="s">
        <v>241</v>
      </c>
      <c r="D950" s="20" t="s">
        <v>222</v>
      </c>
      <c r="E950" s="20" t="s">
        <v>1436</v>
      </c>
      <c r="F950" s="20"/>
      <c r="G950" s="26">
        <f t="shared" si="96"/>
        <v>0</v>
      </c>
      <c r="H950" s="26">
        <f t="shared" si="96"/>
        <v>0</v>
      </c>
      <c r="I950" s="437" t="e">
        <f t="shared" si="86"/>
        <v>#DIV/0!</v>
      </c>
    </row>
    <row r="951" spans="1:11" s="203" customFormat="1" ht="35.450000000000003" hidden="1" customHeight="1" x14ac:dyDescent="0.25">
      <c r="A951" s="25" t="s">
        <v>138</v>
      </c>
      <c r="B951" s="16">
        <v>908</v>
      </c>
      <c r="C951" s="20" t="s">
        <v>241</v>
      </c>
      <c r="D951" s="20" t="s">
        <v>222</v>
      </c>
      <c r="E951" s="20" t="s">
        <v>1436</v>
      </c>
      <c r="F951" s="20" t="s">
        <v>139</v>
      </c>
      <c r="G951" s="26">
        <f t="shared" si="96"/>
        <v>0</v>
      </c>
      <c r="H951" s="26">
        <f t="shared" si="96"/>
        <v>0</v>
      </c>
      <c r="I951" s="437" t="e">
        <f t="shared" si="86"/>
        <v>#DIV/0!</v>
      </c>
    </row>
    <row r="952" spans="1:11" s="203" customFormat="1" ht="35.450000000000003" hidden="1" customHeight="1" x14ac:dyDescent="0.25">
      <c r="A952" s="25" t="s">
        <v>140</v>
      </c>
      <c r="B952" s="16">
        <v>908</v>
      </c>
      <c r="C952" s="20" t="s">
        <v>241</v>
      </c>
      <c r="D952" s="20" t="s">
        <v>222</v>
      </c>
      <c r="E952" s="20" t="s">
        <v>1436</v>
      </c>
      <c r="F952" s="20" t="s">
        <v>141</v>
      </c>
      <c r="G952" s="26">
        <v>0</v>
      </c>
      <c r="H952" s="26">
        <v>0</v>
      </c>
      <c r="I952" s="437" t="e">
        <f t="shared" si="86"/>
        <v>#DIV/0!</v>
      </c>
      <c r="J952" s="252"/>
      <c r="K952" s="252"/>
    </row>
    <row r="953" spans="1:11" s="203" customFormat="1" ht="35.450000000000003" customHeight="1" x14ac:dyDescent="0.25">
      <c r="A953" s="23" t="s">
        <v>1455</v>
      </c>
      <c r="B953" s="19">
        <v>908</v>
      </c>
      <c r="C953" s="24" t="s">
        <v>241</v>
      </c>
      <c r="D953" s="24" t="s">
        <v>222</v>
      </c>
      <c r="E953" s="24" t="s">
        <v>1289</v>
      </c>
      <c r="F953" s="24"/>
      <c r="G953" s="21">
        <f>G954+G957+G963+G966+G969+G974+G977</f>
        <v>2078</v>
      </c>
      <c r="H953" s="21">
        <f>H954+H957+H963+H966+H969+H974+H977</f>
        <v>421.90800000000002</v>
      </c>
      <c r="I953" s="437">
        <f t="shared" si="86"/>
        <v>20.303561116458134</v>
      </c>
    </row>
    <row r="954" spans="1:11" ht="19.5" customHeight="1" x14ac:dyDescent="0.25">
      <c r="A954" s="25" t="s">
        <v>553</v>
      </c>
      <c r="B954" s="16">
        <v>908</v>
      </c>
      <c r="C954" s="20" t="s">
        <v>241</v>
      </c>
      <c r="D954" s="20" t="s">
        <v>222</v>
      </c>
      <c r="E954" s="20" t="s">
        <v>1451</v>
      </c>
      <c r="F954" s="20"/>
      <c r="G954" s="26">
        <f>G955</f>
        <v>365</v>
      </c>
      <c r="H954" s="26">
        <f>H955</f>
        <v>0</v>
      </c>
      <c r="I954" s="381">
        <f t="shared" si="86"/>
        <v>0</v>
      </c>
    </row>
    <row r="955" spans="1:11" ht="31.5" x14ac:dyDescent="0.25">
      <c r="A955" s="25" t="s">
        <v>138</v>
      </c>
      <c r="B955" s="16">
        <v>908</v>
      </c>
      <c r="C955" s="20" t="s">
        <v>241</v>
      </c>
      <c r="D955" s="20" t="s">
        <v>222</v>
      </c>
      <c r="E955" s="20" t="s">
        <v>1451</v>
      </c>
      <c r="F955" s="20" t="s">
        <v>139</v>
      </c>
      <c r="G955" s="26">
        <f>G956</f>
        <v>365</v>
      </c>
      <c r="H955" s="26">
        <f>H956</f>
        <v>0</v>
      </c>
      <c r="I955" s="381">
        <f t="shared" si="86"/>
        <v>0</v>
      </c>
    </row>
    <row r="956" spans="1:11" ht="31.5" x14ac:dyDescent="0.25">
      <c r="A956" s="25" t="s">
        <v>140</v>
      </c>
      <c r="B956" s="16">
        <v>908</v>
      </c>
      <c r="C956" s="20" t="s">
        <v>241</v>
      </c>
      <c r="D956" s="20" t="s">
        <v>222</v>
      </c>
      <c r="E956" s="20" t="s">
        <v>1451</v>
      </c>
      <c r="F956" s="20" t="s">
        <v>141</v>
      </c>
      <c r="G956" s="26">
        <v>365</v>
      </c>
      <c r="H956" s="26">
        <v>0</v>
      </c>
      <c r="I956" s="381">
        <f t="shared" si="86"/>
        <v>0</v>
      </c>
    </row>
    <row r="957" spans="1:11" ht="15.75" x14ac:dyDescent="0.25">
      <c r="A957" s="25" t="s">
        <v>1097</v>
      </c>
      <c r="B957" s="16">
        <v>908</v>
      </c>
      <c r="C957" s="20" t="s">
        <v>241</v>
      </c>
      <c r="D957" s="20" t="s">
        <v>222</v>
      </c>
      <c r="E957" s="20" t="s">
        <v>1435</v>
      </c>
      <c r="F957" s="20"/>
      <c r="G957" s="26">
        <f>G958+G960</f>
        <v>1238</v>
      </c>
      <c r="H957" s="26">
        <f>H958+H960</f>
        <v>421.90800000000002</v>
      </c>
      <c r="I957" s="381">
        <f t="shared" si="86"/>
        <v>34.079806138933769</v>
      </c>
    </row>
    <row r="958" spans="1:11" ht="31.5" x14ac:dyDescent="0.25">
      <c r="A958" s="25" t="s">
        <v>138</v>
      </c>
      <c r="B958" s="16">
        <v>908</v>
      </c>
      <c r="C958" s="20" t="s">
        <v>241</v>
      </c>
      <c r="D958" s="20" t="s">
        <v>222</v>
      </c>
      <c r="E958" s="20" t="s">
        <v>1435</v>
      </c>
      <c r="F958" s="20" t="s">
        <v>139</v>
      </c>
      <c r="G958" s="26">
        <f>G959</f>
        <v>1238</v>
      </c>
      <c r="H958" s="26">
        <f>H959</f>
        <v>421.90800000000002</v>
      </c>
      <c r="I958" s="381">
        <f t="shared" si="86"/>
        <v>34.079806138933769</v>
      </c>
    </row>
    <row r="959" spans="1:11" ht="31.5" x14ac:dyDescent="0.25">
      <c r="A959" s="25" t="s">
        <v>140</v>
      </c>
      <c r="B959" s="16">
        <v>908</v>
      </c>
      <c r="C959" s="20" t="s">
        <v>241</v>
      </c>
      <c r="D959" s="20" t="s">
        <v>222</v>
      </c>
      <c r="E959" s="20" t="s">
        <v>1435</v>
      </c>
      <c r="F959" s="20" t="s">
        <v>141</v>
      </c>
      <c r="G959" s="26">
        <f>1080+158</f>
        <v>1238</v>
      </c>
      <c r="H959" s="26">
        <v>421.90800000000002</v>
      </c>
      <c r="I959" s="381">
        <f t="shared" si="86"/>
        <v>34.079806138933769</v>
      </c>
    </row>
    <row r="960" spans="1:11" ht="15.75" hidden="1" x14ac:dyDescent="0.25">
      <c r="A960" s="25" t="s">
        <v>142</v>
      </c>
      <c r="B960" s="16">
        <v>908</v>
      </c>
      <c r="C960" s="20" t="s">
        <v>241</v>
      </c>
      <c r="D960" s="20" t="s">
        <v>222</v>
      </c>
      <c r="E960" s="20" t="s">
        <v>1435</v>
      </c>
      <c r="F960" s="20" t="s">
        <v>152</v>
      </c>
      <c r="G960" s="26">
        <f>G962+G961</f>
        <v>0</v>
      </c>
      <c r="H960" s="26">
        <f>H962+H961</f>
        <v>0</v>
      </c>
      <c r="I960" s="381" t="e">
        <f t="shared" si="86"/>
        <v>#DIV/0!</v>
      </c>
    </row>
    <row r="961" spans="1:11" s="203" customFormat="1" ht="32.25" hidden="1" customHeight="1" x14ac:dyDescent="0.25">
      <c r="A961" s="25" t="s">
        <v>846</v>
      </c>
      <c r="B961" s="16">
        <v>908</v>
      </c>
      <c r="C961" s="20" t="s">
        <v>241</v>
      </c>
      <c r="D961" s="20" t="s">
        <v>222</v>
      </c>
      <c r="E961" s="20" t="s">
        <v>1435</v>
      </c>
      <c r="F961" s="20" t="s">
        <v>154</v>
      </c>
      <c r="G961" s="26">
        <v>0</v>
      </c>
      <c r="H961" s="26">
        <v>0</v>
      </c>
      <c r="I961" s="381" t="e">
        <f t="shared" si="86"/>
        <v>#DIV/0!</v>
      </c>
    </row>
    <row r="962" spans="1:11" ht="15.75" hidden="1" x14ac:dyDescent="0.25">
      <c r="A962" s="25" t="s">
        <v>714</v>
      </c>
      <c r="B962" s="16">
        <v>908</v>
      </c>
      <c r="C962" s="20" t="s">
        <v>241</v>
      </c>
      <c r="D962" s="20" t="s">
        <v>222</v>
      </c>
      <c r="E962" s="20" t="s">
        <v>1435</v>
      </c>
      <c r="F962" s="20" t="s">
        <v>145</v>
      </c>
      <c r="G962" s="26">
        <f>3.4+37.5-40.9</f>
        <v>0</v>
      </c>
      <c r="H962" s="26">
        <f>3.4+37.5-40.9</f>
        <v>0</v>
      </c>
      <c r="I962" s="381" t="e">
        <f t="shared" si="86"/>
        <v>#DIV/0!</v>
      </c>
    </row>
    <row r="963" spans="1:11" ht="15.75" hidden="1" x14ac:dyDescent="0.25">
      <c r="A963" s="25" t="s">
        <v>557</v>
      </c>
      <c r="B963" s="16">
        <v>908</v>
      </c>
      <c r="C963" s="20" t="s">
        <v>241</v>
      </c>
      <c r="D963" s="20" t="s">
        <v>222</v>
      </c>
      <c r="E963" s="20" t="s">
        <v>1313</v>
      </c>
      <c r="F963" s="20"/>
      <c r="G963" s="26">
        <f>G964</f>
        <v>0</v>
      </c>
      <c r="H963" s="26">
        <f>H964</f>
        <v>0</v>
      </c>
      <c r="I963" s="381" t="e">
        <f t="shared" si="86"/>
        <v>#DIV/0!</v>
      </c>
    </row>
    <row r="964" spans="1:11" ht="31.5" hidden="1" x14ac:dyDescent="0.25">
      <c r="A964" s="25" t="s">
        <v>138</v>
      </c>
      <c r="B964" s="16">
        <v>908</v>
      </c>
      <c r="C964" s="20" t="s">
        <v>241</v>
      </c>
      <c r="D964" s="20" t="s">
        <v>222</v>
      </c>
      <c r="E964" s="20" t="s">
        <v>1313</v>
      </c>
      <c r="F964" s="20" t="s">
        <v>139</v>
      </c>
      <c r="G964" s="26">
        <f>G965</f>
        <v>0</v>
      </c>
      <c r="H964" s="26">
        <f>H965</f>
        <v>0</v>
      </c>
      <c r="I964" s="381" t="e">
        <f t="shared" si="86"/>
        <v>#DIV/0!</v>
      </c>
    </row>
    <row r="965" spans="1:11" ht="31.5" hidden="1" x14ac:dyDescent="0.25">
      <c r="A965" s="25" t="s">
        <v>140</v>
      </c>
      <c r="B965" s="16">
        <v>908</v>
      </c>
      <c r="C965" s="20" t="s">
        <v>241</v>
      </c>
      <c r="D965" s="20" t="s">
        <v>222</v>
      </c>
      <c r="E965" s="20" t="s">
        <v>1313</v>
      </c>
      <c r="F965" s="20" t="s">
        <v>141</v>
      </c>
      <c r="G965" s="26">
        <v>0</v>
      </c>
      <c r="H965" s="26">
        <v>0</v>
      </c>
      <c r="I965" s="381" t="e">
        <f t="shared" si="86"/>
        <v>#DIV/0!</v>
      </c>
    </row>
    <row r="966" spans="1:11" ht="15.75" x14ac:dyDescent="0.25">
      <c r="A966" s="25" t="s">
        <v>562</v>
      </c>
      <c r="B966" s="16">
        <v>908</v>
      </c>
      <c r="C966" s="20" t="s">
        <v>241</v>
      </c>
      <c r="D966" s="20" t="s">
        <v>222</v>
      </c>
      <c r="E966" s="20" t="s">
        <v>1290</v>
      </c>
      <c r="F966" s="20"/>
      <c r="G966" s="26">
        <f>G967</f>
        <v>50</v>
      </c>
      <c r="H966" s="26">
        <f>H967</f>
        <v>0</v>
      </c>
      <c r="I966" s="381">
        <f t="shared" si="86"/>
        <v>0</v>
      </c>
    </row>
    <row r="967" spans="1:11" ht="31.5" x14ac:dyDescent="0.25">
      <c r="A967" s="25" t="s">
        <v>138</v>
      </c>
      <c r="B967" s="16">
        <v>908</v>
      </c>
      <c r="C967" s="20" t="s">
        <v>241</v>
      </c>
      <c r="D967" s="20" t="s">
        <v>222</v>
      </c>
      <c r="E967" s="20" t="s">
        <v>1290</v>
      </c>
      <c r="F967" s="20" t="s">
        <v>139</v>
      </c>
      <c r="G967" s="26">
        <f>G968</f>
        <v>50</v>
      </c>
      <c r="H967" s="26">
        <f>H968</f>
        <v>0</v>
      </c>
      <c r="I967" s="381">
        <f t="shared" si="86"/>
        <v>0</v>
      </c>
    </row>
    <row r="968" spans="1:11" ht="36" customHeight="1" x14ac:dyDescent="0.25">
      <c r="A968" s="25" t="s">
        <v>140</v>
      </c>
      <c r="B968" s="16">
        <v>908</v>
      </c>
      <c r="C968" s="20" t="s">
        <v>241</v>
      </c>
      <c r="D968" s="20" t="s">
        <v>222</v>
      </c>
      <c r="E968" s="20" t="s">
        <v>1290</v>
      </c>
      <c r="F968" s="20" t="s">
        <v>141</v>
      </c>
      <c r="G968" s="26">
        <v>50</v>
      </c>
      <c r="H968" s="26">
        <v>0</v>
      </c>
      <c r="I968" s="381">
        <f t="shared" si="86"/>
        <v>0</v>
      </c>
    </row>
    <row r="969" spans="1:11" ht="30.75" customHeight="1" x14ac:dyDescent="0.25">
      <c r="A969" s="310" t="s">
        <v>1454</v>
      </c>
      <c r="B969" s="16">
        <v>908</v>
      </c>
      <c r="C969" s="20" t="s">
        <v>241</v>
      </c>
      <c r="D969" s="20" t="s">
        <v>222</v>
      </c>
      <c r="E969" s="20" t="s">
        <v>1291</v>
      </c>
      <c r="F969" s="20"/>
      <c r="G969" s="26">
        <f>G970+G972</f>
        <v>375</v>
      </c>
      <c r="H969" s="26">
        <f>H970+H972</f>
        <v>0</v>
      </c>
      <c r="I969" s="381">
        <f t="shared" si="86"/>
        <v>0</v>
      </c>
      <c r="K969" s="203"/>
    </row>
    <row r="970" spans="1:11" ht="31.5" x14ac:dyDescent="0.25">
      <c r="A970" s="25" t="s">
        <v>138</v>
      </c>
      <c r="B970" s="16">
        <v>908</v>
      </c>
      <c r="C970" s="20" t="s">
        <v>241</v>
      </c>
      <c r="D970" s="20" t="s">
        <v>222</v>
      </c>
      <c r="E970" s="20" t="s">
        <v>1291</v>
      </c>
      <c r="F970" s="20" t="s">
        <v>139</v>
      </c>
      <c r="G970" s="26">
        <f>G971</f>
        <v>300</v>
      </c>
      <c r="H970" s="26">
        <f>H971</f>
        <v>0</v>
      </c>
      <c r="I970" s="381">
        <f t="shared" si="86"/>
        <v>0</v>
      </c>
    </row>
    <row r="971" spans="1:11" ht="31.5" x14ac:dyDescent="0.25">
      <c r="A971" s="25" t="s">
        <v>140</v>
      </c>
      <c r="B971" s="16">
        <v>908</v>
      </c>
      <c r="C971" s="20" t="s">
        <v>241</v>
      </c>
      <c r="D971" s="20" t="s">
        <v>222</v>
      </c>
      <c r="E971" s="20" t="s">
        <v>1291</v>
      </c>
      <c r="F971" s="20" t="s">
        <v>141</v>
      </c>
      <c r="G971" s="26">
        <v>300</v>
      </c>
      <c r="H971" s="26">
        <v>0</v>
      </c>
      <c r="I971" s="381">
        <f t="shared" ref="I971:I1034" si="97">H971/G971*100</f>
        <v>0</v>
      </c>
    </row>
    <row r="972" spans="1:11" s="203" customFormat="1" ht="15.75" x14ac:dyDescent="0.25">
      <c r="A972" s="25" t="s">
        <v>142</v>
      </c>
      <c r="B972" s="16">
        <v>908</v>
      </c>
      <c r="C972" s="20" t="s">
        <v>241</v>
      </c>
      <c r="D972" s="20" t="s">
        <v>222</v>
      </c>
      <c r="E972" s="20" t="s">
        <v>1291</v>
      </c>
      <c r="F972" s="20" t="s">
        <v>152</v>
      </c>
      <c r="G972" s="26">
        <f>G973</f>
        <v>75</v>
      </c>
      <c r="H972" s="26">
        <f>H973</f>
        <v>0</v>
      </c>
      <c r="I972" s="381">
        <f t="shared" si="97"/>
        <v>0</v>
      </c>
    </row>
    <row r="973" spans="1:11" s="203" customFormat="1" ht="15.75" x14ac:dyDescent="0.25">
      <c r="A973" s="25" t="s">
        <v>714</v>
      </c>
      <c r="B973" s="16">
        <v>908</v>
      </c>
      <c r="C973" s="20" t="s">
        <v>241</v>
      </c>
      <c r="D973" s="20" t="s">
        <v>222</v>
      </c>
      <c r="E973" s="20" t="s">
        <v>1291</v>
      </c>
      <c r="F973" s="20" t="s">
        <v>145</v>
      </c>
      <c r="G973" s="26">
        <v>75</v>
      </c>
      <c r="H973" s="26">
        <v>0</v>
      </c>
      <c r="I973" s="381">
        <f t="shared" si="97"/>
        <v>0</v>
      </c>
    </row>
    <row r="974" spans="1:11" ht="15.75" hidden="1" x14ac:dyDescent="0.25">
      <c r="A974" s="45" t="s">
        <v>566</v>
      </c>
      <c r="B974" s="16">
        <v>908</v>
      </c>
      <c r="C974" s="20" t="s">
        <v>241</v>
      </c>
      <c r="D974" s="20" t="s">
        <v>222</v>
      </c>
      <c r="E974" s="20" t="s">
        <v>1292</v>
      </c>
      <c r="F974" s="20"/>
      <c r="G974" s="26">
        <f>G975</f>
        <v>0</v>
      </c>
      <c r="H974" s="26">
        <f>H975</f>
        <v>0</v>
      </c>
      <c r="I974" s="381" t="e">
        <f t="shared" si="97"/>
        <v>#DIV/0!</v>
      </c>
    </row>
    <row r="975" spans="1:11" ht="31.5" hidden="1" x14ac:dyDescent="0.25">
      <c r="A975" s="25" t="s">
        <v>138</v>
      </c>
      <c r="B975" s="16">
        <v>908</v>
      </c>
      <c r="C975" s="20" t="s">
        <v>241</v>
      </c>
      <c r="D975" s="20" t="s">
        <v>222</v>
      </c>
      <c r="E975" s="20" t="s">
        <v>1292</v>
      </c>
      <c r="F975" s="20" t="s">
        <v>139</v>
      </c>
      <c r="G975" s="26">
        <f>G976</f>
        <v>0</v>
      </c>
      <c r="H975" s="26">
        <f>H976</f>
        <v>0</v>
      </c>
      <c r="I975" s="381" t="e">
        <f t="shared" si="97"/>
        <v>#DIV/0!</v>
      </c>
    </row>
    <row r="976" spans="1:11" ht="31.5" hidden="1" x14ac:dyDescent="0.25">
      <c r="A976" s="25" t="s">
        <v>140</v>
      </c>
      <c r="B976" s="16">
        <v>908</v>
      </c>
      <c r="C976" s="20" t="s">
        <v>241</v>
      </c>
      <c r="D976" s="20" t="s">
        <v>222</v>
      </c>
      <c r="E976" s="20" t="s">
        <v>1292</v>
      </c>
      <c r="F976" s="20" t="s">
        <v>141</v>
      </c>
      <c r="G976" s="26">
        <v>0</v>
      </c>
      <c r="H976" s="26">
        <v>0</v>
      </c>
      <c r="I976" s="381" t="e">
        <f t="shared" si="97"/>
        <v>#DIV/0!</v>
      </c>
    </row>
    <row r="977" spans="1:9" s="203" customFormat="1" ht="31.5" x14ac:dyDescent="0.25">
      <c r="A977" s="311" t="s">
        <v>1099</v>
      </c>
      <c r="B977" s="16">
        <v>908</v>
      </c>
      <c r="C977" s="20" t="s">
        <v>241</v>
      </c>
      <c r="D977" s="20" t="s">
        <v>222</v>
      </c>
      <c r="E977" s="20" t="s">
        <v>1293</v>
      </c>
      <c r="F977" s="20"/>
      <c r="G977" s="26">
        <f>G978</f>
        <v>50</v>
      </c>
      <c r="H977" s="26">
        <f>H978</f>
        <v>0</v>
      </c>
      <c r="I977" s="381">
        <f t="shared" si="97"/>
        <v>0</v>
      </c>
    </row>
    <row r="978" spans="1:9" s="203" customFormat="1" ht="31.5" x14ac:dyDescent="0.25">
      <c r="A978" s="25" t="s">
        <v>138</v>
      </c>
      <c r="B978" s="16">
        <v>908</v>
      </c>
      <c r="C978" s="20" t="s">
        <v>241</v>
      </c>
      <c r="D978" s="20" t="s">
        <v>222</v>
      </c>
      <c r="E978" s="20" t="s">
        <v>1293</v>
      </c>
      <c r="F978" s="20" t="s">
        <v>139</v>
      </c>
      <c r="G978" s="26">
        <f>G979</f>
        <v>50</v>
      </c>
      <c r="H978" s="26">
        <f>H979</f>
        <v>0</v>
      </c>
      <c r="I978" s="381">
        <f t="shared" si="97"/>
        <v>0</v>
      </c>
    </row>
    <row r="979" spans="1:9" s="203" customFormat="1" ht="31.5" x14ac:dyDescent="0.25">
      <c r="A979" s="25" t="s">
        <v>140</v>
      </c>
      <c r="B979" s="16">
        <v>908</v>
      </c>
      <c r="C979" s="20" t="s">
        <v>241</v>
      </c>
      <c r="D979" s="20" t="s">
        <v>222</v>
      </c>
      <c r="E979" s="20" t="s">
        <v>1293</v>
      </c>
      <c r="F979" s="20" t="s">
        <v>141</v>
      </c>
      <c r="G979" s="26">
        <v>50</v>
      </c>
      <c r="H979" s="26">
        <v>0</v>
      </c>
      <c r="I979" s="381">
        <f t="shared" si="97"/>
        <v>0</v>
      </c>
    </row>
    <row r="980" spans="1:9" s="203" customFormat="1" ht="31.5" x14ac:dyDescent="0.25">
      <c r="A980" s="23" t="s">
        <v>901</v>
      </c>
      <c r="B980" s="19">
        <v>908</v>
      </c>
      <c r="C980" s="24" t="s">
        <v>241</v>
      </c>
      <c r="D980" s="24" t="s">
        <v>222</v>
      </c>
      <c r="E980" s="24" t="s">
        <v>1311</v>
      </c>
      <c r="F980" s="24"/>
      <c r="G980" s="21">
        <f>G981+G984</f>
        <v>1857.2</v>
      </c>
      <c r="H980" s="21">
        <f>H981+H984</f>
        <v>0</v>
      </c>
      <c r="I980" s="437">
        <f t="shared" si="97"/>
        <v>0</v>
      </c>
    </row>
    <row r="981" spans="1:9" s="203" customFormat="1" ht="31.5" hidden="1" x14ac:dyDescent="0.25">
      <c r="A981" s="25" t="s">
        <v>698</v>
      </c>
      <c r="B981" s="16">
        <v>908</v>
      </c>
      <c r="C981" s="20" t="s">
        <v>241</v>
      </c>
      <c r="D981" s="20" t="s">
        <v>222</v>
      </c>
      <c r="E981" s="20" t="s">
        <v>1342</v>
      </c>
      <c r="F981" s="20"/>
      <c r="G981" s="26">
        <f>G982</f>
        <v>0</v>
      </c>
      <c r="H981" s="26">
        <f>H982</f>
        <v>0</v>
      </c>
      <c r="I981" s="381" t="e">
        <f t="shared" si="97"/>
        <v>#DIV/0!</v>
      </c>
    </row>
    <row r="982" spans="1:9" s="203" customFormat="1" ht="31.5" hidden="1" x14ac:dyDescent="0.25">
      <c r="A982" s="25" t="s">
        <v>138</v>
      </c>
      <c r="B982" s="16">
        <v>908</v>
      </c>
      <c r="C982" s="20" t="s">
        <v>241</v>
      </c>
      <c r="D982" s="20" t="s">
        <v>222</v>
      </c>
      <c r="E982" s="20" t="s">
        <v>1342</v>
      </c>
      <c r="F982" s="20" t="s">
        <v>139</v>
      </c>
      <c r="G982" s="26">
        <f>G983</f>
        <v>0</v>
      </c>
      <c r="H982" s="26">
        <f>H983</f>
        <v>0</v>
      </c>
      <c r="I982" s="381" t="e">
        <f t="shared" si="97"/>
        <v>#DIV/0!</v>
      </c>
    </row>
    <row r="983" spans="1:9" s="203" customFormat="1" ht="31.5" hidden="1" x14ac:dyDescent="0.25">
      <c r="A983" s="25" t="s">
        <v>140</v>
      </c>
      <c r="B983" s="16">
        <v>908</v>
      </c>
      <c r="C983" s="20" t="s">
        <v>241</v>
      </c>
      <c r="D983" s="20" t="s">
        <v>222</v>
      </c>
      <c r="E983" s="20" t="s">
        <v>1342</v>
      </c>
      <c r="F983" s="20" t="s">
        <v>141</v>
      </c>
      <c r="G983" s="26">
        <v>0</v>
      </c>
      <c r="H983" s="26">
        <v>0</v>
      </c>
      <c r="I983" s="381" t="e">
        <f t="shared" si="97"/>
        <v>#DIV/0!</v>
      </c>
    </row>
    <row r="984" spans="1:9" s="203" customFormat="1" ht="47.25" x14ac:dyDescent="0.25">
      <c r="A984" s="25" t="s">
        <v>1081</v>
      </c>
      <c r="B984" s="16">
        <v>908</v>
      </c>
      <c r="C984" s="20" t="s">
        <v>241</v>
      </c>
      <c r="D984" s="20" t="s">
        <v>222</v>
      </c>
      <c r="E984" s="20" t="s">
        <v>1310</v>
      </c>
      <c r="F984" s="20"/>
      <c r="G984" s="26">
        <f>G985</f>
        <v>1857.2</v>
      </c>
      <c r="H984" s="26">
        <f>H985</f>
        <v>0</v>
      </c>
      <c r="I984" s="381">
        <f t="shared" si="97"/>
        <v>0</v>
      </c>
    </row>
    <row r="985" spans="1:9" s="203" customFormat="1" ht="31.5" x14ac:dyDescent="0.25">
      <c r="A985" s="25" t="s">
        <v>138</v>
      </c>
      <c r="B985" s="16">
        <v>908</v>
      </c>
      <c r="C985" s="20" t="s">
        <v>241</v>
      </c>
      <c r="D985" s="20" t="s">
        <v>222</v>
      </c>
      <c r="E985" s="20" t="s">
        <v>1310</v>
      </c>
      <c r="F985" s="20" t="s">
        <v>139</v>
      </c>
      <c r="G985" s="26">
        <f>G986</f>
        <v>1857.2</v>
      </c>
      <c r="H985" s="26">
        <f>H986</f>
        <v>0</v>
      </c>
      <c r="I985" s="381">
        <f t="shared" si="97"/>
        <v>0</v>
      </c>
    </row>
    <row r="986" spans="1:9" s="203" customFormat="1" ht="31.5" x14ac:dyDescent="0.25">
      <c r="A986" s="25" t="s">
        <v>140</v>
      </c>
      <c r="B986" s="16">
        <v>908</v>
      </c>
      <c r="C986" s="20" t="s">
        <v>241</v>
      </c>
      <c r="D986" s="20" t="s">
        <v>222</v>
      </c>
      <c r="E986" s="20" t="s">
        <v>1310</v>
      </c>
      <c r="F986" s="20" t="s">
        <v>141</v>
      </c>
      <c r="G986" s="26">
        <v>1857.2</v>
      </c>
      <c r="H986" s="26">
        <v>0</v>
      </c>
      <c r="I986" s="381">
        <f t="shared" si="97"/>
        <v>0</v>
      </c>
    </row>
    <row r="987" spans="1:9" ht="51" customHeight="1" x14ac:dyDescent="0.25">
      <c r="A987" s="23" t="s">
        <v>1580</v>
      </c>
      <c r="B987" s="19">
        <v>908</v>
      </c>
      <c r="C987" s="24" t="s">
        <v>241</v>
      </c>
      <c r="D987" s="24" t="s">
        <v>222</v>
      </c>
      <c r="E987" s="24" t="s">
        <v>721</v>
      </c>
      <c r="F987" s="24"/>
      <c r="G987" s="21">
        <f t="shared" ref="G987:H990" si="98">G988</f>
        <v>22809</v>
      </c>
      <c r="H987" s="21">
        <f t="shared" si="98"/>
        <v>0</v>
      </c>
      <c r="I987" s="437">
        <f t="shared" si="97"/>
        <v>0</v>
      </c>
    </row>
    <row r="988" spans="1:9" s="203" customFormat="1" ht="34.5" customHeight="1" x14ac:dyDescent="0.25">
      <c r="A988" s="23" t="s">
        <v>1077</v>
      </c>
      <c r="B988" s="19">
        <v>908</v>
      </c>
      <c r="C988" s="24" t="s">
        <v>241</v>
      </c>
      <c r="D988" s="24" t="s">
        <v>222</v>
      </c>
      <c r="E988" s="24" t="s">
        <v>1098</v>
      </c>
      <c r="F988" s="24"/>
      <c r="G988" s="21">
        <f t="shared" si="98"/>
        <v>22809</v>
      </c>
      <c r="H988" s="21">
        <f t="shared" si="98"/>
        <v>0</v>
      </c>
      <c r="I988" s="437">
        <f t="shared" si="97"/>
        <v>0</v>
      </c>
    </row>
    <row r="989" spans="1:9" ht="48.75" customHeight="1" x14ac:dyDescent="0.25">
      <c r="A989" s="80" t="s">
        <v>701</v>
      </c>
      <c r="B989" s="16">
        <v>908</v>
      </c>
      <c r="C989" s="20" t="s">
        <v>241</v>
      </c>
      <c r="D989" s="20" t="s">
        <v>222</v>
      </c>
      <c r="E989" s="20" t="s">
        <v>845</v>
      </c>
      <c r="F989" s="20"/>
      <c r="G989" s="26">
        <f t="shared" si="98"/>
        <v>22809</v>
      </c>
      <c r="H989" s="26">
        <f t="shared" si="98"/>
        <v>0</v>
      </c>
      <c r="I989" s="381">
        <f t="shared" si="97"/>
        <v>0</v>
      </c>
    </row>
    <row r="990" spans="1:9" ht="31.5" x14ac:dyDescent="0.25">
      <c r="A990" s="25" t="s">
        <v>138</v>
      </c>
      <c r="B990" s="16">
        <v>908</v>
      </c>
      <c r="C990" s="20" t="s">
        <v>241</v>
      </c>
      <c r="D990" s="20" t="s">
        <v>222</v>
      </c>
      <c r="E990" s="20" t="s">
        <v>845</v>
      </c>
      <c r="F990" s="20" t="s">
        <v>139</v>
      </c>
      <c r="G990" s="26">
        <f t="shared" si="98"/>
        <v>22809</v>
      </c>
      <c r="H990" s="26">
        <f t="shared" si="98"/>
        <v>0</v>
      </c>
      <c r="I990" s="381">
        <f t="shared" si="97"/>
        <v>0</v>
      </c>
    </row>
    <row r="991" spans="1:9" ht="31.5" x14ac:dyDescent="0.25">
      <c r="A991" s="25" t="s">
        <v>140</v>
      </c>
      <c r="B991" s="16">
        <v>908</v>
      </c>
      <c r="C991" s="20" t="s">
        <v>241</v>
      </c>
      <c r="D991" s="20" t="s">
        <v>222</v>
      </c>
      <c r="E991" s="20" t="s">
        <v>845</v>
      </c>
      <c r="F991" s="20" t="s">
        <v>141</v>
      </c>
      <c r="G991" s="26">
        <f>500+874+21435</f>
        <v>22809</v>
      </c>
      <c r="H991" s="26">
        <v>0</v>
      </c>
      <c r="I991" s="381">
        <f t="shared" si="97"/>
        <v>0</v>
      </c>
    </row>
    <row r="992" spans="1:9" ht="31.5" x14ac:dyDescent="0.25">
      <c r="A992" s="23" t="s">
        <v>576</v>
      </c>
      <c r="B992" s="19">
        <v>908</v>
      </c>
      <c r="C992" s="24" t="s">
        <v>241</v>
      </c>
      <c r="D992" s="24" t="s">
        <v>241</v>
      </c>
      <c r="E992" s="24"/>
      <c r="F992" s="24"/>
      <c r="G992" s="21">
        <f>G993+G1005+G1024</f>
        <v>29804.5</v>
      </c>
      <c r="H992" s="21">
        <f>H993+H1005+H1024</f>
        <v>5613.1750000000002</v>
      </c>
      <c r="I992" s="437">
        <f t="shared" si="97"/>
        <v>18.833313761344765</v>
      </c>
    </row>
    <row r="993" spans="1:9" ht="31.5" x14ac:dyDescent="0.25">
      <c r="A993" s="23" t="s">
        <v>927</v>
      </c>
      <c r="B993" s="19">
        <v>908</v>
      </c>
      <c r="C993" s="24" t="s">
        <v>241</v>
      </c>
      <c r="D993" s="24" t="s">
        <v>241</v>
      </c>
      <c r="E993" s="24" t="s">
        <v>868</v>
      </c>
      <c r="F993" s="24"/>
      <c r="G993" s="21">
        <f>G994</f>
        <v>12879.3</v>
      </c>
      <c r="H993" s="21">
        <f>H994</f>
        <v>3147.451</v>
      </c>
      <c r="I993" s="437">
        <f t="shared" si="97"/>
        <v>24.438059521868428</v>
      </c>
    </row>
    <row r="994" spans="1:9" ht="15.75" x14ac:dyDescent="0.25">
      <c r="A994" s="23" t="s">
        <v>928</v>
      </c>
      <c r="B994" s="19">
        <v>908</v>
      </c>
      <c r="C994" s="24" t="s">
        <v>241</v>
      </c>
      <c r="D994" s="24" t="s">
        <v>241</v>
      </c>
      <c r="E994" s="24" t="s">
        <v>869</v>
      </c>
      <c r="F994" s="24"/>
      <c r="G994" s="21">
        <f>G995+G1002</f>
        <v>12879.3</v>
      </c>
      <c r="H994" s="21">
        <f>H995+H1002</f>
        <v>3147.451</v>
      </c>
      <c r="I994" s="437">
        <f t="shared" si="97"/>
        <v>24.438059521868428</v>
      </c>
    </row>
    <row r="995" spans="1:9" ht="31.9" customHeight="1" x14ac:dyDescent="0.25">
      <c r="A995" s="25" t="s">
        <v>907</v>
      </c>
      <c r="B995" s="16">
        <v>908</v>
      </c>
      <c r="C995" s="20" t="s">
        <v>241</v>
      </c>
      <c r="D995" s="20" t="s">
        <v>241</v>
      </c>
      <c r="E995" s="20" t="s">
        <v>870</v>
      </c>
      <c r="F995" s="20"/>
      <c r="G995" s="26">
        <f>G996+G1000+G998</f>
        <v>12511.3</v>
      </c>
      <c r="H995" s="26">
        <f>H996+H1000+H998</f>
        <v>2867.451</v>
      </c>
      <c r="I995" s="381">
        <f t="shared" si="97"/>
        <v>22.918889324051058</v>
      </c>
    </row>
    <row r="996" spans="1:9" ht="60.75" customHeight="1" x14ac:dyDescent="0.25">
      <c r="A996" s="25" t="s">
        <v>134</v>
      </c>
      <c r="B996" s="16">
        <v>908</v>
      </c>
      <c r="C996" s="20" t="s">
        <v>241</v>
      </c>
      <c r="D996" s="20" t="s">
        <v>241</v>
      </c>
      <c r="E996" s="20" t="s">
        <v>870</v>
      </c>
      <c r="F996" s="20" t="s">
        <v>135</v>
      </c>
      <c r="G996" s="26">
        <f>G997</f>
        <v>12439.3</v>
      </c>
      <c r="H996" s="26">
        <f>H997</f>
        <v>2858.306</v>
      </c>
      <c r="I996" s="381">
        <f t="shared" si="97"/>
        <v>22.978029310330967</v>
      </c>
    </row>
    <row r="997" spans="1:9" ht="31.5" x14ac:dyDescent="0.25">
      <c r="A997" s="25" t="s">
        <v>136</v>
      </c>
      <c r="B997" s="16">
        <v>908</v>
      </c>
      <c r="C997" s="20" t="s">
        <v>241</v>
      </c>
      <c r="D997" s="20" t="s">
        <v>241</v>
      </c>
      <c r="E997" s="20" t="s">
        <v>870</v>
      </c>
      <c r="F997" s="20" t="s">
        <v>137</v>
      </c>
      <c r="G997" s="27">
        <f>12439.3</f>
        <v>12439.3</v>
      </c>
      <c r="H997" s="27">
        <v>2858.306</v>
      </c>
      <c r="I997" s="381">
        <f t="shared" si="97"/>
        <v>22.978029310330967</v>
      </c>
    </row>
    <row r="998" spans="1:9" ht="31.5" x14ac:dyDescent="0.25">
      <c r="A998" s="25" t="s">
        <v>138</v>
      </c>
      <c r="B998" s="16">
        <v>908</v>
      </c>
      <c r="C998" s="20" t="s">
        <v>241</v>
      </c>
      <c r="D998" s="20" t="s">
        <v>241</v>
      </c>
      <c r="E998" s="20" t="s">
        <v>870</v>
      </c>
      <c r="F998" s="20" t="s">
        <v>139</v>
      </c>
      <c r="G998" s="26">
        <f>G999</f>
        <v>25</v>
      </c>
      <c r="H998" s="26">
        <f>H999</f>
        <v>0</v>
      </c>
      <c r="I998" s="381">
        <f t="shared" si="97"/>
        <v>0</v>
      </c>
    </row>
    <row r="999" spans="1:9" ht="36.75" customHeight="1" x14ac:dyDescent="0.25">
      <c r="A999" s="25" t="s">
        <v>140</v>
      </c>
      <c r="B999" s="16">
        <v>908</v>
      </c>
      <c r="C999" s="20" t="s">
        <v>241</v>
      </c>
      <c r="D999" s="20" t="s">
        <v>241</v>
      </c>
      <c r="E999" s="20" t="s">
        <v>870</v>
      </c>
      <c r="F999" s="20" t="s">
        <v>141</v>
      </c>
      <c r="G999" s="27">
        <v>25</v>
      </c>
      <c r="H999" s="27">
        <v>0</v>
      </c>
      <c r="I999" s="381">
        <f t="shared" si="97"/>
        <v>0</v>
      </c>
    </row>
    <row r="1000" spans="1:9" ht="15.75" x14ac:dyDescent="0.25">
      <c r="A1000" s="25" t="s">
        <v>142</v>
      </c>
      <c r="B1000" s="16">
        <v>908</v>
      </c>
      <c r="C1000" s="20" t="s">
        <v>241</v>
      </c>
      <c r="D1000" s="20" t="s">
        <v>241</v>
      </c>
      <c r="E1000" s="20" t="s">
        <v>870</v>
      </c>
      <c r="F1000" s="20" t="s">
        <v>152</v>
      </c>
      <c r="G1000" s="26">
        <f>G1001</f>
        <v>47</v>
      </c>
      <c r="H1000" s="26">
        <f>H1001</f>
        <v>9.1449999999999996</v>
      </c>
      <c r="I1000" s="381">
        <f t="shared" si="97"/>
        <v>19.457446808510635</v>
      </c>
    </row>
    <row r="1001" spans="1:9" ht="15.75" x14ac:dyDescent="0.25">
      <c r="A1001" s="25" t="s">
        <v>575</v>
      </c>
      <c r="B1001" s="16">
        <v>908</v>
      </c>
      <c r="C1001" s="20" t="s">
        <v>241</v>
      </c>
      <c r="D1001" s="20" t="s">
        <v>241</v>
      </c>
      <c r="E1001" s="20" t="s">
        <v>870</v>
      </c>
      <c r="F1001" s="20" t="s">
        <v>145</v>
      </c>
      <c r="G1001" s="26">
        <v>47</v>
      </c>
      <c r="H1001" s="26">
        <v>9.1449999999999996</v>
      </c>
      <c r="I1001" s="381">
        <f t="shared" si="97"/>
        <v>19.457446808510635</v>
      </c>
    </row>
    <row r="1002" spans="1:9" s="203" customFormat="1" ht="31.5" x14ac:dyDescent="0.25">
      <c r="A1002" s="25" t="s">
        <v>849</v>
      </c>
      <c r="B1002" s="16">
        <v>908</v>
      </c>
      <c r="C1002" s="20" t="s">
        <v>241</v>
      </c>
      <c r="D1002" s="20" t="s">
        <v>241</v>
      </c>
      <c r="E1002" s="20" t="s">
        <v>872</v>
      </c>
      <c r="F1002" s="20"/>
      <c r="G1002" s="26">
        <f>G1003</f>
        <v>368</v>
      </c>
      <c r="H1002" s="26">
        <f>H1003</f>
        <v>280</v>
      </c>
      <c r="I1002" s="381">
        <f t="shared" si="97"/>
        <v>76.08695652173914</v>
      </c>
    </row>
    <row r="1003" spans="1:9" s="203" customFormat="1" ht="63" x14ac:dyDescent="0.25">
      <c r="A1003" s="25" t="s">
        <v>134</v>
      </c>
      <c r="B1003" s="16">
        <v>908</v>
      </c>
      <c r="C1003" s="20" t="s">
        <v>241</v>
      </c>
      <c r="D1003" s="20" t="s">
        <v>241</v>
      </c>
      <c r="E1003" s="20" t="s">
        <v>872</v>
      </c>
      <c r="F1003" s="20" t="s">
        <v>135</v>
      </c>
      <c r="G1003" s="26">
        <f>G1004</f>
        <v>368</v>
      </c>
      <c r="H1003" s="26">
        <f>H1004</f>
        <v>280</v>
      </c>
      <c r="I1003" s="381">
        <f t="shared" si="97"/>
        <v>76.08695652173914</v>
      </c>
    </row>
    <row r="1004" spans="1:9" s="203" customFormat="1" ht="31.5" x14ac:dyDescent="0.25">
      <c r="A1004" s="25" t="s">
        <v>136</v>
      </c>
      <c r="B1004" s="16">
        <v>908</v>
      </c>
      <c r="C1004" s="20" t="s">
        <v>241</v>
      </c>
      <c r="D1004" s="20" t="s">
        <v>241</v>
      </c>
      <c r="E1004" s="20" t="s">
        <v>872</v>
      </c>
      <c r="F1004" s="20" t="s">
        <v>137</v>
      </c>
      <c r="G1004" s="26">
        <v>368</v>
      </c>
      <c r="H1004" s="26">
        <v>280</v>
      </c>
      <c r="I1004" s="381">
        <f t="shared" si="97"/>
        <v>76.08695652173914</v>
      </c>
    </row>
    <row r="1005" spans="1:9" ht="15.75" x14ac:dyDescent="0.25">
      <c r="A1005" s="23" t="s">
        <v>148</v>
      </c>
      <c r="B1005" s="19">
        <v>908</v>
      </c>
      <c r="C1005" s="24" t="s">
        <v>241</v>
      </c>
      <c r="D1005" s="24" t="s">
        <v>241</v>
      </c>
      <c r="E1005" s="24" t="s">
        <v>876</v>
      </c>
      <c r="F1005" s="24"/>
      <c r="G1005" s="21">
        <f>G1006+G1015</f>
        <v>16925.2</v>
      </c>
      <c r="H1005" s="21">
        <f>H1006+H1015</f>
        <v>2465.7240000000002</v>
      </c>
      <c r="I1005" s="437">
        <f t="shared" si="97"/>
        <v>14.568359605794909</v>
      </c>
    </row>
    <row r="1006" spans="1:9" s="203" customFormat="1" ht="31.5" x14ac:dyDescent="0.25">
      <c r="A1006" s="23" t="s">
        <v>880</v>
      </c>
      <c r="B1006" s="19">
        <v>908</v>
      </c>
      <c r="C1006" s="24" t="s">
        <v>241</v>
      </c>
      <c r="D1006" s="24" t="s">
        <v>241</v>
      </c>
      <c r="E1006" s="24" t="s">
        <v>875</v>
      </c>
      <c r="F1006" s="24"/>
      <c r="G1006" s="21">
        <f>G1007+G1012</f>
        <v>5482</v>
      </c>
      <c r="H1006" s="21">
        <f>H1007+H1012</f>
        <v>227.02199999999999</v>
      </c>
      <c r="I1006" s="437">
        <f t="shared" si="97"/>
        <v>4.1412258299890548</v>
      </c>
    </row>
    <row r="1007" spans="1:9" ht="31.5" x14ac:dyDescent="0.25">
      <c r="A1007" s="25" t="s">
        <v>577</v>
      </c>
      <c r="B1007" s="16">
        <v>908</v>
      </c>
      <c r="C1007" s="20" t="s">
        <v>241</v>
      </c>
      <c r="D1007" s="20" t="s">
        <v>241</v>
      </c>
      <c r="E1007" s="20" t="s">
        <v>994</v>
      </c>
      <c r="F1007" s="20"/>
      <c r="G1007" s="27">
        <f>G1010+G1008</f>
        <v>5482</v>
      </c>
      <c r="H1007" s="27">
        <f>H1010+H1008</f>
        <v>227.02199999999999</v>
      </c>
      <c r="I1007" s="381">
        <f t="shared" si="97"/>
        <v>4.1412258299890548</v>
      </c>
    </row>
    <row r="1008" spans="1:9" s="203" customFormat="1" ht="15.75" x14ac:dyDescent="0.25">
      <c r="A1008" s="25" t="s">
        <v>1585</v>
      </c>
      <c r="B1008" s="16">
        <v>908</v>
      </c>
      <c r="C1008" s="20" t="s">
        <v>241</v>
      </c>
      <c r="D1008" s="20" t="s">
        <v>241</v>
      </c>
      <c r="E1008" s="20" t="s">
        <v>994</v>
      </c>
      <c r="F1008" s="20" t="s">
        <v>256</v>
      </c>
      <c r="G1008" s="27">
        <f>G1009</f>
        <v>4500</v>
      </c>
      <c r="H1008" s="27">
        <f>H1009</f>
        <v>0</v>
      </c>
      <c r="I1008" s="381">
        <f t="shared" si="97"/>
        <v>0</v>
      </c>
    </row>
    <row r="1009" spans="1:9" s="203" customFormat="1" ht="15.75" x14ac:dyDescent="0.25">
      <c r="A1009" s="25" t="s">
        <v>1584</v>
      </c>
      <c r="B1009" s="16">
        <v>908</v>
      </c>
      <c r="C1009" s="20" t="s">
        <v>241</v>
      </c>
      <c r="D1009" s="20" t="s">
        <v>241</v>
      </c>
      <c r="E1009" s="20" t="s">
        <v>994</v>
      </c>
      <c r="F1009" s="20" t="s">
        <v>1586</v>
      </c>
      <c r="G1009" s="27">
        <v>4500</v>
      </c>
      <c r="H1009" s="27">
        <v>0</v>
      </c>
      <c r="I1009" s="381">
        <f t="shared" si="97"/>
        <v>0</v>
      </c>
    </row>
    <row r="1010" spans="1:9" ht="15.75" x14ac:dyDescent="0.25">
      <c r="A1010" s="25" t="s">
        <v>142</v>
      </c>
      <c r="B1010" s="16">
        <v>908</v>
      </c>
      <c r="C1010" s="20" t="s">
        <v>241</v>
      </c>
      <c r="D1010" s="20" t="s">
        <v>241</v>
      </c>
      <c r="E1010" s="20" t="s">
        <v>994</v>
      </c>
      <c r="F1010" s="20" t="s">
        <v>152</v>
      </c>
      <c r="G1010" s="27">
        <f>G1011</f>
        <v>982</v>
      </c>
      <c r="H1010" s="27">
        <f>H1011</f>
        <v>227.02199999999999</v>
      </c>
      <c r="I1010" s="381">
        <f t="shared" si="97"/>
        <v>23.118329938900203</v>
      </c>
    </row>
    <row r="1011" spans="1:9" ht="47.25" customHeight="1" x14ac:dyDescent="0.25">
      <c r="A1011" s="25" t="s">
        <v>191</v>
      </c>
      <c r="B1011" s="16">
        <v>908</v>
      </c>
      <c r="C1011" s="20" t="s">
        <v>241</v>
      </c>
      <c r="D1011" s="20" t="s">
        <v>241</v>
      </c>
      <c r="E1011" s="20" t="s">
        <v>994</v>
      </c>
      <c r="F1011" s="20" t="s">
        <v>167</v>
      </c>
      <c r="G1011" s="27">
        <f>982</f>
        <v>982</v>
      </c>
      <c r="H1011" s="27">
        <v>227.02199999999999</v>
      </c>
      <c r="I1011" s="381">
        <f t="shared" si="97"/>
        <v>23.118329938900203</v>
      </c>
    </row>
    <row r="1012" spans="1:9" s="203" customFormat="1" ht="37.5" hidden="1" customHeight="1" x14ac:dyDescent="0.25">
      <c r="A1012" s="25" t="s">
        <v>833</v>
      </c>
      <c r="B1012" s="16">
        <v>908</v>
      </c>
      <c r="C1012" s="20" t="s">
        <v>241</v>
      </c>
      <c r="D1012" s="20" t="s">
        <v>241</v>
      </c>
      <c r="E1012" s="20" t="s">
        <v>1082</v>
      </c>
      <c r="F1012" s="20"/>
      <c r="G1012" s="27">
        <f>G1013</f>
        <v>0</v>
      </c>
      <c r="H1012" s="27">
        <f>H1013</f>
        <v>0</v>
      </c>
      <c r="I1012" s="381" t="e">
        <f t="shared" si="97"/>
        <v>#DIV/0!</v>
      </c>
    </row>
    <row r="1013" spans="1:9" s="203" customFormat="1" ht="21.75" hidden="1" customHeight="1" x14ac:dyDescent="0.25">
      <c r="A1013" s="25" t="s">
        <v>142</v>
      </c>
      <c r="B1013" s="16">
        <v>908</v>
      </c>
      <c r="C1013" s="20" t="s">
        <v>241</v>
      </c>
      <c r="D1013" s="20" t="s">
        <v>241</v>
      </c>
      <c r="E1013" s="20" t="s">
        <v>1082</v>
      </c>
      <c r="F1013" s="20" t="s">
        <v>152</v>
      </c>
      <c r="G1013" s="27">
        <f>G1014</f>
        <v>0</v>
      </c>
      <c r="H1013" s="27">
        <f>H1014</f>
        <v>0</v>
      </c>
      <c r="I1013" s="381" t="e">
        <f t="shared" si="97"/>
        <v>#DIV/0!</v>
      </c>
    </row>
    <row r="1014" spans="1:9" s="203" customFormat="1" ht="47.25" hidden="1" customHeight="1" x14ac:dyDescent="0.25">
      <c r="A1014" s="25" t="s">
        <v>191</v>
      </c>
      <c r="B1014" s="16">
        <v>908</v>
      </c>
      <c r="C1014" s="20" t="s">
        <v>241</v>
      </c>
      <c r="D1014" s="20" t="s">
        <v>241</v>
      </c>
      <c r="E1014" s="20" t="s">
        <v>1082</v>
      </c>
      <c r="F1014" s="20" t="s">
        <v>167</v>
      </c>
      <c r="G1014" s="27">
        <v>0</v>
      </c>
      <c r="H1014" s="27">
        <v>0</v>
      </c>
      <c r="I1014" s="381" t="e">
        <f t="shared" si="97"/>
        <v>#DIV/0!</v>
      </c>
    </row>
    <row r="1015" spans="1:9" s="203" customFormat="1" ht="32.65" customHeight="1" x14ac:dyDescent="0.25">
      <c r="A1015" s="23" t="s">
        <v>939</v>
      </c>
      <c r="B1015" s="19">
        <v>908</v>
      </c>
      <c r="C1015" s="24" t="s">
        <v>241</v>
      </c>
      <c r="D1015" s="24" t="s">
        <v>241</v>
      </c>
      <c r="E1015" s="24" t="s">
        <v>924</v>
      </c>
      <c r="F1015" s="24"/>
      <c r="G1015" s="44">
        <f>G1016+G1021</f>
        <v>11443.2</v>
      </c>
      <c r="H1015" s="44">
        <f>H1016+H1021</f>
        <v>2238.7020000000002</v>
      </c>
      <c r="I1015" s="437">
        <f t="shared" si="97"/>
        <v>19.563601090604028</v>
      </c>
    </row>
    <row r="1016" spans="1:9" ht="31.5" x14ac:dyDescent="0.25">
      <c r="A1016" s="25" t="s">
        <v>913</v>
      </c>
      <c r="B1016" s="16">
        <v>908</v>
      </c>
      <c r="C1016" s="20" t="s">
        <v>241</v>
      </c>
      <c r="D1016" s="20" t="s">
        <v>241</v>
      </c>
      <c r="E1016" s="20" t="s">
        <v>925</v>
      </c>
      <c r="F1016" s="20"/>
      <c r="G1016" s="26">
        <f>G1017+G1019</f>
        <v>10845.2</v>
      </c>
      <c r="H1016" s="26">
        <f>H1017+H1019</f>
        <v>1974.077</v>
      </c>
      <c r="I1016" s="381">
        <f t="shared" si="97"/>
        <v>18.202310699664366</v>
      </c>
    </row>
    <row r="1017" spans="1:9" ht="69.75" customHeight="1" x14ac:dyDescent="0.25">
      <c r="A1017" s="25" t="s">
        <v>134</v>
      </c>
      <c r="B1017" s="16">
        <v>908</v>
      </c>
      <c r="C1017" s="20" t="s">
        <v>241</v>
      </c>
      <c r="D1017" s="20" t="s">
        <v>241</v>
      </c>
      <c r="E1017" s="20" t="s">
        <v>925</v>
      </c>
      <c r="F1017" s="20" t="s">
        <v>135</v>
      </c>
      <c r="G1017" s="26">
        <f>G1018</f>
        <v>9193</v>
      </c>
      <c r="H1017" s="26">
        <f>H1018</f>
        <v>1619.82</v>
      </c>
      <c r="I1017" s="381">
        <f t="shared" si="97"/>
        <v>17.620145763080604</v>
      </c>
    </row>
    <row r="1018" spans="1:9" ht="29.25" customHeight="1" x14ac:dyDescent="0.25">
      <c r="A1018" s="25" t="s">
        <v>349</v>
      </c>
      <c r="B1018" s="16">
        <v>908</v>
      </c>
      <c r="C1018" s="20" t="s">
        <v>241</v>
      </c>
      <c r="D1018" s="20" t="s">
        <v>241</v>
      </c>
      <c r="E1018" s="20" t="s">
        <v>925</v>
      </c>
      <c r="F1018" s="20" t="s">
        <v>216</v>
      </c>
      <c r="G1018" s="27">
        <f>9193</f>
        <v>9193</v>
      </c>
      <c r="H1018" s="27">
        <v>1619.82</v>
      </c>
      <c r="I1018" s="381">
        <f t="shared" si="97"/>
        <v>17.620145763080604</v>
      </c>
    </row>
    <row r="1019" spans="1:9" ht="31.5" x14ac:dyDescent="0.25">
      <c r="A1019" s="25" t="s">
        <v>138</v>
      </c>
      <c r="B1019" s="16">
        <v>908</v>
      </c>
      <c r="C1019" s="20" t="s">
        <v>241</v>
      </c>
      <c r="D1019" s="20" t="s">
        <v>241</v>
      </c>
      <c r="E1019" s="20" t="s">
        <v>925</v>
      </c>
      <c r="F1019" s="20" t="s">
        <v>139</v>
      </c>
      <c r="G1019" s="26">
        <f>G1020</f>
        <v>1652.2</v>
      </c>
      <c r="H1019" s="26">
        <f>H1020</f>
        <v>354.25700000000001</v>
      </c>
      <c r="I1019" s="381">
        <f t="shared" si="97"/>
        <v>21.441532502118388</v>
      </c>
    </row>
    <row r="1020" spans="1:9" ht="31.5" x14ac:dyDescent="0.25">
      <c r="A1020" s="25" t="s">
        <v>140</v>
      </c>
      <c r="B1020" s="16">
        <v>908</v>
      </c>
      <c r="C1020" s="20" t="s">
        <v>241</v>
      </c>
      <c r="D1020" s="20" t="s">
        <v>241</v>
      </c>
      <c r="E1020" s="20" t="s">
        <v>925</v>
      </c>
      <c r="F1020" s="20" t="s">
        <v>141</v>
      </c>
      <c r="G1020" s="27">
        <f>1592.9+59.3</f>
        <v>1652.2</v>
      </c>
      <c r="H1020" s="27">
        <v>354.25700000000001</v>
      </c>
      <c r="I1020" s="381">
        <f t="shared" si="97"/>
        <v>21.441532502118388</v>
      </c>
    </row>
    <row r="1021" spans="1:9" s="203" customFormat="1" ht="31.5" x14ac:dyDescent="0.25">
      <c r="A1021" s="25" t="s">
        <v>849</v>
      </c>
      <c r="B1021" s="16">
        <v>908</v>
      </c>
      <c r="C1021" s="20" t="s">
        <v>241</v>
      </c>
      <c r="D1021" s="20" t="s">
        <v>241</v>
      </c>
      <c r="E1021" s="20" t="s">
        <v>926</v>
      </c>
      <c r="F1021" s="20"/>
      <c r="G1021" s="26">
        <f>G1022</f>
        <v>598</v>
      </c>
      <c r="H1021" s="26">
        <f>H1022</f>
        <v>264.625</v>
      </c>
      <c r="I1021" s="381">
        <f t="shared" si="97"/>
        <v>44.251672240802677</v>
      </c>
    </row>
    <row r="1022" spans="1:9" s="203" customFormat="1" ht="63" x14ac:dyDescent="0.25">
      <c r="A1022" s="25" t="s">
        <v>134</v>
      </c>
      <c r="B1022" s="16">
        <v>908</v>
      </c>
      <c r="C1022" s="20" t="s">
        <v>241</v>
      </c>
      <c r="D1022" s="20" t="s">
        <v>241</v>
      </c>
      <c r="E1022" s="20" t="s">
        <v>926</v>
      </c>
      <c r="F1022" s="20" t="s">
        <v>135</v>
      </c>
      <c r="G1022" s="26">
        <f>G1023</f>
        <v>598</v>
      </c>
      <c r="H1022" s="26">
        <f>H1023</f>
        <v>264.625</v>
      </c>
      <c r="I1022" s="381">
        <f t="shared" si="97"/>
        <v>44.251672240802677</v>
      </c>
    </row>
    <row r="1023" spans="1:9" s="203" customFormat="1" ht="15.75" x14ac:dyDescent="0.25">
      <c r="A1023" s="25" t="s">
        <v>349</v>
      </c>
      <c r="B1023" s="16">
        <v>908</v>
      </c>
      <c r="C1023" s="20" t="s">
        <v>241</v>
      </c>
      <c r="D1023" s="20" t="s">
        <v>241</v>
      </c>
      <c r="E1023" s="20" t="s">
        <v>926</v>
      </c>
      <c r="F1023" s="20" t="s">
        <v>216</v>
      </c>
      <c r="G1023" s="26">
        <v>598</v>
      </c>
      <c r="H1023" s="26">
        <v>264.625</v>
      </c>
      <c r="I1023" s="381">
        <f t="shared" si="97"/>
        <v>44.251672240802677</v>
      </c>
    </row>
    <row r="1024" spans="1:9" s="203" customFormat="1" ht="47.25" hidden="1" x14ac:dyDescent="0.25">
      <c r="A1024" s="34" t="s">
        <v>1374</v>
      </c>
      <c r="B1024" s="19">
        <v>908</v>
      </c>
      <c r="C1024" s="24" t="s">
        <v>241</v>
      </c>
      <c r="D1024" s="24" t="s">
        <v>241</v>
      </c>
      <c r="E1024" s="24" t="s">
        <v>331</v>
      </c>
      <c r="F1024" s="24"/>
      <c r="G1024" s="21">
        <f t="shared" ref="G1024:H1027" si="99">G1025</f>
        <v>0</v>
      </c>
      <c r="H1024" s="21">
        <f t="shared" si="99"/>
        <v>0</v>
      </c>
      <c r="I1024" s="381" t="e">
        <f t="shared" si="97"/>
        <v>#DIV/0!</v>
      </c>
    </row>
    <row r="1025" spans="1:10" s="203" customFormat="1" ht="47.25" hidden="1" x14ac:dyDescent="0.25">
      <c r="A1025" s="34" t="s">
        <v>1019</v>
      </c>
      <c r="B1025" s="19">
        <v>908</v>
      </c>
      <c r="C1025" s="24" t="s">
        <v>241</v>
      </c>
      <c r="D1025" s="24" t="s">
        <v>241</v>
      </c>
      <c r="E1025" s="24" t="s">
        <v>944</v>
      </c>
      <c r="F1025" s="24"/>
      <c r="G1025" s="21">
        <f t="shared" si="99"/>
        <v>0</v>
      </c>
      <c r="H1025" s="21">
        <f t="shared" si="99"/>
        <v>0</v>
      </c>
      <c r="I1025" s="381" t="e">
        <f t="shared" si="97"/>
        <v>#DIV/0!</v>
      </c>
    </row>
    <row r="1026" spans="1:10" s="203" customFormat="1" ht="47.25" hidden="1" x14ac:dyDescent="0.25">
      <c r="A1026" s="31" t="s">
        <v>1091</v>
      </c>
      <c r="B1026" s="16">
        <v>908</v>
      </c>
      <c r="C1026" s="20" t="s">
        <v>241</v>
      </c>
      <c r="D1026" s="20" t="s">
        <v>241</v>
      </c>
      <c r="E1026" s="20" t="s">
        <v>1036</v>
      </c>
      <c r="F1026" s="20"/>
      <c r="G1026" s="26">
        <f t="shared" si="99"/>
        <v>0</v>
      </c>
      <c r="H1026" s="26">
        <f t="shared" si="99"/>
        <v>0</v>
      </c>
      <c r="I1026" s="381" t="e">
        <f t="shared" si="97"/>
        <v>#DIV/0!</v>
      </c>
    </row>
    <row r="1027" spans="1:10" s="203" customFormat="1" ht="31.5" hidden="1" x14ac:dyDescent="0.25">
      <c r="A1027" s="25" t="s">
        <v>138</v>
      </c>
      <c r="B1027" s="16">
        <v>908</v>
      </c>
      <c r="C1027" s="20" t="s">
        <v>241</v>
      </c>
      <c r="D1027" s="20" t="s">
        <v>241</v>
      </c>
      <c r="E1027" s="20" t="s">
        <v>1036</v>
      </c>
      <c r="F1027" s="20" t="s">
        <v>139</v>
      </c>
      <c r="G1027" s="26">
        <f t="shared" si="99"/>
        <v>0</v>
      </c>
      <c r="H1027" s="26">
        <f t="shared" si="99"/>
        <v>0</v>
      </c>
      <c r="I1027" s="381" t="e">
        <f t="shared" si="97"/>
        <v>#DIV/0!</v>
      </c>
    </row>
    <row r="1028" spans="1:10" s="203" customFormat="1" ht="31.5" hidden="1" x14ac:dyDescent="0.25">
      <c r="A1028" s="25" t="s">
        <v>140</v>
      </c>
      <c r="B1028" s="16">
        <v>908</v>
      </c>
      <c r="C1028" s="20" t="s">
        <v>241</v>
      </c>
      <c r="D1028" s="20" t="s">
        <v>241</v>
      </c>
      <c r="E1028" s="20" t="s">
        <v>1036</v>
      </c>
      <c r="F1028" s="20" t="s">
        <v>141</v>
      </c>
      <c r="G1028" s="26">
        <v>0</v>
      </c>
      <c r="H1028" s="26">
        <v>0</v>
      </c>
      <c r="I1028" s="381" t="e">
        <f t="shared" si="97"/>
        <v>#DIV/0!</v>
      </c>
    </row>
    <row r="1029" spans="1:10" ht="15.75" x14ac:dyDescent="0.25">
      <c r="A1029" s="23" t="s">
        <v>250</v>
      </c>
      <c r="B1029" s="19">
        <v>908</v>
      </c>
      <c r="C1029" s="24" t="s">
        <v>251</v>
      </c>
      <c r="D1029" s="24"/>
      <c r="E1029" s="24"/>
      <c r="F1029" s="24"/>
      <c r="G1029" s="21">
        <f t="shared" ref="G1029:H1030" si="100">G1030</f>
        <v>87</v>
      </c>
      <c r="H1029" s="21">
        <f t="shared" si="100"/>
        <v>0</v>
      </c>
      <c r="I1029" s="437">
        <f t="shared" si="97"/>
        <v>0</v>
      </c>
    </row>
    <row r="1030" spans="1:10" ht="15.75" x14ac:dyDescent="0.25">
      <c r="A1030" s="23" t="s">
        <v>265</v>
      </c>
      <c r="B1030" s="19">
        <v>908</v>
      </c>
      <c r="C1030" s="24" t="s">
        <v>251</v>
      </c>
      <c r="D1030" s="24" t="s">
        <v>127</v>
      </c>
      <c r="E1030" s="24"/>
      <c r="F1030" s="24"/>
      <c r="G1030" s="21">
        <f t="shared" si="100"/>
        <v>87</v>
      </c>
      <c r="H1030" s="21">
        <f t="shared" si="100"/>
        <v>0</v>
      </c>
      <c r="I1030" s="437">
        <f t="shared" si="97"/>
        <v>0</v>
      </c>
    </row>
    <row r="1031" spans="1:10" ht="15.75" x14ac:dyDescent="0.25">
      <c r="A1031" s="23" t="s">
        <v>148</v>
      </c>
      <c r="B1031" s="19">
        <v>908</v>
      </c>
      <c r="C1031" s="24" t="s">
        <v>251</v>
      </c>
      <c r="D1031" s="24" t="s">
        <v>127</v>
      </c>
      <c r="E1031" s="24" t="s">
        <v>876</v>
      </c>
      <c r="F1031" s="24"/>
      <c r="G1031" s="21">
        <f t="shared" ref="G1031:H1035" si="101">G1032</f>
        <v>87</v>
      </c>
      <c r="H1031" s="21">
        <f t="shared" si="101"/>
        <v>0</v>
      </c>
      <c r="I1031" s="437">
        <f t="shared" si="97"/>
        <v>0</v>
      </c>
    </row>
    <row r="1032" spans="1:10" ht="15.75" x14ac:dyDescent="0.25">
      <c r="A1032" s="23" t="s">
        <v>148</v>
      </c>
      <c r="B1032" s="19">
        <v>908</v>
      </c>
      <c r="C1032" s="24" t="s">
        <v>251</v>
      </c>
      <c r="D1032" s="24" t="s">
        <v>127</v>
      </c>
      <c r="E1032" s="24" t="s">
        <v>875</v>
      </c>
      <c r="F1032" s="24"/>
      <c r="G1032" s="21">
        <f t="shared" si="101"/>
        <v>87</v>
      </c>
      <c r="H1032" s="21">
        <f t="shared" si="101"/>
        <v>0</v>
      </c>
      <c r="I1032" s="437">
        <f t="shared" si="97"/>
        <v>0</v>
      </c>
    </row>
    <row r="1033" spans="1:10" ht="31.5" x14ac:dyDescent="0.25">
      <c r="A1033" s="23" t="s">
        <v>880</v>
      </c>
      <c r="B1033" s="19">
        <v>908</v>
      </c>
      <c r="C1033" s="24" t="s">
        <v>251</v>
      </c>
      <c r="D1033" s="24" t="s">
        <v>127</v>
      </c>
      <c r="E1033" s="24" t="s">
        <v>875</v>
      </c>
      <c r="F1033" s="24"/>
      <c r="G1033" s="21">
        <f t="shared" si="101"/>
        <v>87</v>
      </c>
      <c r="H1033" s="21">
        <f t="shared" si="101"/>
        <v>0</v>
      </c>
      <c r="I1033" s="437">
        <f t="shared" si="97"/>
        <v>0</v>
      </c>
    </row>
    <row r="1034" spans="1:10" ht="15.75" x14ac:dyDescent="0.25">
      <c r="A1034" s="25" t="s">
        <v>579</v>
      </c>
      <c r="B1034" s="16">
        <v>908</v>
      </c>
      <c r="C1034" s="20" t="s">
        <v>251</v>
      </c>
      <c r="D1034" s="20" t="s">
        <v>127</v>
      </c>
      <c r="E1034" s="20" t="s">
        <v>995</v>
      </c>
      <c r="F1034" s="20"/>
      <c r="G1034" s="26">
        <f t="shared" si="101"/>
        <v>87</v>
      </c>
      <c r="H1034" s="26">
        <f t="shared" si="101"/>
        <v>0</v>
      </c>
      <c r="I1034" s="381">
        <f t="shared" si="97"/>
        <v>0</v>
      </c>
    </row>
    <row r="1035" spans="1:10" ht="31.5" x14ac:dyDescent="0.25">
      <c r="A1035" s="25" t="s">
        <v>138</v>
      </c>
      <c r="B1035" s="16">
        <v>908</v>
      </c>
      <c r="C1035" s="20" t="s">
        <v>251</v>
      </c>
      <c r="D1035" s="20" t="s">
        <v>127</v>
      </c>
      <c r="E1035" s="20" t="s">
        <v>995</v>
      </c>
      <c r="F1035" s="20" t="s">
        <v>139</v>
      </c>
      <c r="G1035" s="26">
        <f t="shared" si="101"/>
        <v>87</v>
      </c>
      <c r="H1035" s="26">
        <f t="shared" si="101"/>
        <v>0</v>
      </c>
      <c r="I1035" s="381">
        <f t="shared" ref="I1035:I1066" si="102">H1035/G1035*100</f>
        <v>0</v>
      </c>
    </row>
    <row r="1036" spans="1:10" ht="31.5" x14ac:dyDescent="0.25">
      <c r="A1036" s="25" t="s">
        <v>140</v>
      </c>
      <c r="B1036" s="16">
        <v>908</v>
      </c>
      <c r="C1036" s="20" t="s">
        <v>251</v>
      </c>
      <c r="D1036" s="20" t="s">
        <v>127</v>
      </c>
      <c r="E1036" s="20" t="s">
        <v>995</v>
      </c>
      <c r="F1036" s="20" t="s">
        <v>141</v>
      </c>
      <c r="G1036" s="26">
        <v>87</v>
      </c>
      <c r="H1036" s="26">
        <v>0</v>
      </c>
      <c r="I1036" s="381">
        <f t="shared" si="102"/>
        <v>0</v>
      </c>
    </row>
    <row r="1037" spans="1:10" ht="33.950000000000003" customHeight="1" x14ac:dyDescent="0.25">
      <c r="A1037" s="19" t="s">
        <v>581</v>
      </c>
      <c r="B1037" s="19">
        <v>910</v>
      </c>
      <c r="C1037" s="47"/>
      <c r="D1037" s="47"/>
      <c r="E1037" s="47"/>
      <c r="F1037" s="47"/>
      <c r="G1037" s="21">
        <f>G1038</f>
        <v>7286.5</v>
      </c>
      <c r="H1037" s="21">
        <f>H1038</f>
        <v>1960.8510000000001</v>
      </c>
      <c r="I1037" s="437">
        <f t="shared" si="102"/>
        <v>26.91073903794689</v>
      </c>
      <c r="J1037" s="115"/>
    </row>
    <row r="1038" spans="1:10" ht="15.75" x14ac:dyDescent="0.25">
      <c r="A1038" s="23" t="s">
        <v>124</v>
      </c>
      <c r="B1038" s="19">
        <v>910</v>
      </c>
      <c r="C1038" s="24" t="s">
        <v>125</v>
      </c>
      <c r="D1038" s="24"/>
      <c r="E1038" s="24"/>
      <c r="F1038" s="24"/>
      <c r="G1038" s="21">
        <f>G1039+G1055</f>
        <v>7286.5</v>
      </c>
      <c r="H1038" s="21">
        <f>H1039+H1055</f>
        <v>1960.8510000000001</v>
      </c>
      <c r="I1038" s="437">
        <f t="shared" si="102"/>
        <v>26.91073903794689</v>
      </c>
    </row>
    <row r="1039" spans="1:10" ht="47.25" customHeight="1" x14ac:dyDescent="0.25">
      <c r="A1039" s="23" t="s">
        <v>585</v>
      </c>
      <c r="B1039" s="19">
        <v>910</v>
      </c>
      <c r="C1039" s="24" t="s">
        <v>125</v>
      </c>
      <c r="D1039" s="24" t="s">
        <v>222</v>
      </c>
      <c r="E1039" s="24"/>
      <c r="F1039" s="24"/>
      <c r="G1039" s="21">
        <f>G1040</f>
        <v>5488</v>
      </c>
      <c r="H1039" s="21">
        <f>H1040</f>
        <v>1573.2810000000002</v>
      </c>
      <c r="I1039" s="437">
        <f t="shared" si="102"/>
        <v>28.667656705539361</v>
      </c>
    </row>
    <row r="1040" spans="1:10" ht="31.5" x14ac:dyDescent="0.25">
      <c r="A1040" s="23" t="s">
        <v>927</v>
      </c>
      <c r="B1040" s="19">
        <v>910</v>
      </c>
      <c r="C1040" s="24" t="s">
        <v>125</v>
      </c>
      <c r="D1040" s="24" t="s">
        <v>222</v>
      </c>
      <c r="E1040" s="24" t="s">
        <v>868</v>
      </c>
      <c r="F1040" s="24"/>
      <c r="G1040" s="21">
        <f>G1041</f>
        <v>5488</v>
      </c>
      <c r="H1040" s="21">
        <f>H1041</f>
        <v>1573.2810000000002</v>
      </c>
      <c r="I1040" s="437">
        <f t="shared" si="102"/>
        <v>28.667656705539361</v>
      </c>
    </row>
    <row r="1041" spans="1:36" ht="15.75" x14ac:dyDescent="0.25">
      <c r="A1041" s="23" t="s">
        <v>996</v>
      </c>
      <c r="B1041" s="19">
        <v>910</v>
      </c>
      <c r="C1041" s="24" t="s">
        <v>125</v>
      </c>
      <c r="D1041" s="24" t="s">
        <v>222</v>
      </c>
      <c r="E1041" s="24" t="s">
        <v>997</v>
      </c>
      <c r="F1041" s="24"/>
      <c r="G1041" s="21">
        <f>G1047+G1052+G1042</f>
        <v>5488</v>
      </c>
      <c r="H1041" s="21">
        <f>H1047+H1052+H1042</f>
        <v>1573.2810000000002</v>
      </c>
      <c r="I1041" s="437">
        <f t="shared" si="102"/>
        <v>28.667656705539361</v>
      </c>
    </row>
    <row r="1042" spans="1:36" s="203" customFormat="1" ht="31.5" x14ac:dyDescent="0.25">
      <c r="A1042" s="285" t="s">
        <v>1380</v>
      </c>
      <c r="B1042" s="16">
        <v>910</v>
      </c>
      <c r="C1042" s="20" t="s">
        <v>125</v>
      </c>
      <c r="D1042" s="20" t="s">
        <v>222</v>
      </c>
      <c r="E1042" s="20" t="s">
        <v>1418</v>
      </c>
      <c r="F1042" s="24"/>
      <c r="G1042" s="26">
        <f>G1043+G1045</f>
        <v>4247.6000000000004</v>
      </c>
      <c r="H1042" s="26">
        <f>H1043+H1045</f>
        <v>1345.4390000000001</v>
      </c>
      <c r="I1042" s="381">
        <f t="shared" si="102"/>
        <v>31.675275449665691</v>
      </c>
    </row>
    <row r="1043" spans="1:36" s="203" customFormat="1" ht="63" x14ac:dyDescent="0.25">
      <c r="A1043" s="25" t="s">
        <v>134</v>
      </c>
      <c r="B1043" s="16">
        <v>910</v>
      </c>
      <c r="C1043" s="20" t="s">
        <v>125</v>
      </c>
      <c r="D1043" s="20" t="s">
        <v>222</v>
      </c>
      <c r="E1043" s="20" t="s">
        <v>1418</v>
      </c>
      <c r="F1043" s="20" t="s">
        <v>135</v>
      </c>
      <c r="G1043" s="26">
        <f>G1044</f>
        <v>4154.6000000000004</v>
      </c>
      <c r="H1043" s="26">
        <f>H1044</f>
        <v>1334.239</v>
      </c>
      <c r="I1043" s="381">
        <f t="shared" si="102"/>
        <v>32.11474028787368</v>
      </c>
    </row>
    <row r="1044" spans="1:36" s="203" customFormat="1" ht="31.5" x14ac:dyDescent="0.25">
      <c r="A1044" s="25" t="s">
        <v>136</v>
      </c>
      <c r="B1044" s="16">
        <v>910</v>
      </c>
      <c r="C1044" s="20" t="s">
        <v>125</v>
      </c>
      <c r="D1044" s="20" t="s">
        <v>222</v>
      </c>
      <c r="E1044" s="20" t="s">
        <v>1418</v>
      </c>
      <c r="F1044" s="20" t="s">
        <v>137</v>
      </c>
      <c r="G1044" s="26">
        <v>4154.6000000000004</v>
      </c>
      <c r="H1044" s="26">
        <v>1334.239</v>
      </c>
      <c r="I1044" s="381">
        <f t="shared" si="102"/>
        <v>32.11474028787368</v>
      </c>
    </row>
    <row r="1045" spans="1:36" s="203" customFormat="1" ht="31.5" x14ac:dyDescent="0.25">
      <c r="A1045" s="25" t="s">
        <v>205</v>
      </c>
      <c r="B1045" s="16">
        <v>910</v>
      </c>
      <c r="C1045" s="20" t="s">
        <v>125</v>
      </c>
      <c r="D1045" s="20" t="s">
        <v>222</v>
      </c>
      <c r="E1045" s="20" t="s">
        <v>1418</v>
      </c>
      <c r="F1045" s="20" t="s">
        <v>139</v>
      </c>
      <c r="G1045" s="26">
        <f>G1046</f>
        <v>93</v>
      </c>
      <c r="H1045" s="26">
        <f>H1046</f>
        <v>11.2</v>
      </c>
      <c r="I1045" s="381">
        <f t="shared" si="102"/>
        <v>12.043010752688172</v>
      </c>
    </row>
    <row r="1046" spans="1:36" s="203" customFormat="1" ht="31.5" x14ac:dyDescent="0.25">
      <c r="A1046" s="25" t="s">
        <v>140</v>
      </c>
      <c r="B1046" s="16">
        <v>910</v>
      </c>
      <c r="C1046" s="20" t="s">
        <v>125</v>
      </c>
      <c r="D1046" s="20" t="s">
        <v>222</v>
      </c>
      <c r="E1046" s="20" t="s">
        <v>1418</v>
      </c>
      <c r="F1046" s="20" t="s">
        <v>141</v>
      </c>
      <c r="G1046" s="26">
        <v>93</v>
      </c>
      <c r="H1046" s="26">
        <v>11.2</v>
      </c>
      <c r="I1046" s="381">
        <f t="shared" si="102"/>
        <v>12.043010752688172</v>
      </c>
    </row>
    <row r="1047" spans="1:36" ht="37.35" customHeight="1" x14ac:dyDescent="0.25">
      <c r="A1047" s="25" t="s">
        <v>1000</v>
      </c>
      <c r="B1047" s="16">
        <v>910</v>
      </c>
      <c r="C1047" s="20" t="s">
        <v>125</v>
      </c>
      <c r="D1047" s="20" t="s">
        <v>222</v>
      </c>
      <c r="E1047" s="20" t="s">
        <v>1001</v>
      </c>
      <c r="F1047" s="20"/>
      <c r="G1047" s="26">
        <f>G1048+G1050</f>
        <v>1240.4000000000001</v>
      </c>
      <c r="H1047" s="26">
        <f>H1048+H1050</f>
        <v>227.84200000000001</v>
      </c>
      <c r="I1047" s="381">
        <f t="shared" si="102"/>
        <v>18.368429538858432</v>
      </c>
    </row>
    <row r="1048" spans="1:36" ht="63" x14ac:dyDescent="0.25">
      <c r="A1048" s="25" t="s">
        <v>134</v>
      </c>
      <c r="B1048" s="16">
        <v>910</v>
      </c>
      <c r="C1048" s="20" t="s">
        <v>125</v>
      </c>
      <c r="D1048" s="20" t="s">
        <v>222</v>
      </c>
      <c r="E1048" s="20" t="s">
        <v>1001</v>
      </c>
      <c r="F1048" s="20" t="s">
        <v>135</v>
      </c>
      <c r="G1048" s="26">
        <f>G1049</f>
        <v>1240.4000000000001</v>
      </c>
      <c r="H1048" s="26">
        <f>H1049</f>
        <v>227.84200000000001</v>
      </c>
      <c r="I1048" s="381">
        <f t="shared" si="102"/>
        <v>18.368429538858432</v>
      </c>
    </row>
    <row r="1049" spans="1:36" ht="31.5" x14ac:dyDescent="0.25">
      <c r="A1049" s="25" t="s">
        <v>136</v>
      </c>
      <c r="B1049" s="16">
        <v>910</v>
      </c>
      <c r="C1049" s="20" t="s">
        <v>125</v>
      </c>
      <c r="D1049" s="20" t="s">
        <v>222</v>
      </c>
      <c r="E1049" s="20" t="s">
        <v>1001</v>
      </c>
      <c r="F1049" s="20" t="s">
        <v>137</v>
      </c>
      <c r="G1049" s="26">
        <v>1240.4000000000001</v>
      </c>
      <c r="H1049" s="26">
        <v>227.84200000000001</v>
      </c>
      <c r="I1049" s="381">
        <f t="shared" si="102"/>
        <v>18.368429538858432</v>
      </c>
    </row>
    <row r="1050" spans="1:36" ht="31.5" hidden="1" x14ac:dyDescent="0.25">
      <c r="A1050" s="25" t="s">
        <v>205</v>
      </c>
      <c r="B1050" s="16">
        <v>910</v>
      </c>
      <c r="C1050" s="20" t="s">
        <v>125</v>
      </c>
      <c r="D1050" s="20" t="s">
        <v>222</v>
      </c>
      <c r="E1050" s="20" t="s">
        <v>1001</v>
      </c>
      <c r="F1050" s="20" t="s">
        <v>139</v>
      </c>
      <c r="G1050" s="26">
        <f>G1051</f>
        <v>0</v>
      </c>
      <c r="H1050" s="26">
        <f>H1051</f>
        <v>0</v>
      </c>
      <c r="I1050" s="381" t="e">
        <f t="shared" si="102"/>
        <v>#DIV/0!</v>
      </c>
    </row>
    <row r="1051" spans="1:36" ht="31.5" hidden="1" x14ac:dyDescent="0.25">
      <c r="A1051" s="25" t="s">
        <v>140</v>
      </c>
      <c r="B1051" s="16">
        <v>910</v>
      </c>
      <c r="C1051" s="20" t="s">
        <v>125</v>
      </c>
      <c r="D1051" s="20" t="s">
        <v>222</v>
      </c>
      <c r="E1051" s="20" t="s">
        <v>1001</v>
      </c>
      <c r="F1051" s="20" t="s">
        <v>141</v>
      </c>
      <c r="G1051" s="26">
        <v>0</v>
      </c>
      <c r="H1051" s="26">
        <v>0</v>
      </c>
      <c r="I1051" s="381" t="e">
        <f t="shared" si="102"/>
        <v>#DIV/0!</v>
      </c>
    </row>
    <row r="1052" spans="1:36" s="203" customFormat="1" ht="39.75" hidden="1" customHeight="1" x14ac:dyDescent="0.25">
      <c r="A1052" s="25" t="s">
        <v>849</v>
      </c>
      <c r="B1052" s="16">
        <v>910</v>
      </c>
      <c r="C1052" s="20" t="s">
        <v>125</v>
      </c>
      <c r="D1052" s="20" t="s">
        <v>222</v>
      </c>
      <c r="E1052" s="20" t="s">
        <v>999</v>
      </c>
      <c r="F1052" s="20"/>
      <c r="G1052" s="26">
        <f>G1053</f>
        <v>0</v>
      </c>
      <c r="H1052" s="26">
        <f>H1053</f>
        <v>0</v>
      </c>
      <c r="I1052" s="381" t="e">
        <f t="shared" si="102"/>
        <v>#DIV/0!</v>
      </c>
    </row>
    <row r="1053" spans="1:36" s="203" customFormat="1" ht="69.75" hidden="1" customHeight="1" x14ac:dyDescent="0.25">
      <c r="A1053" s="25" t="s">
        <v>134</v>
      </c>
      <c r="B1053" s="16">
        <v>910</v>
      </c>
      <c r="C1053" s="20" t="s">
        <v>125</v>
      </c>
      <c r="D1053" s="20" t="s">
        <v>222</v>
      </c>
      <c r="E1053" s="20" t="s">
        <v>999</v>
      </c>
      <c r="F1053" s="20" t="s">
        <v>135</v>
      </c>
      <c r="G1053" s="26">
        <f>G1054</f>
        <v>0</v>
      </c>
      <c r="H1053" s="26">
        <f>H1054</f>
        <v>0</v>
      </c>
      <c r="I1053" s="381" t="e">
        <f t="shared" si="102"/>
        <v>#DIV/0!</v>
      </c>
    </row>
    <row r="1054" spans="1:36" s="203" customFormat="1" ht="35.450000000000003" hidden="1" customHeight="1" x14ac:dyDescent="0.25">
      <c r="A1054" s="25" t="s">
        <v>136</v>
      </c>
      <c r="B1054" s="16">
        <v>910</v>
      </c>
      <c r="C1054" s="20" t="s">
        <v>125</v>
      </c>
      <c r="D1054" s="20" t="s">
        <v>222</v>
      </c>
      <c r="E1054" s="20" t="s">
        <v>999</v>
      </c>
      <c r="F1054" s="20" t="s">
        <v>137</v>
      </c>
      <c r="G1054" s="26">
        <v>0</v>
      </c>
      <c r="H1054" s="26">
        <v>0</v>
      </c>
      <c r="I1054" s="381" t="e">
        <f t="shared" si="102"/>
        <v>#DIV/0!</v>
      </c>
    </row>
    <row r="1055" spans="1:36" ht="47.25" x14ac:dyDescent="0.25">
      <c r="A1055" s="23" t="s">
        <v>126</v>
      </c>
      <c r="B1055" s="19">
        <v>910</v>
      </c>
      <c r="C1055" s="24" t="s">
        <v>125</v>
      </c>
      <c r="D1055" s="24" t="s">
        <v>127</v>
      </c>
      <c r="E1055" s="24"/>
      <c r="F1055" s="24"/>
      <c r="G1055" s="21">
        <f>G1056</f>
        <v>1798.5</v>
      </c>
      <c r="H1055" s="21">
        <f>H1056</f>
        <v>387.57</v>
      </c>
      <c r="I1055" s="437">
        <f t="shared" si="102"/>
        <v>21.549624687239366</v>
      </c>
    </row>
    <row r="1056" spans="1:36" s="111" customFormat="1" ht="31.5" x14ac:dyDescent="0.25">
      <c r="A1056" s="23" t="s">
        <v>927</v>
      </c>
      <c r="B1056" s="19">
        <v>910</v>
      </c>
      <c r="C1056" s="24" t="s">
        <v>125</v>
      </c>
      <c r="D1056" s="24" t="s">
        <v>127</v>
      </c>
      <c r="E1056" s="24" t="s">
        <v>868</v>
      </c>
      <c r="F1056" s="24"/>
      <c r="G1056" s="21">
        <f>G1057</f>
        <v>1798.5</v>
      </c>
      <c r="H1056" s="21">
        <f>H1057</f>
        <v>387.57</v>
      </c>
      <c r="I1056" s="437">
        <f t="shared" si="102"/>
        <v>21.549624687239366</v>
      </c>
      <c r="J1056" s="204"/>
      <c r="AG1056" s="204"/>
      <c r="AH1056" s="204"/>
      <c r="AJ1056" s="204"/>
    </row>
    <row r="1057" spans="1:36" s="111" customFormat="1" ht="15.75" x14ac:dyDescent="0.25">
      <c r="A1057" s="23" t="s">
        <v>996</v>
      </c>
      <c r="B1057" s="19">
        <v>910</v>
      </c>
      <c r="C1057" s="24" t="s">
        <v>125</v>
      </c>
      <c r="D1057" s="24" t="s">
        <v>127</v>
      </c>
      <c r="E1057" s="24" t="s">
        <v>997</v>
      </c>
      <c r="F1057" s="24"/>
      <c r="G1057" s="21">
        <f>G1058+G1063</f>
        <v>1798.5</v>
      </c>
      <c r="H1057" s="21">
        <f>H1058+H1063</f>
        <v>387.57</v>
      </c>
      <c r="I1057" s="437">
        <f t="shared" si="102"/>
        <v>21.549624687239366</v>
      </c>
      <c r="J1057" s="204"/>
      <c r="AG1057" s="204"/>
      <c r="AH1057" s="204"/>
      <c r="AJ1057" s="204"/>
    </row>
    <row r="1058" spans="1:36" s="111" customFormat="1" ht="32.65" customHeight="1" x14ac:dyDescent="0.25">
      <c r="A1058" s="25" t="s">
        <v>907</v>
      </c>
      <c r="B1058" s="16">
        <v>910</v>
      </c>
      <c r="C1058" s="20" t="s">
        <v>125</v>
      </c>
      <c r="D1058" s="20" t="s">
        <v>127</v>
      </c>
      <c r="E1058" s="20" t="s">
        <v>1001</v>
      </c>
      <c r="F1058" s="20"/>
      <c r="G1058" s="26">
        <f>G1059+G1061</f>
        <v>1752.5</v>
      </c>
      <c r="H1058" s="26">
        <f>H1059+H1061</f>
        <v>387.57</v>
      </c>
      <c r="I1058" s="381">
        <f t="shared" si="102"/>
        <v>22.115263908701856</v>
      </c>
      <c r="J1058" s="204"/>
      <c r="AG1058" s="204"/>
      <c r="AH1058" s="204"/>
      <c r="AJ1058" s="204"/>
    </row>
    <row r="1059" spans="1:36" ht="63" x14ac:dyDescent="0.25">
      <c r="A1059" s="25" t="s">
        <v>134</v>
      </c>
      <c r="B1059" s="16">
        <v>910</v>
      </c>
      <c r="C1059" s="20" t="s">
        <v>125</v>
      </c>
      <c r="D1059" s="20" t="s">
        <v>127</v>
      </c>
      <c r="E1059" s="20" t="s">
        <v>1001</v>
      </c>
      <c r="F1059" s="20" t="s">
        <v>135</v>
      </c>
      <c r="G1059" s="26">
        <f>G1060</f>
        <v>1734.5</v>
      </c>
      <c r="H1059" s="26">
        <f>H1060</f>
        <v>387.57</v>
      </c>
      <c r="I1059" s="381">
        <f t="shared" si="102"/>
        <v>22.344767944652638</v>
      </c>
    </row>
    <row r="1060" spans="1:36" ht="31.5" x14ac:dyDescent="0.25">
      <c r="A1060" s="25" t="s">
        <v>136</v>
      </c>
      <c r="B1060" s="16">
        <v>910</v>
      </c>
      <c r="C1060" s="20" t="s">
        <v>125</v>
      </c>
      <c r="D1060" s="20" t="s">
        <v>127</v>
      </c>
      <c r="E1060" s="20" t="s">
        <v>1001</v>
      </c>
      <c r="F1060" s="20" t="s">
        <v>137</v>
      </c>
      <c r="G1060" s="26">
        <v>1734.5</v>
      </c>
      <c r="H1060" s="26">
        <v>387.57</v>
      </c>
      <c r="I1060" s="381">
        <f t="shared" si="102"/>
        <v>22.344767944652638</v>
      </c>
    </row>
    <row r="1061" spans="1:36" ht="31.5" x14ac:dyDescent="0.25">
      <c r="A1061" s="25" t="s">
        <v>205</v>
      </c>
      <c r="B1061" s="16">
        <v>910</v>
      </c>
      <c r="C1061" s="20" t="s">
        <v>125</v>
      </c>
      <c r="D1061" s="20" t="s">
        <v>127</v>
      </c>
      <c r="E1061" s="20" t="s">
        <v>1001</v>
      </c>
      <c r="F1061" s="20" t="s">
        <v>139</v>
      </c>
      <c r="G1061" s="26">
        <f>G1062</f>
        <v>18</v>
      </c>
      <c r="H1061" s="26">
        <f>H1062</f>
        <v>0</v>
      </c>
      <c r="I1061" s="381">
        <f t="shared" si="102"/>
        <v>0</v>
      </c>
    </row>
    <row r="1062" spans="1:36" ht="31.5" x14ac:dyDescent="0.25">
      <c r="A1062" s="25" t="s">
        <v>140</v>
      </c>
      <c r="B1062" s="16">
        <v>910</v>
      </c>
      <c r="C1062" s="20" t="s">
        <v>125</v>
      </c>
      <c r="D1062" s="20" t="s">
        <v>127</v>
      </c>
      <c r="E1062" s="20" t="s">
        <v>1001</v>
      </c>
      <c r="F1062" s="20" t="s">
        <v>141</v>
      </c>
      <c r="G1062" s="26">
        <v>18</v>
      </c>
      <c r="H1062" s="26">
        <v>0</v>
      </c>
      <c r="I1062" s="381">
        <f t="shared" si="102"/>
        <v>0</v>
      </c>
    </row>
    <row r="1063" spans="1:36" s="203" customFormat="1" ht="31.5" x14ac:dyDescent="0.25">
      <c r="A1063" s="25" t="s">
        <v>849</v>
      </c>
      <c r="B1063" s="16">
        <v>910</v>
      </c>
      <c r="C1063" s="20" t="s">
        <v>125</v>
      </c>
      <c r="D1063" s="20" t="s">
        <v>127</v>
      </c>
      <c r="E1063" s="20" t="s">
        <v>999</v>
      </c>
      <c r="F1063" s="20"/>
      <c r="G1063" s="26">
        <f>G1064</f>
        <v>46</v>
      </c>
      <c r="H1063" s="26">
        <f>H1064</f>
        <v>0</v>
      </c>
      <c r="I1063" s="381">
        <f t="shared" si="102"/>
        <v>0</v>
      </c>
    </row>
    <row r="1064" spans="1:36" s="203" customFormat="1" ht="63" x14ac:dyDescent="0.25">
      <c r="A1064" s="25" t="s">
        <v>134</v>
      </c>
      <c r="B1064" s="16">
        <v>910</v>
      </c>
      <c r="C1064" s="20" t="s">
        <v>125</v>
      </c>
      <c r="D1064" s="20" t="s">
        <v>127</v>
      </c>
      <c r="E1064" s="20" t="s">
        <v>999</v>
      </c>
      <c r="F1064" s="20" t="s">
        <v>135</v>
      </c>
      <c r="G1064" s="26">
        <f>G1065</f>
        <v>46</v>
      </c>
      <c r="H1064" s="26">
        <f>H1065</f>
        <v>0</v>
      </c>
      <c r="I1064" s="381">
        <f t="shared" si="102"/>
        <v>0</v>
      </c>
    </row>
    <row r="1065" spans="1:36" s="203" customFormat="1" ht="31.5" x14ac:dyDescent="0.25">
      <c r="A1065" s="25" t="s">
        <v>136</v>
      </c>
      <c r="B1065" s="16">
        <v>910</v>
      </c>
      <c r="C1065" s="20" t="s">
        <v>125</v>
      </c>
      <c r="D1065" s="20" t="s">
        <v>127</v>
      </c>
      <c r="E1065" s="20" t="s">
        <v>999</v>
      </c>
      <c r="F1065" s="20" t="s">
        <v>137</v>
      </c>
      <c r="G1065" s="26">
        <v>46</v>
      </c>
      <c r="H1065" s="26">
        <v>0</v>
      </c>
      <c r="I1065" s="381">
        <f t="shared" si="102"/>
        <v>0</v>
      </c>
    </row>
    <row r="1066" spans="1:36" ht="15.75" x14ac:dyDescent="0.25">
      <c r="A1066" s="48" t="s">
        <v>594</v>
      </c>
      <c r="B1066" s="48"/>
      <c r="C1066" s="24"/>
      <c r="D1066" s="24"/>
      <c r="E1066" s="24"/>
      <c r="F1066" s="24"/>
      <c r="G1066" s="374">
        <f>G1037+G819+G746+G529+G480+G228+G31+G10</f>
        <v>806957.7300000001</v>
      </c>
      <c r="H1066" s="374">
        <f>H1037+H819+H746+H529+H480+H228+H31+H10</f>
        <v>167078.62999999998</v>
      </c>
      <c r="I1066" s="437">
        <f t="shared" si="102"/>
        <v>20.704756121488536</v>
      </c>
    </row>
    <row r="1067" spans="1:36" s="203" customFormat="1" ht="15.75" x14ac:dyDescent="0.25">
      <c r="A1067" s="278"/>
      <c r="B1067" s="278"/>
      <c r="C1067" s="279"/>
      <c r="D1067" s="279"/>
      <c r="E1067" s="279"/>
      <c r="F1067" s="279"/>
      <c r="G1067" s="280"/>
      <c r="I1067" s="115"/>
      <c r="K1067" s="470" t="s">
        <v>1350</v>
      </c>
      <c r="L1067" s="470"/>
      <c r="M1067" s="470"/>
      <c r="N1067" s="470"/>
      <c r="O1067" s="470"/>
      <c r="P1067" s="470"/>
      <c r="Q1067" s="470"/>
      <c r="R1067" s="470"/>
      <c r="S1067" s="470"/>
      <c r="T1067" s="470"/>
    </row>
    <row r="1068" spans="1:36" ht="58.7" customHeight="1" x14ac:dyDescent="0.25">
      <c r="A1068" s="50"/>
      <c r="B1068" s="50"/>
      <c r="C1068" s="50"/>
      <c r="D1068" s="50"/>
      <c r="E1068" s="50"/>
      <c r="F1068" s="50"/>
      <c r="K1068" s="303" t="s">
        <v>1295</v>
      </c>
      <c r="L1068" s="303" t="s">
        <v>1296</v>
      </c>
      <c r="M1068" s="303" t="s">
        <v>1297</v>
      </c>
      <c r="N1068" s="303" t="s">
        <v>1298</v>
      </c>
      <c r="O1068" s="303" t="s">
        <v>1349</v>
      </c>
      <c r="P1068" s="303" t="s">
        <v>1425</v>
      </c>
      <c r="Q1068" s="303" t="s">
        <v>1448</v>
      </c>
      <c r="R1068" s="303" t="s">
        <v>1521</v>
      </c>
      <c r="S1068" s="303" t="s">
        <v>1522</v>
      </c>
      <c r="T1068" s="303" t="s">
        <v>1523</v>
      </c>
    </row>
    <row r="1069" spans="1:36" ht="18.75" x14ac:dyDescent="0.3">
      <c r="A1069" s="50"/>
      <c r="B1069" s="50"/>
      <c r="C1069" s="51"/>
      <c r="D1069" s="51"/>
      <c r="E1069" s="51"/>
      <c r="F1069" s="377" t="s">
        <v>595</v>
      </c>
      <c r="G1069" s="375">
        <f>G1066-G1070</f>
        <v>495726.13000000012</v>
      </c>
      <c r="H1069" s="375"/>
      <c r="I1069" s="115">
        <f>H1069-G1069</f>
        <v>-495726.13000000012</v>
      </c>
      <c r="J1069" s="304" t="s">
        <v>595</v>
      </c>
      <c r="K1069" s="390">
        <f>500+874</f>
        <v>1374</v>
      </c>
      <c r="L1069" s="390">
        <v>92.26</v>
      </c>
      <c r="M1069" s="390">
        <v>0</v>
      </c>
      <c r="N1069" s="390">
        <v>0</v>
      </c>
      <c r="O1069" s="390">
        <v>0</v>
      </c>
      <c r="P1069" s="390">
        <v>217.2</v>
      </c>
      <c r="Q1069" s="390">
        <v>0</v>
      </c>
      <c r="R1069" s="390">
        <v>110.4</v>
      </c>
      <c r="S1069" s="390">
        <v>64.400000000000006</v>
      </c>
      <c r="T1069" s="411">
        <f>63+6.23</f>
        <v>69.23</v>
      </c>
    </row>
    <row r="1070" spans="1:36" ht="18.75" x14ac:dyDescent="0.3">
      <c r="A1070" s="50"/>
      <c r="B1070" s="50"/>
      <c r="C1070" s="51"/>
      <c r="D1070" s="51"/>
      <c r="E1070" s="51"/>
      <c r="F1070" s="377" t="s">
        <v>596</v>
      </c>
      <c r="G1070" s="375">
        <f>G989+G980+G783+G778+G716+G690+G687+G668+G664+G656+G652+G648+G644+G604+G582+G578+G544+G525+G510+G495+G382+G370+G357+G306+G290+G268+G234+G222+G217+G204+G196+G187+G104+G67+G46-K1069-L1069-M1069-N1069-O1069-P1069-Q1069-R1069-S1069-T1069-K1079-L1079-M1079-N1079-O1079-P1079-Q1079-R1079-S1079-T1079-U1079-V1079-W1079-X1079-Y1079-AA1079+G660-Z1079</f>
        <v>311231.59999999998</v>
      </c>
      <c r="H1070" s="375"/>
      <c r="I1070" s="115">
        <f>H1070-G1070</f>
        <v>-311231.59999999998</v>
      </c>
      <c r="J1070" s="305" t="s">
        <v>596</v>
      </c>
      <c r="K1070" s="390">
        <v>21435</v>
      </c>
      <c r="L1070" s="390">
        <v>922.6</v>
      </c>
      <c r="M1070" s="390">
        <v>0</v>
      </c>
      <c r="N1070" s="390">
        <v>0</v>
      </c>
      <c r="O1070" s="390">
        <v>0</v>
      </c>
      <c r="P1070" s="390">
        <v>5079.3999999999996</v>
      </c>
      <c r="Q1070" s="390">
        <v>0</v>
      </c>
      <c r="R1070" s="411">
        <f>пр.1дох.21!C90</f>
        <v>2581.6999999999998</v>
      </c>
      <c r="S1070" s="390">
        <v>1506.3</v>
      </c>
      <c r="T1070" s="411">
        <v>700</v>
      </c>
    </row>
    <row r="1071" spans="1:36" s="203" customFormat="1" ht="18.75" x14ac:dyDescent="0.3">
      <c r="A1071" s="50"/>
      <c r="B1071" s="50"/>
      <c r="C1071" s="51"/>
      <c r="D1071" s="51"/>
      <c r="E1071" s="51"/>
      <c r="F1071" s="377"/>
      <c r="G1071" s="375"/>
      <c r="H1071" s="375"/>
      <c r="I1071" s="115"/>
      <c r="J1071" s="389" t="s">
        <v>1582</v>
      </c>
      <c r="K1071" s="390">
        <f>K1069+K1070</f>
        <v>22809</v>
      </c>
      <c r="L1071" s="390">
        <f t="shared" ref="L1071:T1071" si="103">L1069+L1070</f>
        <v>1014.86</v>
      </c>
      <c r="M1071" s="390">
        <f t="shared" si="103"/>
        <v>0</v>
      </c>
      <c r="N1071" s="390">
        <f t="shared" si="103"/>
        <v>0</v>
      </c>
      <c r="O1071" s="390">
        <f t="shared" si="103"/>
        <v>0</v>
      </c>
      <c r="P1071" s="390">
        <f t="shared" si="103"/>
        <v>5296.5999999999995</v>
      </c>
      <c r="Q1071" s="390">
        <f t="shared" si="103"/>
        <v>0</v>
      </c>
      <c r="R1071" s="390">
        <f t="shared" si="103"/>
        <v>2692.1</v>
      </c>
      <c r="S1071" s="390">
        <f t="shared" si="103"/>
        <v>1570.7</v>
      </c>
      <c r="T1071" s="390">
        <f t="shared" si="103"/>
        <v>769.23</v>
      </c>
    </row>
    <row r="1072" spans="1:36" ht="15.75" x14ac:dyDescent="0.25">
      <c r="A1072" s="50"/>
      <c r="B1072" s="50"/>
      <c r="C1072" s="51"/>
      <c r="D1072" s="53"/>
      <c r="E1072" s="53"/>
      <c r="F1072" s="378" t="s">
        <v>682</v>
      </c>
      <c r="G1072" s="102">
        <f>пр.1дох.21!C169-'Пр.4 ведом.21'!G1066</f>
        <v>-6728.4300000000512</v>
      </c>
      <c r="H1072" s="102">
        <f>пр.1дох.21!D169-'Пр.4 ведом.21'!H1066</f>
        <v>22517.299130000029</v>
      </c>
      <c r="J1072" s="225"/>
      <c r="K1072" s="410" t="s">
        <v>1300</v>
      </c>
      <c r="L1072" s="410" t="s">
        <v>1301</v>
      </c>
      <c r="M1072" s="410" t="s">
        <v>1302</v>
      </c>
      <c r="N1072" s="410" t="s">
        <v>1303</v>
      </c>
      <c r="O1072" s="410" t="s">
        <v>1302</v>
      </c>
      <c r="P1072" s="410" t="s">
        <v>1426</v>
      </c>
      <c r="Q1072" s="410" t="s">
        <v>1449</v>
      </c>
      <c r="R1072" s="410" t="s">
        <v>1426</v>
      </c>
      <c r="S1072" s="403" t="s">
        <v>1426</v>
      </c>
      <c r="T1072" s="410" t="s">
        <v>1524</v>
      </c>
    </row>
    <row r="1073" spans="1:28" ht="15.75" x14ac:dyDescent="0.25">
      <c r="A1073" s="50"/>
      <c r="B1073" s="50"/>
      <c r="C1073" s="51"/>
      <c r="D1073" s="53"/>
      <c r="E1073" s="53"/>
      <c r="F1073" s="53"/>
      <c r="G1073" s="102"/>
      <c r="H1073" s="102"/>
      <c r="J1073" s="225"/>
      <c r="K1073" s="115">
        <f>G989</f>
        <v>22809</v>
      </c>
      <c r="L1073" s="115">
        <f>G512</f>
        <v>1014.8600000000001</v>
      </c>
      <c r="P1073" s="115">
        <f>G658</f>
        <v>5296.5999999999995</v>
      </c>
      <c r="R1073" s="115">
        <f>G670</f>
        <v>2692.1</v>
      </c>
      <c r="S1073" s="115">
        <f>G666</f>
        <v>1570.7</v>
      </c>
      <c r="T1073" s="115">
        <f>G785</f>
        <v>769.23</v>
      </c>
    </row>
    <row r="1074" spans="1:28" ht="15.75" x14ac:dyDescent="0.25">
      <c r="A1074" s="50"/>
      <c r="B1074" s="50"/>
      <c r="C1074" s="51"/>
      <c r="D1074" s="53"/>
      <c r="E1074" s="53"/>
      <c r="F1074" s="53"/>
      <c r="G1074" s="102"/>
      <c r="H1074" s="102"/>
      <c r="K1074" s="402"/>
      <c r="L1074" s="225"/>
      <c r="T1074" s="225">
        <f>K1070+L1070+M1070+N1070+O1070+P1070+Q1070+R1070+S1070+T1070</f>
        <v>32225</v>
      </c>
    </row>
    <row r="1075" spans="1:28" ht="15.75" x14ac:dyDescent="0.25">
      <c r="A1075" s="50"/>
      <c r="B1075" s="50"/>
      <c r="C1075" s="54">
        <v>1</v>
      </c>
      <c r="D1075" s="53"/>
      <c r="E1075" s="53"/>
      <c r="F1075" s="53"/>
      <c r="G1075" s="102">
        <f>G11+G32+G229+G481+G530+G820+G1038+G747</f>
        <v>150269.04999999999</v>
      </c>
      <c r="H1075" s="102"/>
      <c r="K1075" s="402"/>
      <c r="T1075" s="115">
        <f>G989+G783+G668+G664+G656+G510</f>
        <v>34152.49</v>
      </c>
    </row>
    <row r="1076" spans="1:28" ht="15.75" x14ac:dyDescent="0.25">
      <c r="A1076" s="50"/>
      <c r="B1076" s="50"/>
      <c r="C1076" s="54" t="s">
        <v>595</v>
      </c>
      <c r="D1076" s="53"/>
      <c r="E1076" s="53"/>
      <c r="F1076" s="53"/>
      <c r="G1076" s="102">
        <f>G1075-G1077</f>
        <v>145905.25</v>
      </c>
      <c r="H1076" s="102"/>
      <c r="J1076" s="412"/>
      <c r="K1076" s="402"/>
    </row>
    <row r="1077" spans="1:28" ht="15.75" x14ac:dyDescent="0.25">
      <c r="A1077" s="50"/>
      <c r="B1077" s="50"/>
      <c r="C1077" s="54" t="s">
        <v>596</v>
      </c>
      <c r="D1077" s="53"/>
      <c r="E1077" s="53"/>
      <c r="F1077" s="53"/>
      <c r="G1077" s="102">
        <f>G509+G107+G67+G495-L1069+G109-Y1079+G104+G45+G234-Z1079</f>
        <v>4363.8</v>
      </c>
      <c r="H1077" s="102"/>
      <c r="J1077" s="389"/>
      <c r="K1077" s="470" t="s">
        <v>1591</v>
      </c>
      <c r="L1077" s="470"/>
      <c r="M1077" s="470"/>
      <c r="N1077" s="470"/>
      <c r="O1077" s="470"/>
      <c r="P1077" s="470"/>
      <c r="Q1077" s="470"/>
      <c r="R1077" s="470"/>
      <c r="S1077" s="470"/>
      <c r="T1077" s="470"/>
      <c r="U1077" s="470"/>
      <c r="V1077" s="470"/>
      <c r="W1077" s="470"/>
      <c r="X1077" s="470"/>
      <c r="Y1077" s="470"/>
      <c r="Z1077" s="470"/>
      <c r="AA1077" s="470"/>
      <c r="AB1077" s="203"/>
    </row>
    <row r="1078" spans="1:28" ht="60" x14ac:dyDescent="0.25">
      <c r="A1078" s="50"/>
      <c r="B1078" s="50"/>
      <c r="C1078" s="54">
        <v>2</v>
      </c>
      <c r="D1078" s="53"/>
      <c r="E1078" s="53"/>
      <c r="F1078" s="53"/>
      <c r="G1078" s="102">
        <f>G157</f>
        <v>0</v>
      </c>
      <c r="H1078" s="102"/>
      <c r="J1078" s="225"/>
      <c r="K1078" s="333" t="s">
        <v>1530</v>
      </c>
      <c r="L1078" s="333" t="s">
        <v>1531</v>
      </c>
      <c r="M1078" s="333" t="s">
        <v>1533</v>
      </c>
      <c r="N1078" s="333" t="s">
        <v>1534</v>
      </c>
      <c r="O1078" s="333" t="s">
        <v>1535</v>
      </c>
      <c r="P1078" s="333" t="s">
        <v>1536</v>
      </c>
      <c r="Q1078" s="333" t="s">
        <v>1539</v>
      </c>
      <c r="R1078" s="333" t="s">
        <v>1541</v>
      </c>
      <c r="S1078" s="469" t="s">
        <v>1542</v>
      </c>
      <c r="T1078" s="469"/>
      <c r="U1078" s="469"/>
      <c r="V1078" s="333" t="s">
        <v>1545</v>
      </c>
      <c r="W1078" s="397" t="s">
        <v>1592</v>
      </c>
      <c r="X1078" s="397" t="s">
        <v>1593</v>
      </c>
      <c r="Y1078" s="333" t="s">
        <v>1546</v>
      </c>
      <c r="Z1078" s="398" t="s">
        <v>1595</v>
      </c>
      <c r="AA1078" s="333" t="s">
        <v>1550</v>
      </c>
    </row>
    <row r="1079" spans="1:28" ht="15.75" x14ac:dyDescent="0.25">
      <c r="A1079" s="50"/>
      <c r="B1079" s="50"/>
      <c r="C1079" s="54">
        <v>3</v>
      </c>
      <c r="D1079" s="53"/>
      <c r="E1079" s="53"/>
      <c r="F1079" s="53"/>
      <c r="G1079" s="102">
        <f>G834+G164</f>
        <v>8197.1</v>
      </c>
      <c r="H1079" s="102"/>
      <c r="J1079" s="304" t="s">
        <v>595</v>
      </c>
      <c r="K1079" s="334">
        <v>3.5</v>
      </c>
      <c r="L1079" s="334">
        <v>3400</v>
      </c>
      <c r="M1079" s="401">
        <v>2000</v>
      </c>
      <c r="N1079" s="334">
        <v>84</v>
      </c>
      <c r="O1079" s="334">
        <v>868</v>
      </c>
      <c r="P1079" s="334">
        <v>124.4</v>
      </c>
      <c r="Q1079" s="334">
        <v>0</v>
      </c>
      <c r="R1079" s="334">
        <v>678</v>
      </c>
      <c r="S1079" s="400">
        <f>S1081-S1080</f>
        <v>19746.400000000001</v>
      </c>
      <c r="T1079" s="400">
        <f>T1081-T1080</f>
        <v>5763.7000000000007</v>
      </c>
      <c r="U1079" s="400">
        <f>U1081-U1080</f>
        <v>38632.6</v>
      </c>
      <c r="V1079" s="334">
        <v>19</v>
      </c>
      <c r="W1079" s="401">
        <v>10</v>
      </c>
      <c r="X1079" s="401">
        <v>150</v>
      </c>
      <c r="Y1079" s="401">
        <v>1</v>
      </c>
      <c r="Z1079" s="401">
        <v>200</v>
      </c>
      <c r="AA1079" s="334">
        <v>8.6</v>
      </c>
    </row>
    <row r="1080" spans="1:28" ht="15.75" x14ac:dyDescent="0.25">
      <c r="A1080" s="50"/>
      <c r="B1080" s="50"/>
      <c r="C1080" s="54">
        <v>4</v>
      </c>
      <c r="D1080" s="53"/>
      <c r="E1080" s="53"/>
      <c r="F1080" s="53"/>
      <c r="G1080" s="102">
        <f>G841+G259+G183</f>
        <v>6473.8</v>
      </c>
      <c r="H1080" s="102"/>
      <c r="J1080" s="305" t="s">
        <v>596</v>
      </c>
      <c r="K1080" s="334">
        <v>65.2</v>
      </c>
      <c r="L1080" s="334">
        <v>2161.1</v>
      </c>
      <c r="M1080" s="334">
        <v>1731.8</v>
      </c>
      <c r="N1080" s="334">
        <v>1630</v>
      </c>
      <c r="O1080" s="334">
        <v>516.6</v>
      </c>
      <c r="P1080" s="334">
        <v>166.7</v>
      </c>
      <c r="Q1080" s="334">
        <v>1666.6</v>
      </c>
      <c r="R1080" s="334">
        <v>74.900000000000006</v>
      </c>
      <c r="S1080" s="401">
        <v>4071.2</v>
      </c>
      <c r="T1080" s="401">
        <v>1155.4000000000001</v>
      </c>
      <c r="U1080" s="401">
        <v>3375.3</v>
      </c>
      <c r="V1080" s="334">
        <v>255</v>
      </c>
      <c r="W1080" s="401">
        <v>0</v>
      </c>
      <c r="X1080" s="401">
        <v>0</v>
      </c>
      <c r="Y1080" s="334">
        <v>40</v>
      </c>
      <c r="Z1080" s="334">
        <v>0</v>
      </c>
      <c r="AA1080" s="334">
        <v>200</v>
      </c>
      <c r="AB1080" s="225">
        <f>SUM(K1080:AA1080)</f>
        <v>17109.8</v>
      </c>
    </row>
    <row r="1081" spans="1:28" ht="15.75" x14ac:dyDescent="0.25">
      <c r="A1081" s="50"/>
      <c r="B1081" s="50"/>
      <c r="C1081" s="54" t="s">
        <v>595</v>
      </c>
      <c r="D1081" s="53"/>
      <c r="E1081" s="53"/>
      <c r="F1081" s="53"/>
      <c r="G1081" s="102">
        <f>G1080-G1082</f>
        <v>5754.6</v>
      </c>
      <c r="H1081" s="102"/>
      <c r="J1081" s="389" t="s">
        <v>1582</v>
      </c>
      <c r="K1081" s="390">
        <f t="shared" ref="K1081:R1081" si="104">K1079+K1080</f>
        <v>68.7</v>
      </c>
      <c r="L1081" s="390">
        <f t="shared" si="104"/>
        <v>5561.1</v>
      </c>
      <c r="M1081" s="390">
        <f t="shared" si="104"/>
        <v>3731.8</v>
      </c>
      <c r="N1081" s="390">
        <f t="shared" si="104"/>
        <v>1714</v>
      </c>
      <c r="O1081" s="390">
        <f t="shared" si="104"/>
        <v>1384.6</v>
      </c>
      <c r="P1081" s="390">
        <f t="shared" si="104"/>
        <v>291.10000000000002</v>
      </c>
      <c r="Q1081" s="390">
        <f t="shared" si="104"/>
        <v>1666.6</v>
      </c>
      <c r="R1081" s="390">
        <f t="shared" si="104"/>
        <v>752.9</v>
      </c>
      <c r="S1081" s="390">
        <f>G689</f>
        <v>23817.600000000002</v>
      </c>
      <c r="T1081" s="390">
        <f>G292</f>
        <v>6919.1</v>
      </c>
      <c r="U1081" s="390">
        <f>G359</f>
        <v>42007.9</v>
      </c>
      <c r="V1081" s="390">
        <f t="shared" ref="V1081:AA1081" si="105">V1079+V1080</f>
        <v>274</v>
      </c>
      <c r="W1081" s="390">
        <f t="shared" si="105"/>
        <v>10</v>
      </c>
      <c r="X1081" s="390">
        <f t="shared" si="105"/>
        <v>150</v>
      </c>
      <c r="Y1081" s="390">
        <f t="shared" si="105"/>
        <v>41</v>
      </c>
      <c r="Z1081" s="390">
        <f t="shared" si="105"/>
        <v>200</v>
      </c>
      <c r="AA1081" s="390">
        <f t="shared" si="105"/>
        <v>208.6</v>
      </c>
      <c r="AB1081" s="225">
        <f>SUM(K1081:AA1081)</f>
        <v>88799</v>
      </c>
    </row>
    <row r="1082" spans="1:28" ht="15.75" x14ac:dyDescent="0.25">
      <c r="A1082" s="50"/>
      <c r="B1082" s="50"/>
      <c r="C1082" s="54" t="s">
        <v>596</v>
      </c>
      <c r="D1082" s="53"/>
      <c r="E1082" s="53"/>
      <c r="F1082" s="53"/>
      <c r="G1082" s="102">
        <f>G268+G204+G196+G187-V1079-X1079-AA1079</f>
        <v>719.19999999999993</v>
      </c>
      <c r="H1082" s="102"/>
      <c r="K1082" s="410" t="s">
        <v>1302</v>
      </c>
      <c r="L1082" s="410" t="s">
        <v>1532</v>
      </c>
      <c r="M1082" s="410" t="s">
        <v>1426</v>
      </c>
      <c r="N1082" s="410" t="s">
        <v>1426</v>
      </c>
      <c r="O1082" s="410" t="s">
        <v>1426</v>
      </c>
      <c r="P1082" s="410" t="s">
        <v>1537</v>
      </c>
      <c r="Q1082" s="410" t="s">
        <v>1540</v>
      </c>
      <c r="R1082" s="410" t="s">
        <v>1426</v>
      </c>
      <c r="S1082" s="403" t="s">
        <v>1543</v>
      </c>
      <c r="T1082" s="410" t="s">
        <v>1544</v>
      </c>
      <c r="U1082" s="403" t="s">
        <v>1302</v>
      </c>
      <c r="V1082" s="410" t="s">
        <v>1547</v>
      </c>
      <c r="W1082" s="410" t="s">
        <v>1303</v>
      </c>
      <c r="X1082" s="410" t="s">
        <v>1594</v>
      </c>
      <c r="Y1082" s="410" t="s">
        <v>1548</v>
      </c>
      <c r="Z1082" s="410" t="s">
        <v>1301</v>
      </c>
      <c r="AA1082" s="410" t="s">
        <v>1551</v>
      </c>
      <c r="AB1082" s="115">
        <f>G46+G104+G187+G204+G217+G234+G268+G290+G357+G382+G578+G582+G644+G648+G652+G660+G687+G716</f>
        <v>88799.000000000015</v>
      </c>
    </row>
    <row r="1083" spans="1:28" ht="15.75" x14ac:dyDescent="0.25">
      <c r="A1083" s="50"/>
      <c r="B1083" s="50"/>
      <c r="C1083" s="54">
        <v>5</v>
      </c>
      <c r="D1083" s="53"/>
      <c r="E1083" s="53"/>
      <c r="F1083" s="53"/>
      <c r="G1083" s="102">
        <f>G862+G513</f>
        <v>69787.109999999986</v>
      </c>
      <c r="H1083" s="102"/>
      <c r="L1083" s="115"/>
      <c r="W1083" s="203"/>
      <c r="X1083" s="203"/>
      <c r="Z1083" s="203"/>
      <c r="AB1083" s="225">
        <f>AB1082-AB1081</f>
        <v>0</v>
      </c>
    </row>
    <row r="1084" spans="1:28" ht="15.75" x14ac:dyDescent="0.25">
      <c r="A1084" s="50"/>
      <c r="B1084" s="50"/>
      <c r="C1084" s="54" t="s">
        <v>595</v>
      </c>
      <c r="D1084" s="53"/>
      <c r="E1084" s="53"/>
      <c r="F1084" s="53"/>
      <c r="G1084" s="102">
        <f>G1083-G1085</f>
        <v>46494.909999999989</v>
      </c>
      <c r="H1084" s="102"/>
      <c r="K1084" s="115">
        <f>G384</f>
        <v>68.7</v>
      </c>
      <c r="L1084" s="115">
        <f>G718</f>
        <v>5561.1</v>
      </c>
      <c r="M1084" s="115">
        <f>G646</f>
        <v>3731.8</v>
      </c>
      <c r="N1084" s="115">
        <f>G662</f>
        <v>1714</v>
      </c>
      <c r="O1084" s="115">
        <f>G650</f>
        <v>1384.6</v>
      </c>
      <c r="P1084" s="115">
        <f>G580</f>
        <v>291.10000000000002</v>
      </c>
      <c r="Q1084" s="115">
        <f>G584</f>
        <v>1666.6</v>
      </c>
      <c r="R1084" s="115">
        <f>G654</f>
        <v>752.9</v>
      </c>
      <c r="U1084" s="115">
        <f>G689+G357+G290</f>
        <v>72744.600000000006</v>
      </c>
      <c r="V1084" s="115">
        <f>G189</f>
        <v>274</v>
      </c>
      <c r="W1084" s="115">
        <f>G219</f>
        <v>10</v>
      </c>
      <c r="X1084" s="115">
        <f>G206</f>
        <v>150</v>
      </c>
      <c r="Y1084" s="115">
        <f>G106+G48</f>
        <v>41</v>
      </c>
      <c r="Z1084" s="115">
        <f>G234</f>
        <v>200</v>
      </c>
      <c r="AA1084" s="115">
        <f>G270</f>
        <v>208.6</v>
      </c>
    </row>
    <row r="1085" spans="1:28" ht="15.75" x14ac:dyDescent="0.25">
      <c r="A1085" s="50"/>
      <c r="B1085" s="50"/>
      <c r="C1085" s="54" t="s">
        <v>596</v>
      </c>
      <c r="D1085" s="53"/>
      <c r="E1085" s="53"/>
      <c r="F1085" s="53"/>
      <c r="G1085" s="102">
        <f>G891+G980+G989+G868-K1069+G952-Q1069</f>
        <v>23292.2</v>
      </c>
      <c r="H1085" s="102"/>
    </row>
    <row r="1086" spans="1:28" ht="15.75" x14ac:dyDescent="0.25">
      <c r="A1086" s="50"/>
      <c r="B1086" s="50"/>
      <c r="C1086" s="54">
        <v>7</v>
      </c>
      <c r="D1086" s="53"/>
      <c r="E1086" s="53"/>
      <c r="F1086" s="53"/>
      <c r="G1086" s="102">
        <f>G537+G279</f>
        <v>406385.67</v>
      </c>
      <c r="H1086" s="102"/>
    </row>
    <row r="1087" spans="1:28" ht="15.75" x14ac:dyDescent="0.25">
      <c r="A1087" s="50"/>
      <c r="B1087" s="50"/>
      <c r="C1087" s="54" t="s">
        <v>595</v>
      </c>
      <c r="D1087" s="53"/>
      <c r="E1087" s="53"/>
      <c r="F1087" s="53"/>
      <c r="G1087" s="102">
        <f>G1086-G1088</f>
        <v>136519.87000000011</v>
      </c>
      <c r="H1087" s="102"/>
    </row>
    <row r="1088" spans="1:28" ht="15.75" x14ac:dyDescent="0.25">
      <c r="A1088" s="50"/>
      <c r="B1088" s="50"/>
      <c r="C1088" s="54" t="s">
        <v>596</v>
      </c>
      <c r="D1088" s="53"/>
      <c r="E1088" s="53"/>
      <c r="F1088" s="53"/>
      <c r="G1088" s="102">
        <f>G690+G604+G544+G306+G663+G585+G656-P1069+G667-R1069-S1069+G716+G687+G660+G652+G648+G644+G582+G578+G290-L1079-M1079-N1079-O1079-P1079-Q1079-R1079-S1079-T1079</f>
        <v>269865.79999999987</v>
      </c>
      <c r="H1088" s="102"/>
    </row>
    <row r="1089" spans="1:10" ht="15.75" x14ac:dyDescent="0.25">
      <c r="A1089" s="50"/>
      <c r="B1089" s="50"/>
      <c r="C1089" s="54">
        <v>8</v>
      </c>
      <c r="D1089" s="53"/>
      <c r="E1089" s="53"/>
      <c r="F1089" s="53"/>
      <c r="G1089" s="102">
        <f>G346</f>
        <v>77139.37</v>
      </c>
      <c r="H1089" s="102"/>
    </row>
    <row r="1090" spans="1:10" ht="15.75" x14ac:dyDescent="0.25">
      <c r="A1090" s="50"/>
      <c r="B1090" s="50"/>
      <c r="C1090" s="54" t="s">
        <v>595</v>
      </c>
      <c r="D1090" s="53"/>
      <c r="E1090" s="53"/>
      <c r="F1090" s="53"/>
      <c r="G1090" s="102">
        <f>G1089-G1091</f>
        <v>71256.87</v>
      </c>
      <c r="H1090" s="102"/>
    </row>
    <row r="1091" spans="1:10" ht="15.75" x14ac:dyDescent="0.25">
      <c r="A1091" s="50"/>
      <c r="B1091" s="50"/>
      <c r="C1091" s="54" t="s">
        <v>596</v>
      </c>
      <c r="D1091" s="53"/>
      <c r="E1091" s="53"/>
      <c r="F1091" s="53"/>
      <c r="G1091" s="102">
        <f>G370+G385+G389-M1069-O1069+G382+G357-K1079-U1079</f>
        <v>5882.5</v>
      </c>
      <c r="H1091" s="102"/>
    </row>
    <row r="1092" spans="1:10" ht="15.75" x14ac:dyDescent="0.25">
      <c r="A1092" s="50"/>
      <c r="B1092" s="50"/>
      <c r="C1092" s="54">
        <v>10</v>
      </c>
      <c r="D1092" s="53"/>
      <c r="E1092" s="53"/>
      <c r="F1092" s="53"/>
      <c r="G1092" s="102">
        <f>G1029+G437+G207+G523</f>
        <v>17213.900000000001</v>
      </c>
      <c r="H1092" s="102"/>
    </row>
    <row r="1093" spans="1:10" ht="15.75" x14ac:dyDescent="0.25">
      <c r="A1093" s="50"/>
      <c r="B1093" s="50"/>
      <c r="C1093" s="54" t="s">
        <v>595</v>
      </c>
      <c r="D1093" s="53"/>
      <c r="E1093" s="53"/>
      <c r="F1093" s="53"/>
      <c r="G1093" s="102">
        <f>G1092-G1094</f>
        <v>11619.300000000001</v>
      </c>
      <c r="H1093" s="102"/>
    </row>
    <row r="1094" spans="1:10" ht="15.75" x14ac:dyDescent="0.25">
      <c r="A1094" s="50"/>
      <c r="B1094" s="50"/>
      <c r="C1094" s="54" t="s">
        <v>596</v>
      </c>
      <c r="D1094" s="53"/>
      <c r="E1094" s="53"/>
      <c r="F1094" s="53"/>
      <c r="G1094" s="102">
        <f>G222+G442+G523-N1069+G217-W1079</f>
        <v>5594.6</v>
      </c>
      <c r="H1094" s="102"/>
    </row>
    <row r="1095" spans="1:10" ht="15.75" x14ac:dyDescent="0.25">
      <c r="A1095" s="50"/>
      <c r="B1095" s="50"/>
      <c r="C1095" s="54">
        <v>11</v>
      </c>
      <c r="D1095" s="53"/>
      <c r="E1095" s="53"/>
      <c r="F1095" s="53"/>
      <c r="G1095" s="102">
        <f>G754</f>
        <v>65495.430000000008</v>
      </c>
      <c r="H1095" s="102"/>
    </row>
    <row r="1096" spans="1:10" ht="15.75" x14ac:dyDescent="0.25">
      <c r="A1096" s="50"/>
      <c r="B1096" s="50"/>
      <c r="C1096" s="54" t="s">
        <v>595</v>
      </c>
      <c r="D1096" s="53"/>
      <c r="E1096" s="53"/>
      <c r="F1096" s="53"/>
      <c r="G1096" s="102">
        <f>G1095-G1097</f>
        <v>63981.930000000008</v>
      </c>
      <c r="H1096" s="102"/>
    </row>
    <row r="1097" spans="1:10" ht="15.75" x14ac:dyDescent="0.25">
      <c r="A1097" s="50"/>
      <c r="B1097" s="50"/>
      <c r="C1097" s="54" t="s">
        <v>596</v>
      </c>
      <c r="D1097" s="53"/>
      <c r="E1097" s="53"/>
      <c r="F1097" s="53"/>
      <c r="G1097" s="102">
        <f>G778+G782-T1069</f>
        <v>1513.5</v>
      </c>
      <c r="H1097" s="102"/>
    </row>
    <row r="1098" spans="1:10" ht="15.75" x14ac:dyDescent="0.25">
      <c r="A1098" s="50"/>
      <c r="B1098" s="50"/>
      <c r="C1098" s="54">
        <v>12</v>
      </c>
      <c r="D1098" s="53"/>
      <c r="E1098" s="53"/>
      <c r="F1098" s="53"/>
      <c r="G1098" s="102">
        <f>G460</f>
        <v>5996.3</v>
      </c>
      <c r="H1098" s="102"/>
    </row>
    <row r="1099" spans="1:10" ht="15.75" x14ac:dyDescent="0.25">
      <c r="A1099" s="50"/>
      <c r="B1099" s="50"/>
      <c r="C1099" s="55"/>
      <c r="D1099" s="53"/>
      <c r="E1099" s="53"/>
      <c r="F1099" s="53"/>
      <c r="G1099" s="376">
        <f>G1075+G1078+G1079+G1080+G1083+G1086+G1089+G1092+G1095+G1098</f>
        <v>806957.7300000001</v>
      </c>
      <c r="H1099" s="376"/>
    </row>
    <row r="1100" spans="1:10" ht="15.75" x14ac:dyDescent="0.25">
      <c r="A1100" s="50"/>
      <c r="B1100" s="50"/>
      <c r="C1100" s="54" t="s">
        <v>595</v>
      </c>
      <c r="D1100" s="53"/>
      <c r="E1100" s="53"/>
      <c r="F1100" s="53"/>
      <c r="G1100" s="376">
        <f>G1076+G1078+G1079+G1081+G1084+G1087+G1090+G1093+G1096+G1098</f>
        <v>495726.13000000006</v>
      </c>
      <c r="H1100" s="376"/>
      <c r="J1100" s="225"/>
    </row>
    <row r="1101" spans="1:10" ht="15.75" x14ac:dyDescent="0.25">
      <c r="A1101" s="50"/>
      <c r="B1101" s="50"/>
      <c r="C1101" s="54" t="s">
        <v>596</v>
      </c>
      <c r="D1101" s="53"/>
      <c r="E1101" s="53"/>
      <c r="F1101" s="53"/>
      <c r="G1101" s="376">
        <f>G1077+G1082+G1085+G1088+G1091+G1094+G1097</f>
        <v>311231.59999999986</v>
      </c>
      <c r="H1101" s="376"/>
      <c r="J1101" s="225"/>
    </row>
    <row r="1102" spans="1:10" x14ac:dyDescent="0.25">
      <c r="H1102" s="115"/>
    </row>
    <row r="1103" spans="1:10" ht="18.75" x14ac:dyDescent="0.3">
      <c r="D1103" s="203" t="s">
        <v>597</v>
      </c>
      <c r="E1103" s="203">
        <v>50</v>
      </c>
      <c r="G1103" s="371">
        <f>G849</f>
        <v>2319</v>
      </c>
      <c r="H1103" s="371">
        <f>H849</f>
        <v>544.15300000000002</v>
      </c>
    </row>
    <row r="1104" spans="1:10" ht="18.75" x14ac:dyDescent="0.3">
      <c r="E1104" s="203">
        <v>51</v>
      </c>
      <c r="G1104" s="371">
        <f>G231+G261+G327+G426+G439</f>
        <v>3075.6</v>
      </c>
      <c r="H1104" s="371">
        <f>H231+H261+H327+H426+H439</f>
        <v>419.709</v>
      </c>
    </row>
    <row r="1105" spans="5:8" ht="18.75" x14ac:dyDescent="0.3">
      <c r="E1105" s="203">
        <v>52</v>
      </c>
      <c r="G1105" s="371">
        <f>G539+G599+G682+G714</f>
        <v>365921.14999999997</v>
      </c>
      <c r="H1105" s="371">
        <f>H539+H599+H682+H714</f>
        <v>84031.475999999995</v>
      </c>
    </row>
    <row r="1106" spans="5:8" ht="18.75" x14ac:dyDescent="0.3">
      <c r="E1106" s="203">
        <v>53</v>
      </c>
      <c r="G1106" s="371">
        <f>G202</f>
        <v>150</v>
      </c>
      <c r="H1106" s="371">
        <f>H202</f>
        <v>0</v>
      </c>
    </row>
    <row r="1107" spans="5:8" ht="18.75" x14ac:dyDescent="0.3">
      <c r="E1107" s="203">
        <v>54</v>
      </c>
      <c r="G1107" s="371">
        <f>G89+G44</f>
        <v>724</v>
      </c>
      <c r="H1107" s="371">
        <f>H89+H44</f>
        <v>243.74799999999999</v>
      </c>
    </row>
    <row r="1108" spans="5:8" ht="18.75" x14ac:dyDescent="0.3">
      <c r="E1108" s="203">
        <v>55</v>
      </c>
      <c r="G1108" s="371">
        <f>G215</f>
        <v>10</v>
      </c>
      <c r="H1108" s="371">
        <f>H215</f>
        <v>0</v>
      </c>
    </row>
    <row r="1109" spans="5:8" ht="18.75" x14ac:dyDescent="0.3">
      <c r="E1109" s="203">
        <v>56</v>
      </c>
      <c r="G1109" s="371"/>
      <c r="H1109" s="371"/>
    </row>
    <row r="1110" spans="5:8" ht="18.75" x14ac:dyDescent="0.3">
      <c r="E1110" s="203">
        <v>57</v>
      </c>
      <c r="G1110" s="371">
        <f>G756+G812</f>
        <v>54409.43</v>
      </c>
      <c r="H1110" s="371">
        <f>H756+H812</f>
        <v>12397.348</v>
      </c>
    </row>
    <row r="1111" spans="5:8" ht="18.75" x14ac:dyDescent="0.3">
      <c r="E1111" s="203">
        <v>58</v>
      </c>
      <c r="G1111" s="371">
        <f>G281+G462+G348</f>
        <v>81372.289999999994</v>
      </c>
      <c r="H1111" s="371">
        <f>H281+H462+H348</f>
        <v>16074.153999999999</v>
      </c>
    </row>
    <row r="1112" spans="5:8" ht="18.75" x14ac:dyDescent="0.3">
      <c r="E1112" s="203">
        <v>59</v>
      </c>
      <c r="G1112" s="371">
        <f>G588+G671+G1024+G393+G432+G316</f>
        <v>107</v>
      </c>
      <c r="H1112" s="371">
        <f>H588+H671+H1024+H393+H432+H316</f>
        <v>0</v>
      </c>
    </row>
    <row r="1113" spans="5:8" ht="18.75" x14ac:dyDescent="0.3">
      <c r="E1113" s="203">
        <v>60</v>
      </c>
      <c r="G1113" s="371">
        <f>G948</f>
        <v>3935.2</v>
      </c>
      <c r="H1113" s="371">
        <f>H948</f>
        <v>421.90800000000002</v>
      </c>
    </row>
    <row r="1114" spans="5:8" ht="18.75" x14ac:dyDescent="0.3">
      <c r="E1114" s="203">
        <v>61</v>
      </c>
      <c r="G1114" s="371">
        <f>G185</f>
        <v>274</v>
      </c>
      <c r="H1114" s="371">
        <f>H185</f>
        <v>0</v>
      </c>
    </row>
    <row r="1115" spans="5:8" ht="18.75" x14ac:dyDescent="0.3">
      <c r="E1115" s="203">
        <v>62</v>
      </c>
      <c r="G1115" s="371">
        <f>G908</f>
        <v>390</v>
      </c>
      <c r="H1115" s="371">
        <f>H908</f>
        <v>389.95100000000002</v>
      </c>
    </row>
    <row r="1116" spans="5:8" ht="18.75" x14ac:dyDescent="0.3">
      <c r="E1116" s="203">
        <v>63</v>
      </c>
      <c r="G1116" s="371">
        <f>G237+G532+G749</f>
        <v>120</v>
      </c>
      <c r="H1116" s="371">
        <f>H237+H532+H749</f>
        <v>0</v>
      </c>
    </row>
    <row r="1117" spans="5:8" ht="18.75" x14ac:dyDescent="0.3">
      <c r="E1117" s="203">
        <v>64</v>
      </c>
      <c r="G1117" s="371">
        <f>G138+G321+G398+G593+G676+G708+G786+G254+G479</f>
        <v>3627.5</v>
      </c>
      <c r="H1117" s="371">
        <f>H138+H321+H398+H593+H676+H708+H786+H254+H479</f>
        <v>696.15599999999995</v>
      </c>
    </row>
    <row r="1118" spans="5:8" ht="18.75" x14ac:dyDescent="0.3">
      <c r="E1118" s="203">
        <v>65</v>
      </c>
      <c r="G1118" s="371">
        <f>G987</f>
        <v>22809</v>
      </c>
      <c r="H1118" s="371">
        <f>H987</f>
        <v>0</v>
      </c>
    </row>
    <row r="1119" spans="5:8" ht="18.75" x14ac:dyDescent="0.3">
      <c r="E1119" s="203">
        <v>66</v>
      </c>
      <c r="G1119" s="371">
        <f>G508</f>
        <v>1014.8600000000001</v>
      </c>
      <c r="H1119" s="371">
        <f>H508</f>
        <v>0</v>
      </c>
    </row>
    <row r="1120" spans="5:8" ht="18.75" x14ac:dyDescent="0.3">
      <c r="E1120" s="203">
        <v>67</v>
      </c>
      <c r="G1120" s="371">
        <f>G147</f>
        <v>40</v>
      </c>
      <c r="H1120" s="371">
        <f>H147</f>
        <v>0</v>
      </c>
    </row>
    <row r="1121" spans="5:9" ht="18.75" x14ac:dyDescent="0.3">
      <c r="E1121" s="203">
        <v>69</v>
      </c>
      <c r="G1121" s="371">
        <f>G152</f>
        <v>70</v>
      </c>
      <c r="H1121" s="371">
        <f>H152</f>
        <v>0</v>
      </c>
    </row>
    <row r="1122" spans="5:9" s="203" customFormat="1" ht="18.75" x14ac:dyDescent="0.3">
      <c r="E1122" s="203">
        <v>70</v>
      </c>
      <c r="G1122" s="371">
        <f>G941</f>
        <v>0</v>
      </c>
      <c r="H1122" s="371">
        <f>H941</f>
        <v>0</v>
      </c>
      <c r="I1122" s="115"/>
    </row>
    <row r="1123" spans="5:9" ht="18.75" x14ac:dyDescent="0.3">
      <c r="G1123" s="371">
        <f>SUM(G1103:G1122)</f>
        <v>540369.02999999991</v>
      </c>
      <c r="H1123" s="371">
        <f>SUM(H1103:H1122)</f>
        <v>115218.60299999999</v>
      </c>
    </row>
  </sheetData>
  <mergeCells count="7">
    <mergeCell ref="G4:I4"/>
    <mergeCell ref="H3:I3"/>
    <mergeCell ref="A7:I7"/>
    <mergeCell ref="S1078:U1078"/>
    <mergeCell ref="K1067:T1067"/>
    <mergeCell ref="K1077:AA1077"/>
    <mergeCell ref="H5:I5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106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4" t="s">
        <v>115</v>
      </c>
      <c r="G1" s="63"/>
      <c r="H1" s="175"/>
    </row>
    <row r="2" spans="1:9" ht="18.75" x14ac:dyDescent="0.3">
      <c r="A2" s="63"/>
      <c r="B2" s="63"/>
      <c r="C2" s="63"/>
      <c r="D2" s="63"/>
      <c r="E2" s="62"/>
      <c r="F2" s="154" t="s">
        <v>0</v>
      </c>
      <c r="G2" s="63"/>
      <c r="H2" s="175"/>
    </row>
    <row r="3" spans="1:9" ht="18.75" x14ac:dyDescent="0.3">
      <c r="A3" s="63"/>
      <c r="B3" s="63"/>
      <c r="C3" s="63"/>
      <c r="D3" s="63"/>
      <c r="E3" s="62"/>
      <c r="F3" s="154" t="s">
        <v>747</v>
      </c>
      <c r="G3" s="63"/>
      <c r="H3" s="175"/>
    </row>
    <row r="4" spans="1:9" ht="15.75" x14ac:dyDescent="0.25">
      <c r="A4" s="471"/>
      <c r="B4" s="471"/>
      <c r="C4" s="471"/>
      <c r="D4" s="471"/>
      <c r="E4" s="471"/>
      <c r="F4" s="471"/>
      <c r="G4" s="471"/>
      <c r="H4" s="175"/>
    </row>
    <row r="5" spans="1:9" ht="15.75" x14ac:dyDescent="0.25">
      <c r="A5" s="468" t="s">
        <v>116</v>
      </c>
      <c r="B5" s="468"/>
      <c r="C5" s="468"/>
      <c r="D5" s="468"/>
      <c r="E5" s="468"/>
      <c r="F5" s="468"/>
      <c r="G5" s="468"/>
      <c r="H5" s="175"/>
    </row>
    <row r="6" spans="1:9" ht="15.75" x14ac:dyDescent="0.25">
      <c r="A6" s="172"/>
      <c r="B6" s="172"/>
      <c r="C6" s="172"/>
      <c r="D6" s="172"/>
      <c r="E6" s="172"/>
      <c r="F6" s="172"/>
      <c r="G6" s="172"/>
      <c r="H6" s="175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5"/>
    </row>
    <row r="8" spans="1:9" ht="47.25" x14ac:dyDescent="0.25">
      <c r="A8" s="14" t="s">
        <v>117</v>
      </c>
      <c r="B8" s="14" t="s">
        <v>118</v>
      </c>
      <c r="C8" s="15" t="s">
        <v>119</v>
      </c>
      <c r="D8" s="15" t="s">
        <v>120</v>
      </c>
      <c r="E8" s="15" t="s">
        <v>121</v>
      </c>
      <c r="F8" s="15" t="s">
        <v>122</v>
      </c>
      <c r="G8" s="14" t="s">
        <v>4</v>
      </c>
      <c r="H8" s="175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5"/>
    </row>
    <row r="10" spans="1:9" ht="31.5" x14ac:dyDescent="0.25">
      <c r="A10" s="19" t="s">
        <v>123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5"/>
      <c r="I10" s="113"/>
    </row>
    <row r="11" spans="1:9" ht="15.75" x14ac:dyDescent="0.25">
      <c r="A11" s="23" t="s">
        <v>124</v>
      </c>
      <c r="B11" s="19">
        <v>901</v>
      </c>
      <c r="C11" s="24" t="s">
        <v>125</v>
      </c>
      <c r="D11" s="20"/>
      <c r="E11" s="20"/>
      <c r="F11" s="20"/>
      <c r="G11" s="21">
        <f>G12+G22</f>
        <v>14164.460000000001</v>
      </c>
      <c r="H11" s="175"/>
    </row>
    <row r="12" spans="1:9" ht="63" x14ac:dyDescent="0.25">
      <c r="A12" s="23" t="s">
        <v>126</v>
      </c>
      <c r="B12" s="19">
        <v>901</v>
      </c>
      <c r="C12" s="24" t="s">
        <v>125</v>
      </c>
      <c r="D12" s="24" t="s">
        <v>127</v>
      </c>
      <c r="E12" s="24"/>
      <c r="F12" s="24"/>
      <c r="G12" s="21">
        <f>G13</f>
        <v>14114.460000000001</v>
      </c>
      <c r="H12" s="175"/>
    </row>
    <row r="13" spans="1:9" ht="15.75" x14ac:dyDescent="0.25">
      <c r="A13" s="25" t="s">
        <v>128</v>
      </c>
      <c r="B13" s="16">
        <v>901</v>
      </c>
      <c r="C13" s="20" t="s">
        <v>125</v>
      </c>
      <c r="D13" s="20" t="s">
        <v>127</v>
      </c>
      <c r="E13" s="20" t="s">
        <v>129</v>
      </c>
      <c r="F13" s="20"/>
      <c r="G13" s="26">
        <f>G14</f>
        <v>14114.460000000001</v>
      </c>
      <c r="H13" s="175"/>
    </row>
    <row r="14" spans="1:9" ht="31.5" x14ac:dyDescent="0.25">
      <c r="A14" s="25" t="s">
        <v>130</v>
      </c>
      <c r="B14" s="16">
        <v>901</v>
      </c>
      <c r="C14" s="20" t="s">
        <v>125</v>
      </c>
      <c r="D14" s="20" t="s">
        <v>127</v>
      </c>
      <c r="E14" s="20" t="s">
        <v>131</v>
      </c>
      <c r="F14" s="20"/>
      <c r="G14" s="26">
        <f>G15</f>
        <v>14114.460000000001</v>
      </c>
      <c r="H14" s="175"/>
    </row>
    <row r="15" spans="1:9" ht="47.25" x14ac:dyDescent="0.25">
      <c r="A15" s="25" t="s">
        <v>132</v>
      </c>
      <c r="B15" s="16">
        <v>901</v>
      </c>
      <c r="C15" s="20" t="s">
        <v>125</v>
      </c>
      <c r="D15" s="20" t="s">
        <v>127</v>
      </c>
      <c r="E15" s="20" t="s">
        <v>133</v>
      </c>
      <c r="F15" s="20"/>
      <c r="G15" s="26">
        <f>G16+G18+G20</f>
        <v>14114.460000000001</v>
      </c>
      <c r="H15" s="175"/>
    </row>
    <row r="16" spans="1:9" ht="94.5" x14ac:dyDescent="0.25">
      <c r="A16" s="25" t="s">
        <v>134</v>
      </c>
      <c r="B16" s="16">
        <v>901</v>
      </c>
      <c r="C16" s="20" t="s">
        <v>125</v>
      </c>
      <c r="D16" s="20" t="s">
        <v>127</v>
      </c>
      <c r="E16" s="20" t="s">
        <v>133</v>
      </c>
      <c r="F16" s="20" t="s">
        <v>135</v>
      </c>
      <c r="G16" s="26">
        <f>G17</f>
        <v>12784.1</v>
      </c>
      <c r="H16" s="175"/>
    </row>
    <row r="17" spans="1:8" ht="31.5" x14ac:dyDescent="0.25">
      <c r="A17" s="25" t="s">
        <v>136</v>
      </c>
      <c r="B17" s="16">
        <v>901</v>
      </c>
      <c r="C17" s="20" t="s">
        <v>125</v>
      </c>
      <c r="D17" s="20" t="s">
        <v>127</v>
      </c>
      <c r="E17" s="20" t="s">
        <v>133</v>
      </c>
      <c r="F17" s="20" t="s">
        <v>137</v>
      </c>
      <c r="G17" s="27">
        <v>12784.1</v>
      </c>
      <c r="H17" s="175"/>
    </row>
    <row r="18" spans="1:8" ht="31.5" x14ac:dyDescent="0.25">
      <c r="A18" s="25" t="s">
        <v>138</v>
      </c>
      <c r="B18" s="16">
        <v>901</v>
      </c>
      <c r="C18" s="20" t="s">
        <v>125</v>
      </c>
      <c r="D18" s="20" t="s">
        <v>127</v>
      </c>
      <c r="E18" s="20" t="s">
        <v>133</v>
      </c>
      <c r="F18" s="20" t="s">
        <v>139</v>
      </c>
      <c r="G18" s="26">
        <f>G19</f>
        <v>1302.3599999999999</v>
      </c>
      <c r="H18" s="175"/>
    </row>
    <row r="19" spans="1:8" ht="47.25" x14ac:dyDescent="0.25">
      <c r="A19" s="25" t="s">
        <v>140</v>
      </c>
      <c r="B19" s="16">
        <v>901</v>
      </c>
      <c r="C19" s="20" t="s">
        <v>125</v>
      </c>
      <c r="D19" s="20" t="s">
        <v>127</v>
      </c>
      <c r="E19" s="20" t="s">
        <v>133</v>
      </c>
      <c r="F19" s="20" t="s">
        <v>141</v>
      </c>
      <c r="G19" s="27">
        <v>1302.3599999999999</v>
      </c>
      <c r="H19" s="175"/>
    </row>
    <row r="20" spans="1:8" ht="15.75" x14ac:dyDescent="0.25">
      <c r="A20" s="25" t="s">
        <v>142</v>
      </c>
      <c r="B20" s="16">
        <v>901</v>
      </c>
      <c r="C20" s="20" t="s">
        <v>125</v>
      </c>
      <c r="D20" s="20" t="s">
        <v>127</v>
      </c>
      <c r="E20" s="20" t="s">
        <v>133</v>
      </c>
      <c r="F20" s="20" t="s">
        <v>143</v>
      </c>
      <c r="G20" s="26">
        <f>G21</f>
        <v>28</v>
      </c>
      <c r="H20" s="175"/>
    </row>
    <row r="21" spans="1:8" ht="15.75" x14ac:dyDescent="0.25">
      <c r="A21" s="25" t="s">
        <v>575</v>
      </c>
      <c r="B21" s="16">
        <v>901</v>
      </c>
      <c r="C21" s="20" t="s">
        <v>125</v>
      </c>
      <c r="D21" s="20" t="s">
        <v>127</v>
      </c>
      <c r="E21" s="20" t="s">
        <v>133</v>
      </c>
      <c r="F21" s="20" t="s">
        <v>145</v>
      </c>
      <c r="G21" s="26">
        <v>28</v>
      </c>
      <c r="H21" s="175"/>
    </row>
    <row r="22" spans="1:8" ht="31.7" customHeight="1" x14ac:dyDescent="0.25">
      <c r="A22" s="23" t="s">
        <v>146</v>
      </c>
      <c r="B22" s="19">
        <v>901</v>
      </c>
      <c r="C22" s="24" t="s">
        <v>125</v>
      </c>
      <c r="D22" s="24" t="s">
        <v>147</v>
      </c>
      <c r="E22" s="24"/>
      <c r="F22" s="24"/>
      <c r="G22" s="21">
        <f>G23</f>
        <v>50</v>
      </c>
      <c r="H22" s="175"/>
    </row>
    <row r="23" spans="1:8" ht="15.75" x14ac:dyDescent="0.25">
      <c r="A23" s="25" t="s">
        <v>148</v>
      </c>
      <c r="B23" s="16">
        <v>901</v>
      </c>
      <c r="C23" s="20" t="s">
        <v>125</v>
      </c>
      <c r="D23" s="20" t="s">
        <v>147</v>
      </c>
      <c r="E23" s="20" t="s">
        <v>149</v>
      </c>
      <c r="F23" s="20"/>
      <c r="G23" s="26">
        <f>G24</f>
        <v>50</v>
      </c>
      <c r="H23" s="175"/>
    </row>
    <row r="24" spans="1:8" ht="15.75" x14ac:dyDescent="0.25">
      <c r="A24" s="25" t="s">
        <v>150</v>
      </c>
      <c r="B24" s="16">
        <v>901</v>
      </c>
      <c r="C24" s="20" t="s">
        <v>125</v>
      </c>
      <c r="D24" s="20" t="s">
        <v>147</v>
      </c>
      <c r="E24" s="20" t="s">
        <v>151</v>
      </c>
      <c r="F24" s="20"/>
      <c r="G24" s="26">
        <f>G25</f>
        <v>50</v>
      </c>
      <c r="H24" s="175"/>
    </row>
    <row r="25" spans="1:8" ht="15.75" x14ac:dyDescent="0.25">
      <c r="A25" s="25" t="s">
        <v>142</v>
      </c>
      <c r="B25" s="16">
        <v>901</v>
      </c>
      <c r="C25" s="20" t="s">
        <v>125</v>
      </c>
      <c r="D25" s="20" t="s">
        <v>147</v>
      </c>
      <c r="E25" s="20" t="s">
        <v>151</v>
      </c>
      <c r="F25" s="20" t="s">
        <v>152</v>
      </c>
      <c r="G25" s="26">
        <f>G26</f>
        <v>50</v>
      </c>
      <c r="H25" s="175"/>
    </row>
    <row r="26" spans="1:8" ht="15.75" x14ac:dyDescent="0.25">
      <c r="A26" s="25" t="s">
        <v>153</v>
      </c>
      <c r="B26" s="16">
        <v>901</v>
      </c>
      <c r="C26" s="20" t="s">
        <v>125</v>
      </c>
      <c r="D26" s="20" t="s">
        <v>147</v>
      </c>
      <c r="E26" s="20" t="s">
        <v>151</v>
      </c>
      <c r="F26" s="20" t="s">
        <v>154</v>
      </c>
      <c r="G26" s="26">
        <v>50</v>
      </c>
      <c r="H26" s="175"/>
    </row>
    <row r="27" spans="1:8" ht="31.5" x14ac:dyDescent="0.25">
      <c r="A27" s="19" t="s">
        <v>155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5"/>
    </row>
    <row r="28" spans="1:8" ht="15.75" x14ac:dyDescent="0.25">
      <c r="A28" s="23" t="s">
        <v>124</v>
      </c>
      <c r="B28" s="19">
        <v>902</v>
      </c>
      <c r="C28" s="24" t="s">
        <v>125</v>
      </c>
      <c r="D28" s="20"/>
      <c r="E28" s="20"/>
      <c r="F28" s="20"/>
      <c r="G28" s="21">
        <f>G29+G48+G56</f>
        <v>66062.7</v>
      </c>
      <c r="H28" s="175"/>
    </row>
    <row r="29" spans="1:8" ht="78.75" x14ac:dyDescent="0.25">
      <c r="A29" s="23" t="s">
        <v>156</v>
      </c>
      <c r="B29" s="19">
        <v>902</v>
      </c>
      <c r="C29" s="24" t="s">
        <v>125</v>
      </c>
      <c r="D29" s="24" t="s">
        <v>157</v>
      </c>
      <c r="E29" s="24"/>
      <c r="F29" s="24"/>
      <c r="G29" s="21">
        <f>G30</f>
        <v>51508.2</v>
      </c>
      <c r="H29" s="175"/>
    </row>
    <row r="30" spans="1:8" ht="15.75" x14ac:dyDescent="0.25">
      <c r="A30" s="25" t="s">
        <v>128</v>
      </c>
      <c r="B30" s="16">
        <v>902</v>
      </c>
      <c r="C30" s="20" t="s">
        <v>125</v>
      </c>
      <c r="D30" s="20" t="s">
        <v>157</v>
      </c>
      <c r="E30" s="20" t="s">
        <v>129</v>
      </c>
      <c r="F30" s="20"/>
      <c r="G30" s="27">
        <f>G31+G42</f>
        <v>51508.2</v>
      </c>
      <c r="H30" s="175"/>
    </row>
    <row r="31" spans="1:8" ht="31.5" x14ac:dyDescent="0.25">
      <c r="A31" s="25" t="s">
        <v>130</v>
      </c>
      <c r="B31" s="16">
        <v>902</v>
      </c>
      <c r="C31" s="20" t="s">
        <v>125</v>
      </c>
      <c r="D31" s="20" t="s">
        <v>157</v>
      </c>
      <c r="E31" s="20" t="s">
        <v>131</v>
      </c>
      <c r="F31" s="20"/>
      <c r="G31" s="27">
        <f>G32+G39</f>
        <v>43489.2</v>
      </c>
      <c r="H31" s="175"/>
    </row>
    <row r="32" spans="1:8" ht="47.25" x14ac:dyDescent="0.25">
      <c r="A32" s="25" t="s">
        <v>132</v>
      </c>
      <c r="B32" s="16">
        <v>902</v>
      </c>
      <c r="C32" s="20" t="s">
        <v>125</v>
      </c>
      <c r="D32" s="20" t="s">
        <v>157</v>
      </c>
      <c r="E32" s="20" t="s">
        <v>133</v>
      </c>
      <c r="F32" s="20"/>
      <c r="G32" s="26">
        <f>G33+G35+G37</f>
        <v>39943.599999999999</v>
      </c>
      <c r="H32" s="175"/>
    </row>
    <row r="33" spans="1:10" ht="94.5" x14ac:dyDescent="0.25">
      <c r="A33" s="25" t="s">
        <v>134</v>
      </c>
      <c r="B33" s="16">
        <v>902</v>
      </c>
      <c r="C33" s="20" t="s">
        <v>125</v>
      </c>
      <c r="D33" s="20" t="s">
        <v>157</v>
      </c>
      <c r="E33" s="20" t="s">
        <v>133</v>
      </c>
      <c r="F33" s="20" t="s">
        <v>135</v>
      </c>
      <c r="G33" s="26">
        <f>G34</f>
        <v>34230.5</v>
      </c>
      <c r="H33" s="175"/>
    </row>
    <row r="34" spans="1:10" ht="31.5" x14ac:dyDescent="0.25">
      <c r="A34" s="25" t="s">
        <v>136</v>
      </c>
      <c r="B34" s="16">
        <v>902</v>
      </c>
      <c r="C34" s="20" t="s">
        <v>125</v>
      </c>
      <c r="D34" s="20" t="s">
        <v>157</v>
      </c>
      <c r="E34" s="20" t="s">
        <v>133</v>
      </c>
      <c r="F34" s="20" t="s">
        <v>137</v>
      </c>
      <c r="G34" s="155">
        <f>36517.7-553.5-1733.7</f>
        <v>34230.5</v>
      </c>
      <c r="H34" s="156" t="s">
        <v>725</v>
      </c>
      <c r="J34" s="170" t="s">
        <v>767</v>
      </c>
    </row>
    <row r="35" spans="1:10" ht="31.5" x14ac:dyDescent="0.25">
      <c r="A35" s="25" t="s">
        <v>138</v>
      </c>
      <c r="B35" s="16">
        <v>902</v>
      </c>
      <c r="C35" s="20" t="s">
        <v>125</v>
      </c>
      <c r="D35" s="20" t="s">
        <v>157</v>
      </c>
      <c r="E35" s="20" t="s">
        <v>133</v>
      </c>
      <c r="F35" s="20" t="s">
        <v>139</v>
      </c>
      <c r="G35" s="26">
        <f>G36</f>
        <v>5592.4</v>
      </c>
      <c r="H35" s="175"/>
    </row>
    <row r="36" spans="1:10" ht="47.25" x14ac:dyDescent="0.25">
      <c r="A36" s="25" t="s">
        <v>140</v>
      </c>
      <c r="B36" s="16">
        <v>902</v>
      </c>
      <c r="C36" s="20" t="s">
        <v>125</v>
      </c>
      <c r="D36" s="20" t="s">
        <v>157</v>
      </c>
      <c r="E36" s="20" t="s">
        <v>133</v>
      </c>
      <c r="F36" s="20" t="s">
        <v>141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142</v>
      </c>
      <c r="B37" s="16">
        <v>902</v>
      </c>
      <c r="C37" s="20" t="s">
        <v>125</v>
      </c>
      <c r="D37" s="20" t="s">
        <v>157</v>
      </c>
      <c r="E37" s="20" t="s">
        <v>133</v>
      </c>
      <c r="F37" s="20" t="s">
        <v>152</v>
      </c>
      <c r="G37" s="26">
        <f>G38</f>
        <v>120.7</v>
      </c>
      <c r="H37" s="175"/>
    </row>
    <row r="38" spans="1:10" ht="15.75" x14ac:dyDescent="0.25">
      <c r="A38" s="25" t="s">
        <v>575</v>
      </c>
      <c r="B38" s="16">
        <v>902</v>
      </c>
      <c r="C38" s="20" t="s">
        <v>125</v>
      </c>
      <c r="D38" s="20" t="s">
        <v>157</v>
      </c>
      <c r="E38" s="20" t="s">
        <v>133</v>
      </c>
      <c r="F38" s="20" t="s">
        <v>145</v>
      </c>
      <c r="G38" s="27">
        <f>90.7+30</f>
        <v>120.7</v>
      </c>
      <c r="H38" s="105"/>
      <c r="I38" s="123"/>
    </row>
    <row r="39" spans="1:10" ht="31.5" x14ac:dyDescent="0.25">
      <c r="A39" s="25" t="s">
        <v>158</v>
      </c>
      <c r="B39" s="16">
        <v>902</v>
      </c>
      <c r="C39" s="20" t="s">
        <v>125</v>
      </c>
      <c r="D39" s="20" t="s">
        <v>157</v>
      </c>
      <c r="E39" s="20" t="s">
        <v>159</v>
      </c>
      <c r="F39" s="20"/>
      <c r="G39" s="26">
        <f>G40</f>
        <v>3545.6</v>
      </c>
      <c r="H39" s="175"/>
    </row>
    <row r="40" spans="1:10" ht="94.5" x14ac:dyDescent="0.25">
      <c r="A40" s="25" t="s">
        <v>134</v>
      </c>
      <c r="B40" s="16">
        <v>902</v>
      </c>
      <c r="C40" s="20" t="s">
        <v>125</v>
      </c>
      <c r="D40" s="20" t="s">
        <v>157</v>
      </c>
      <c r="E40" s="20" t="s">
        <v>159</v>
      </c>
      <c r="F40" s="20" t="s">
        <v>135</v>
      </c>
      <c r="G40" s="26">
        <f>G41</f>
        <v>3545.6</v>
      </c>
      <c r="H40" s="175"/>
    </row>
    <row r="41" spans="1:10" ht="31.5" x14ac:dyDescent="0.25">
      <c r="A41" s="25" t="s">
        <v>136</v>
      </c>
      <c r="B41" s="16">
        <v>902</v>
      </c>
      <c r="C41" s="20" t="s">
        <v>125</v>
      </c>
      <c r="D41" s="20" t="s">
        <v>157</v>
      </c>
      <c r="E41" s="20" t="s">
        <v>159</v>
      </c>
      <c r="F41" s="20" t="s">
        <v>137</v>
      </c>
      <c r="G41" s="27">
        <v>3545.6</v>
      </c>
      <c r="H41" s="175"/>
    </row>
    <row r="42" spans="1:10" ht="15.75" x14ac:dyDescent="0.25">
      <c r="A42" s="25" t="s">
        <v>148</v>
      </c>
      <c r="B42" s="16">
        <v>902</v>
      </c>
      <c r="C42" s="20" t="s">
        <v>125</v>
      </c>
      <c r="D42" s="20" t="s">
        <v>157</v>
      </c>
      <c r="E42" s="20" t="s">
        <v>149</v>
      </c>
      <c r="F42" s="20"/>
      <c r="G42" s="28">
        <f>G43</f>
        <v>8019</v>
      </c>
      <c r="H42" s="175"/>
    </row>
    <row r="43" spans="1:10" ht="31.5" x14ac:dyDescent="0.25">
      <c r="A43" s="25" t="s">
        <v>160</v>
      </c>
      <c r="B43" s="16">
        <v>902</v>
      </c>
      <c r="C43" s="20" t="s">
        <v>125</v>
      </c>
      <c r="D43" s="20" t="s">
        <v>157</v>
      </c>
      <c r="E43" s="20" t="s">
        <v>161</v>
      </c>
      <c r="F43" s="20"/>
      <c r="G43" s="26">
        <f>G44+G46</f>
        <v>8019</v>
      </c>
      <c r="H43" s="175"/>
    </row>
    <row r="44" spans="1:10" ht="94.5" x14ac:dyDescent="0.25">
      <c r="A44" s="25" t="s">
        <v>134</v>
      </c>
      <c r="B44" s="16">
        <v>902</v>
      </c>
      <c r="C44" s="20" t="s">
        <v>125</v>
      </c>
      <c r="D44" s="20" t="s">
        <v>157</v>
      </c>
      <c r="E44" s="20" t="s">
        <v>161</v>
      </c>
      <c r="F44" s="20" t="s">
        <v>135</v>
      </c>
      <c r="G44" s="26">
        <f>G45</f>
        <v>5761.2</v>
      </c>
      <c r="H44" s="175"/>
    </row>
    <row r="45" spans="1:10" ht="31.5" x14ac:dyDescent="0.25">
      <c r="A45" s="25" t="s">
        <v>136</v>
      </c>
      <c r="B45" s="16">
        <v>902</v>
      </c>
      <c r="C45" s="20" t="s">
        <v>125</v>
      </c>
      <c r="D45" s="20" t="s">
        <v>157</v>
      </c>
      <c r="E45" s="20" t="s">
        <v>161</v>
      </c>
      <c r="F45" s="20" t="s">
        <v>137</v>
      </c>
      <c r="G45" s="155">
        <f>6958.6+88.4-2398.3+1112.5</f>
        <v>5761.2</v>
      </c>
      <c r="H45" s="105" t="s">
        <v>726</v>
      </c>
      <c r="I45" s="123"/>
      <c r="J45" s="169" t="s">
        <v>768</v>
      </c>
    </row>
    <row r="46" spans="1:10" ht="31.5" x14ac:dyDescent="0.25">
      <c r="A46" s="25" t="s">
        <v>138</v>
      </c>
      <c r="B46" s="16">
        <v>902</v>
      </c>
      <c r="C46" s="20" t="s">
        <v>125</v>
      </c>
      <c r="D46" s="20" t="s">
        <v>157</v>
      </c>
      <c r="E46" s="20" t="s">
        <v>161</v>
      </c>
      <c r="F46" s="20" t="s">
        <v>139</v>
      </c>
      <c r="G46" s="26">
        <f>G47</f>
        <v>2257.8000000000002</v>
      </c>
      <c r="H46" s="175"/>
    </row>
    <row r="47" spans="1:10" ht="47.25" x14ac:dyDescent="0.25">
      <c r="A47" s="25" t="s">
        <v>140</v>
      </c>
      <c r="B47" s="16">
        <v>902</v>
      </c>
      <c r="C47" s="20" t="s">
        <v>125</v>
      </c>
      <c r="D47" s="20" t="s">
        <v>157</v>
      </c>
      <c r="E47" s="20" t="s">
        <v>161</v>
      </c>
      <c r="F47" s="20" t="s">
        <v>141</v>
      </c>
      <c r="G47" s="155">
        <f>2109.3+129.9+835.5-1438.1+621.2</f>
        <v>2257.8000000000002</v>
      </c>
      <c r="H47" s="105" t="s">
        <v>727</v>
      </c>
      <c r="I47" s="124"/>
    </row>
    <row r="48" spans="1:10" ht="63" x14ac:dyDescent="0.25">
      <c r="A48" s="23" t="s">
        <v>126</v>
      </c>
      <c r="B48" s="19">
        <v>902</v>
      </c>
      <c r="C48" s="24" t="s">
        <v>125</v>
      </c>
      <c r="D48" s="24" t="s">
        <v>127</v>
      </c>
      <c r="E48" s="24"/>
      <c r="F48" s="20"/>
      <c r="G48" s="21">
        <f>G49</f>
        <v>1081.7</v>
      </c>
      <c r="H48" s="175"/>
    </row>
    <row r="49" spans="1:11" ht="21.2" customHeight="1" x14ac:dyDescent="0.25">
      <c r="A49" s="25" t="s">
        <v>128</v>
      </c>
      <c r="B49" s="16">
        <v>902</v>
      </c>
      <c r="C49" s="20" t="s">
        <v>125</v>
      </c>
      <c r="D49" s="20" t="s">
        <v>127</v>
      </c>
      <c r="E49" s="20" t="s">
        <v>129</v>
      </c>
      <c r="F49" s="20"/>
      <c r="G49" s="26">
        <f>G50</f>
        <v>1081.7</v>
      </c>
      <c r="H49" s="175"/>
    </row>
    <row r="50" spans="1:11" ht="31.5" x14ac:dyDescent="0.25">
      <c r="A50" s="25" t="s">
        <v>130</v>
      </c>
      <c r="B50" s="16">
        <v>902</v>
      </c>
      <c r="C50" s="20" t="s">
        <v>125</v>
      </c>
      <c r="D50" s="20" t="s">
        <v>127</v>
      </c>
      <c r="E50" s="20" t="s">
        <v>131</v>
      </c>
      <c r="F50" s="20"/>
      <c r="G50" s="26">
        <f>G51</f>
        <v>1081.7</v>
      </c>
      <c r="H50" s="175"/>
      <c r="K50" s="26"/>
    </row>
    <row r="51" spans="1:11" ht="47.25" x14ac:dyDescent="0.25">
      <c r="A51" s="25" t="s">
        <v>132</v>
      </c>
      <c r="B51" s="16">
        <v>902</v>
      </c>
      <c r="C51" s="20" t="s">
        <v>125</v>
      </c>
      <c r="D51" s="20" t="s">
        <v>127</v>
      </c>
      <c r="E51" s="20" t="s">
        <v>133</v>
      </c>
      <c r="F51" s="20"/>
      <c r="G51" s="26">
        <f>G52+G54</f>
        <v>1081.7</v>
      </c>
      <c r="H51" s="175"/>
      <c r="K51" s="26"/>
    </row>
    <row r="52" spans="1:11" ht="94.5" x14ac:dyDescent="0.25">
      <c r="A52" s="25" t="s">
        <v>134</v>
      </c>
      <c r="B52" s="16">
        <v>902</v>
      </c>
      <c r="C52" s="20" t="s">
        <v>125</v>
      </c>
      <c r="D52" s="20" t="s">
        <v>127</v>
      </c>
      <c r="E52" s="20" t="s">
        <v>133</v>
      </c>
      <c r="F52" s="20" t="s">
        <v>135</v>
      </c>
      <c r="G52" s="26">
        <f>G53</f>
        <v>1081.7</v>
      </c>
      <c r="H52" s="175"/>
      <c r="K52" s="27"/>
    </row>
    <row r="53" spans="1:11" ht="31.5" x14ac:dyDescent="0.25">
      <c r="A53" s="25" t="s">
        <v>136</v>
      </c>
      <c r="B53" s="16">
        <v>902</v>
      </c>
      <c r="C53" s="20" t="s">
        <v>125</v>
      </c>
      <c r="D53" s="20" t="s">
        <v>127</v>
      </c>
      <c r="E53" s="20" t="s">
        <v>133</v>
      </c>
      <c r="F53" s="20" t="s">
        <v>137</v>
      </c>
      <c r="G53" s="27">
        <f>1081.7</f>
        <v>1081.7</v>
      </c>
      <c r="H53" s="175"/>
      <c r="I53" s="114"/>
      <c r="K53" s="26"/>
    </row>
    <row r="54" spans="1:11" ht="31.5" hidden="1" x14ac:dyDescent="0.25">
      <c r="A54" s="25" t="s">
        <v>138</v>
      </c>
      <c r="B54" s="16">
        <v>902</v>
      </c>
      <c r="C54" s="20" t="s">
        <v>125</v>
      </c>
      <c r="D54" s="20" t="s">
        <v>127</v>
      </c>
      <c r="E54" s="20" t="s">
        <v>133</v>
      </c>
      <c r="F54" s="20" t="s">
        <v>139</v>
      </c>
      <c r="G54" s="27">
        <f>G55</f>
        <v>0</v>
      </c>
      <c r="H54" s="175"/>
      <c r="K54" s="26"/>
    </row>
    <row r="55" spans="1:11" ht="47.25" hidden="1" x14ac:dyDescent="0.25">
      <c r="A55" s="25" t="s">
        <v>140</v>
      </c>
      <c r="B55" s="16">
        <v>902</v>
      </c>
      <c r="C55" s="20" t="s">
        <v>125</v>
      </c>
      <c r="D55" s="20" t="s">
        <v>127</v>
      </c>
      <c r="E55" s="20" t="s">
        <v>133</v>
      </c>
      <c r="F55" s="20" t="s">
        <v>141</v>
      </c>
      <c r="G55" s="27"/>
      <c r="H55" s="175"/>
      <c r="I55" s="114"/>
      <c r="K55" s="26"/>
    </row>
    <row r="56" spans="1:11" ht="15.75" x14ac:dyDescent="0.25">
      <c r="A56" s="23" t="s">
        <v>146</v>
      </c>
      <c r="B56" s="19">
        <v>902</v>
      </c>
      <c r="C56" s="24" t="s">
        <v>125</v>
      </c>
      <c r="D56" s="24" t="s">
        <v>147</v>
      </c>
      <c r="E56" s="24"/>
      <c r="F56" s="24"/>
      <c r="G56" s="21">
        <f>G57+G61+G73+G86+G97+G90</f>
        <v>13472.8</v>
      </c>
      <c r="H56" s="175"/>
      <c r="I56" s="113"/>
      <c r="K56" s="26"/>
    </row>
    <row r="57" spans="1:11" ht="63" x14ac:dyDescent="0.25">
      <c r="A57" s="25" t="s">
        <v>162</v>
      </c>
      <c r="B57" s="16">
        <v>902</v>
      </c>
      <c r="C57" s="20" t="s">
        <v>125</v>
      </c>
      <c r="D57" s="20" t="s">
        <v>147</v>
      </c>
      <c r="E57" s="20" t="s">
        <v>163</v>
      </c>
      <c r="F57" s="20"/>
      <c r="G57" s="26">
        <f>G58</f>
        <v>250</v>
      </c>
      <c r="H57" s="175"/>
    </row>
    <row r="58" spans="1:11" ht="31.5" x14ac:dyDescent="0.25">
      <c r="A58" s="25" t="s">
        <v>164</v>
      </c>
      <c r="B58" s="16">
        <v>902</v>
      </c>
      <c r="C58" s="20" t="s">
        <v>125</v>
      </c>
      <c r="D58" s="20" t="s">
        <v>147</v>
      </c>
      <c r="E58" s="20" t="s">
        <v>165</v>
      </c>
      <c r="F58" s="20"/>
      <c r="G58" s="26">
        <f>G59</f>
        <v>250</v>
      </c>
      <c r="H58" s="175"/>
    </row>
    <row r="59" spans="1:11" ht="15.75" x14ac:dyDescent="0.25">
      <c r="A59" s="25" t="s">
        <v>142</v>
      </c>
      <c r="B59" s="16">
        <v>902</v>
      </c>
      <c r="C59" s="20" t="s">
        <v>125</v>
      </c>
      <c r="D59" s="20" t="s">
        <v>147</v>
      </c>
      <c r="E59" s="20" t="s">
        <v>165</v>
      </c>
      <c r="F59" s="20" t="s">
        <v>152</v>
      </c>
      <c r="G59" s="26">
        <f>G60</f>
        <v>250</v>
      </c>
      <c r="H59" s="175"/>
    </row>
    <row r="60" spans="1:11" ht="78.75" x14ac:dyDescent="0.25">
      <c r="A60" s="25" t="s">
        <v>166</v>
      </c>
      <c r="B60" s="16">
        <v>902</v>
      </c>
      <c r="C60" s="20" t="s">
        <v>125</v>
      </c>
      <c r="D60" s="20" t="s">
        <v>147</v>
      </c>
      <c r="E60" s="20" t="s">
        <v>165</v>
      </c>
      <c r="F60" s="20" t="s">
        <v>167</v>
      </c>
      <c r="G60" s="26">
        <f>100+150</f>
        <v>250</v>
      </c>
      <c r="H60" s="175"/>
      <c r="I60" s="114"/>
    </row>
    <row r="61" spans="1:11" ht="47.25" x14ac:dyDescent="0.25">
      <c r="A61" s="25" t="s">
        <v>168</v>
      </c>
      <c r="B61" s="16">
        <v>902</v>
      </c>
      <c r="C61" s="20" t="s">
        <v>125</v>
      </c>
      <c r="D61" s="20" t="s">
        <v>147</v>
      </c>
      <c r="E61" s="20" t="s">
        <v>169</v>
      </c>
      <c r="F61" s="20"/>
      <c r="G61" s="26">
        <f>G62+G65+G70</f>
        <v>653.5</v>
      </c>
      <c r="H61" s="175"/>
    </row>
    <row r="62" spans="1:11" ht="31.5" x14ac:dyDescent="0.25">
      <c r="A62" s="29" t="s">
        <v>170</v>
      </c>
      <c r="B62" s="16">
        <v>902</v>
      </c>
      <c r="C62" s="20" t="s">
        <v>125</v>
      </c>
      <c r="D62" s="20" t="s">
        <v>147</v>
      </c>
      <c r="E62" s="40" t="s">
        <v>171</v>
      </c>
      <c r="F62" s="20"/>
      <c r="G62" s="26">
        <f>G63</f>
        <v>428.1</v>
      </c>
      <c r="H62" s="175"/>
    </row>
    <row r="63" spans="1:11" ht="31.5" x14ac:dyDescent="0.25">
      <c r="A63" s="25" t="s">
        <v>138</v>
      </c>
      <c r="B63" s="16">
        <v>902</v>
      </c>
      <c r="C63" s="20" t="s">
        <v>125</v>
      </c>
      <c r="D63" s="20" t="s">
        <v>147</v>
      </c>
      <c r="E63" s="40" t="s">
        <v>171</v>
      </c>
      <c r="F63" s="20" t="s">
        <v>139</v>
      </c>
      <c r="G63" s="26">
        <f>G64</f>
        <v>428.1</v>
      </c>
      <c r="H63" s="175"/>
    </row>
    <row r="64" spans="1:11" ht="47.25" x14ac:dyDescent="0.25">
      <c r="A64" s="25" t="s">
        <v>140</v>
      </c>
      <c r="B64" s="16">
        <v>902</v>
      </c>
      <c r="C64" s="20" t="s">
        <v>125</v>
      </c>
      <c r="D64" s="20" t="s">
        <v>147</v>
      </c>
      <c r="E64" s="40" t="s">
        <v>171</v>
      </c>
      <c r="F64" s="20" t="s">
        <v>141</v>
      </c>
      <c r="G64" s="26">
        <f>494.3-66.2</f>
        <v>428.1</v>
      </c>
      <c r="H64" s="175"/>
    </row>
    <row r="65" spans="1:8" ht="63" x14ac:dyDescent="0.25">
      <c r="A65" s="176" t="s">
        <v>172</v>
      </c>
      <c r="B65" s="16">
        <v>902</v>
      </c>
      <c r="C65" s="20" t="s">
        <v>125</v>
      </c>
      <c r="D65" s="20" t="s">
        <v>147</v>
      </c>
      <c r="E65" s="40" t="s">
        <v>173</v>
      </c>
      <c r="F65" s="20"/>
      <c r="G65" s="26">
        <f>G66+G68</f>
        <v>224.89999999999998</v>
      </c>
      <c r="H65" s="175"/>
    </row>
    <row r="66" spans="1:8" ht="94.5" x14ac:dyDescent="0.25">
      <c r="A66" s="25" t="s">
        <v>134</v>
      </c>
      <c r="B66" s="16">
        <v>902</v>
      </c>
      <c r="C66" s="20" t="s">
        <v>125</v>
      </c>
      <c r="D66" s="20" t="s">
        <v>147</v>
      </c>
      <c r="E66" s="40" t="s">
        <v>173</v>
      </c>
      <c r="F66" s="20" t="s">
        <v>135</v>
      </c>
      <c r="G66" s="26">
        <f>G67</f>
        <v>159.69999999999999</v>
      </c>
      <c r="H66" s="175"/>
    </row>
    <row r="67" spans="1:8" ht="31.5" x14ac:dyDescent="0.25">
      <c r="A67" s="25" t="s">
        <v>136</v>
      </c>
      <c r="B67" s="16">
        <v>902</v>
      </c>
      <c r="C67" s="20" t="s">
        <v>125</v>
      </c>
      <c r="D67" s="20" t="s">
        <v>147</v>
      </c>
      <c r="E67" s="40" t="s">
        <v>173</v>
      </c>
      <c r="F67" s="20" t="s">
        <v>137</v>
      </c>
      <c r="G67" s="26">
        <v>159.69999999999999</v>
      </c>
      <c r="H67" s="175"/>
    </row>
    <row r="68" spans="1:8" ht="31.5" x14ac:dyDescent="0.25">
      <c r="A68" s="25" t="s">
        <v>138</v>
      </c>
      <c r="B68" s="16">
        <v>902</v>
      </c>
      <c r="C68" s="20" t="s">
        <v>125</v>
      </c>
      <c r="D68" s="20" t="s">
        <v>147</v>
      </c>
      <c r="E68" s="40" t="s">
        <v>173</v>
      </c>
      <c r="F68" s="20" t="s">
        <v>139</v>
      </c>
      <c r="G68" s="26">
        <f>G69</f>
        <v>65.2</v>
      </c>
      <c r="H68" s="175"/>
    </row>
    <row r="69" spans="1:8" ht="47.25" x14ac:dyDescent="0.25">
      <c r="A69" s="25" t="s">
        <v>140</v>
      </c>
      <c r="B69" s="16">
        <v>902</v>
      </c>
      <c r="C69" s="20" t="s">
        <v>125</v>
      </c>
      <c r="D69" s="20" t="s">
        <v>147</v>
      </c>
      <c r="E69" s="40" t="s">
        <v>173</v>
      </c>
      <c r="F69" s="20" t="s">
        <v>141</v>
      </c>
      <c r="G69" s="26">
        <f>66.2-0.5-0.5</f>
        <v>65.2</v>
      </c>
      <c r="H69" s="105"/>
    </row>
    <row r="70" spans="1:8" ht="47.25" x14ac:dyDescent="0.25">
      <c r="A70" s="33" t="s">
        <v>198</v>
      </c>
      <c r="B70" s="16">
        <v>902</v>
      </c>
      <c r="C70" s="20" t="s">
        <v>125</v>
      </c>
      <c r="D70" s="20" t="s">
        <v>147</v>
      </c>
      <c r="E70" s="40" t="s">
        <v>690</v>
      </c>
      <c r="F70" s="20"/>
      <c r="G70" s="26">
        <f>G71</f>
        <v>0.5</v>
      </c>
      <c r="H70" s="107"/>
    </row>
    <row r="71" spans="1:8" ht="31.5" x14ac:dyDescent="0.25">
      <c r="A71" s="25" t="s">
        <v>138</v>
      </c>
      <c r="B71" s="16">
        <v>902</v>
      </c>
      <c r="C71" s="20" t="s">
        <v>125</v>
      </c>
      <c r="D71" s="20" t="s">
        <v>147</v>
      </c>
      <c r="E71" s="40" t="s">
        <v>690</v>
      </c>
      <c r="F71" s="20" t="s">
        <v>139</v>
      </c>
      <c r="G71" s="26">
        <f>G72</f>
        <v>0.5</v>
      </c>
      <c r="H71" s="175"/>
    </row>
    <row r="72" spans="1:8" ht="47.25" x14ac:dyDescent="0.25">
      <c r="A72" s="25" t="s">
        <v>140</v>
      </c>
      <c r="B72" s="16">
        <v>902</v>
      </c>
      <c r="C72" s="20" t="s">
        <v>125</v>
      </c>
      <c r="D72" s="20" t="s">
        <v>147</v>
      </c>
      <c r="E72" s="40" t="s">
        <v>690</v>
      </c>
      <c r="F72" s="20" t="s">
        <v>141</v>
      </c>
      <c r="G72" s="26">
        <v>0.5</v>
      </c>
      <c r="H72" s="105"/>
    </row>
    <row r="73" spans="1:8" ht="94.5" x14ac:dyDescent="0.25">
      <c r="A73" s="29" t="s">
        <v>174</v>
      </c>
      <c r="B73" s="16">
        <v>902</v>
      </c>
      <c r="C73" s="9" t="s">
        <v>125</v>
      </c>
      <c r="D73" s="9" t="s">
        <v>147</v>
      </c>
      <c r="E73" s="5" t="s">
        <v>175</v>
      </c>
      <c r="F73" s="9"/>
      <c r="G73" s="26">
        <f>G74+G78+G82</f>
        <v>80</v>
      </c>
      <c r="H73" s="175"/>
    </row>
    <row r="74" spans="1:8" ht="78.75" x14ac:dyDescent="0.25">
      <c r="A74" s="29" t="s">
        <v>176</v>
      </c>
      <c r="B74" s="16">
        <v>902</v>
      </c>
      <c r="C74" s="9" t="s">
        <v>125</v>
      </c>
      <c r="D74" s="9" t="s">
        <v>147</v>
      </c>
      <c r="E74" s="30" t="s">
        <v>177</v>
      </c>
      <c r="F74" s="9"/>
      <c r="G74" s="26">
        <f>G75</f>
        <v>15</v>
      </c>
      <c r="H74" s="175"/>
    </row>
    <row r="75" spans="1:8" ht="31.5" x14ac:dyDescent="0.25">
      <c r="A75" s="176" t="s">
        <v>178</v>
      </c>
      <c r="B75" s="16">
        <v>902</v>
      </c>
      <c r="C75" s="9" t="s">
        <v>125</v>
      </c>
      <c r="D75" s="9" t="s">
        <v>147</v>
      </c>
      <c r="E75" s="5" t="s">
        <v>179</v>
      </c>
      <c r="F75" s="9"/>
      <c r="G75" s="26">
        <f>G76</f>
        <v>15</v>
      </c>
      <c r="H75" s="175"/>
    </row>
    <row r="76" spans="1:8" ht="31.5" x14ac:dyDescent="0.25">
      <c r="A76" s="25" t="s">
        <v>138</v>
      </c>
      <c r="B76" s="16">
        <v>902</v>
      </c>
      <c r="C76" s="9" t="s">
        <v>125</v>
      </c>
      <c r="D76" s="9" t="s">
        <v>147</v>
      </c>
      <c r="E76" s="5" t="s">
        <v>179</v>
      </c>
      <c r="F76" s="9" t="s">
        <v>139</v>
      </c>
      <c r="G76" s="26">
        <f>G77</f>
        <v>15</v>
      </c>
      <c r="H76" s="175"/>
    </row>
    <row r="77" spans="1:8" ht="47.25" x14ac:dyDescent="0.25">
      <c r="A77" s="25" t="s">
        <v>140</v>
      </c>
      <c r="B77" s="16">
        <v>902</v>
      </c>
      <c r="C77" s="9" t="s">
        <v>125</v>
      </c>
      <c r="D77" s="9" t="s">
        <v>147</v>
      </c>
      <c r="E77" s="5" t="s">
        <v>179</v>
      </c>
      <c r="F77" s="9" t="s">
        <v>141</v>
      </c>
      <c r="G77" s="26">
        <v>15</v>
      </c>
      <c r="H77" s="175"/>
    </row>
    <row r="78" spans="1:8" ht="63" x14ac:dyDescent="0.25">
      <c r="A78" s="29" t="s">
        <v>180</v>
      </c>
      <c r="B78" s="16">
        <v>902</v>
      </c>
      <c r="C78" s="9" t="s">
        <v>125</v>
      </c>
      <c r="D78" s="9" t="s">
        <v>147</v>
      </c>
      <c r="E78" s="30" t="s">
        <v>181</v>
      </c>
      <c r="F78" s="9"/>
      <c r="G78" s="26">
        <f>G79</f>
        <v>50</v>
      </c>
      <c r="H78" s="175"/>
    </row>
    <row r="79" spans="1:8" ht="31.5" x14ac:dyDescent="0.25">
      <c r="A79" s="45" t="s">
        <v>182</v>
      </c>
      <c r="B79" s="16">
        <v>902</v>
      </c>
      <c r="C79" s="9" t="s">
        <v>125</v>
      </c>
      <c r="D79" s="9" t="s">
        <v>147</v>
      </c>
      <c r="E79" s="5" t="s">
        <v>183</v>
      </c>
      <c r="F79" s="9"/>
      <c r="G79" s="26">
        <f>G80</f>
        <v>50</v>
      </c>
      <c r="H79" s="175"/>
    </row>
    <row r="80" spans="1:8" ht="31.5" x14ac:dyDescent="0.25">
      <c r="A80" s="25" t="s">
        <v>138</v>
      </c>
      <c r="B80" s="16">
        <v>902</v>
      </c>
      <c r="C80" s="9" t="s">
        <v>125</v>
      </c>
      <c r="D80" s="9" t="s">
        <v>147</v>
      </c>
      <c r="E80" s="5" t="s">
        <v>183</v>
      </c>
      <c r="F80" s="9" t="s">
        <v>139</v>
      </c>
      <c r="G80" s="26">
        <f>G81</f>
        <v>50</v>
      </c>
      <c r="H80" s="175"/>
    </row>
    <row r="81" spans="1:9" ht="47.25" x14ac:dyDescent="0.25">
      <c r="A81" s="25" t="s">
        <v>140</v>
      </c>
      <c r="B81" s="16">
        <v>902</v>
      </c>
      <c r="C81" s="9" t="s">
        <v>125</v>
      </c>
      <c r="D81" s="9" t="s">
        <v>147</v>
      </c>
      <c r="E81" s="5" t="s">
        <v>183</v>
      </c>
      <c r="F81" s="9" t="s">
        <v>141</v>
      </c>
      <c r="G81" s="26">
        <v>50</v>
      </c>
      <c r="H81" s="175"/>
    </row>
    <row r="82" spans="1:9" ht="47.25" x14ac:dyDescent="0.25">
      <c r="A82" s="25" t="s">
        <v>184</v>
      </c>
      <c r="B82" s="16">
        <v>902</v>
      </c>
      <c r="C82" s="9" t="s">
        <v>125</v>
      </c>
      <c r="D82" s="9" t="s">
        <v>147</v>
      </c>
      <c r="E82" s="5" t="s">
        <v>185</v>
      </c>
      <c r="F82" s="9"/>
      <c r="G82" s="26">
        <f>G83</f>
        <v>15</v>
      </c>
      <c r="H82" s="175"/>
    </row>
    <row r="83" spans="1:9" ht="15.75" x14ac:dyDescent="0.25">
      <c r="A83" s="45" t="s">
        <v>186</v>
      </c>
      <c r="B83" s="16">
        <v>902</v>
      </c>
      <c r="C83" s="9" t="s">
        <v>125</v>
      </c>
      <c r="D83" s="9" t="s">
        <v>147</v>
      </c>
      <c r="E83" s="5" t="s">
        <v>187</v>
      </c>
      <c r="F83" s="9"/>
      <c r="G83" s="26">
        <f>G84</f>
        <v>15</v>
      </c>
      <c r="H83" s="175"/>
    </row>
    <row r="84" spans="1:9" ht="31.5" x14ac:dyDescent="0.25">
      <c r="A84" s="25" t="s">
        <v>138</v>
      </c>
      <c r="B84" s="16">
        <v>902</v>
      </c>
      <c r="C84" s="9" t="s">
        <v>125</v>
      </c>
      <c r="D84" s="9" t="s">
        <v>147</v>
      </c>
      <c r="E84" s="5" t="s">
        <v>187</v>
      </c>
      <c r="F84" s="9" t="s">
        <v>139</v>
      </c>
      <c r="G84" s="26">
        <f>G85</f>
        <v>15</v>
      </c>
      <c r="H84" s="175"/>
    </row>
    <row r="85" spans="1:9" ht="47.25" x14ac:dyDescent="0.25">
      <c r="A85" s="25" t="s">
        <v>140</v>
      </c>
      <c r="B85" s="16">
        <v>902</v>
      </c>
      <c r="C85" s="9" t="s">
        <v>125</v>
      </c>
      <c r="D85" s="9" t="s">
        <v>147</v>
      </c>
      <c r="E85" s="5" t="s">
        <v>187</v>
      </c>
      <c r="F85" s="9" t="s">
        <v>141</v>
      </c>
      <c r="G85" s="26">
        <v>15</v>
      </c>
      <c r="H85" s="175"/>
    </row>
    <row r="86" spans="1:9" ht="47.25" x14ac:dyDescent="0.25">
      <c r="A86" s="31" t="s">
        <v>188</v>
      </c>
      <c r="B86" s="16">
        <v>902</v>
      </c>
      <c r="C86" s="20" t="s">
        <v>125</v>
      </c>
      <c r="D86" s="20" t="s">
        <v>147</v>
      </c>
      <c r="E86" s="30" t="s">
        <v>189</v>
      </c>
      <c r="F86" s="32"/>
      <c r="G86" s="26">
        <f>G87</f>
        <v>120</v>
      </c>
      <c r="H86" s="175"/>
    </row>
    <row r="87" spans="1:9" ht="31.5" x14ac:dyDescent="0.25">
      <c r="A87" s="25" t="s">
        <v>164</v>
      </c>
      <c r="B87" s="16">
        <v>902</v>
      </c>
      <c r="C87" s="20" t="s">
        <v>125</v>
      </c>
      <c r="D87" s="20" t="s">
        <v>147</v>
      </c>
      <c r="E87" s="20" t="s">
        <v>190</v>
      </c>
      <c r="F87" s="32"/>
      <c r="G87" s="26">
        <f>G88</f>
        <v>120</v>
      </c>
      <c r="H87" s="175"/>
    </row>
    <row r="88" spans="1:9" ht="15.75" x14ac:dyDescent="0.25">
      <c r="A88" s="29" t="s">
        <v>142</v>
      </c>
      <c r="B88" s="16">
        <v>902</v>
      </c>
      <c r="C88" s="20" t="s">
        <v>125</v>
      </c>
      <c r="D88" s="20" t="s">
        <v>147</v>
      </c>
      <c r="E88" s="20" t="s">
        <v>190</v>
      </c>
      <c r="F88" s="32" t="s">
        <v>152</v>
      </c>
      <c r="G88" s="26">
        <f>G89</f>
        <v>120</v>
      </c>
      <c r="H88" s="175"/>
    </row>
    <row r="89" spans="1:9" ht="63" x14ac:dyDescent="0.25">
      <c r="A89" s="29" t="s">
        <v>191</v>
      </c>
      <c r="B89" s="16">
        <v>902</v>
      </c>
      <c r="C89" s="20" t="s">
        <v>125</v>
      </c>
      <c r="D89" s="20" t="s">
        <v>147</v>
      </c>
      <c r="E89" s="20" t="s">
        <v>190</v>
      </c>
      <c r="F89" s="32" t="s">
        <v>167</v>
      </c>
      <c r="G89" s="26">
        <f>100+20</f>
        <v>120</v>
      </c>
      <c r="H89" s="105"/>
      <c r="I89" s="125"/>
    </row>
    <row r="90" spans="1:9" ht="63" x14ac:dyDescent="0.25">
      <c r="A90" s="29" t="s">
        <v>717</v>
      </c>
      <c r="B90" s="16">
        <v>902</v>
      </c>
      <c r="C90" s="20" t="s">
        <v>125</v>
      </c>
      <c r="D90" s="20" t="s">
        <v>147</v>
      </c>
      <c r="E90" s="20" t="s">
        <v>715</v>
      </c>
      <c r="F90" s="32"/>
      <c r="G90" s="26">
        <f>G91</f>
        <v>29</v>
      </c>
      <c r="H90" s="107"/>
    </row>
    <row r="91" spans="1:9" ht="31.5" x14ac:dyDescent="0.25">
      <c r="A91" s="31" t="s">
        <v>164</v>
      </c>
      <c r="B91" s="16">
        <v>902</v>
      </c>
      <c r="C91" s="20" t="s">
        <v>125</v>
      </c>
      <c r="D91" s="20" t="s">
        <v>147</v>
      </c>
      <c r="E91" s="20" t="s">
        <v>723</v>
      </c>
      <c r="F91" s="32"/>
      <c r="G91" s="26">
        <f>G92</f>
        <v>29</v>
      </c>
      <c r="H91" s="107"/>
    </row>
    <row r="92" spans="1:9" ht="31.5" x14ac:dyDescent="0.25">
      <c r="A92" s="25" t="s">
        <v>138</v>
      </c>
      <c r="B92" s="16">
        <v>902</v>
      </c>
      <c r="C92" s="20" t="s">
        <v>125</v>
      </c>
      <c r="D92" s="20" t="s">
        <v>147</v>
      </c>
      <c r="E92" s="20" t="s">
        <v>723</v>
      </c>
      <c r="F92" s="32" t="s">
        <v>139</v>
      </c>
      <c r="G92" s="26">
        <f>G93</f>
        <v>29</v>
      </c>
      <c r="H92" s="107"/>
    </row>
    <row r="93" spans="1:9" ht="47.25" x14ac:dyDescent="0.25">
      <c r="A93" s="25" t="s">
        <v>140</v>
      </c>
      <c r="B93" s="16">
        <v>902</v>
      </c>
      <c r="C93" s="20" t="s">
        <v>125</v>
      </c>
      <c r="D93" s="20" t="s">
        <v>147</v>
      </c>
      <c r="E93" s="20" t="s">
        <v>723</v>
      </c>
      <c r="F93" s="32" t="s">
        <v>141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128</v>
      </c>
      <c r="B97" s="16">
        <v>902</v>
      </c>
      <c r="C97" s="20" t="s">
        <v>125</v>
      </c>
      <c r="D97" s="20" t="s">
        <v>147</v>
      </c>
      <c r="E97" s="20" t="s">
        <v>129</v>
      </c>
      <c r="F97" s="20"/>
      <c r="G97" s="26">
        <f>G98+G121</f>
        <v>12340.3</v>
      </c>
      <c r="H97" s="175"/>
    </row>
    <row r="98" spans="1:9" ht="31.5" x14ac:dyDescent="0.25">
      <c r="A98" s="25" t="s">
        <v>192</v>
      </c>
      <c r="B98" s="16">
        <v>902</v>
      </c>
      <c r="C98" s="20" t="s">
        <v>125</v>
      </c>
      <c r="D98" s="20" t="s">
        <v>147</v>
      </c>
      <c r="E98" s="20" t="s">
        <v>193</v>
      </c>
      <c r="F98" s="20"/>
      <c r="G98" s="26">
        <f>G104+G107+G113+G116</f>
        <v>3600.8999999999996</v>
      </c>
      <c r="H98" s="175"/>
    </row>
    <row r="99" spans="1:9" ht="47.25" hidden="1" x14ac:dyDescent="0.25">
      <c r="A99" s="25" t="s">
        <v>194</v>
      </c>
      <c r="B99" s="16">
        <v>902</v>
      </c>
      <c r="C99" s="20" t="s">
        <v>125</v>
      </c>
      <c r="D99" s="20" t="s">
        <v>147</v>
      </c>
      <c r="E99" s="20" t="s">
        <v>195</v>
      </c>
      <c r="F99" s="24"/>
      <c r="G99" s="26">
        <f>G100+G102</f>
        <v>0</v>
      </c>
      <c r="H99" s="175"/>
    </row>
    <row r="100" spans="1:9" ht="94.5" hidden="1" x14ac:dyDescent="0.25">
      <c r="A100" s="25" t="s">
        <v>134</v>
      </c>
      <c r="B100" s="16">
        <v>902</v>
      </c>
      <c r="C100" s="20" t="s">
        <v>125</v>
      </c>
      <c r="D100" s="20" t="s">
        <v>147</v>
      </c>
      <c r="E100" s="20" t="s">
        <v>195</v>
      </c>
      <c r="F100" s="20" t="s">
        <v>135</v>
      </c>
      <c r="G100" s="26">
        <f>G101</f>
        <v>0</v>
      </c>
      <c r="H100" s="175"/>
    </row>
    <row r="101" spans="1:9" ht="31.5" hidden="1" x14ac:dyDescent="0.25">
      <c r="A101" s="25" t="s">
        <v>136</v>
      </c>
      <c r="B101" s="16">
        <v>902</v>
      </c>
      <c r="C101" s="20" t="s">
        <v>125</v>
      </c>
      <c r="D101" s="20" t="s">
        <v>147</v>
      </c>
      <c r="E101" s="20" t="s">
        <v>195</v>
      </c>
      <c r="F101" s="20" t="s">
        <v>137</v>
      </c>
      <c r="G101" s="26">
        <v>0</v>
      </c>
      <c r="H101" s="175"/>
    </row>
    <row r="102" spans="1:9" ht="31.5" hidden="1" x14ac:dyDescent="0.25">
      <c r="A102" s="25" t="s">
        <v>138</v>
      </c>
      <c r="B102" s="16">
        <v>902</v>
      </c>
      <c r="C102" s="20" t="s">
        <v>125</v>
      </c>
      <c r="D102" s="20" t="s">
        <v>147</v>
      </c>
      <c r="E102" s="20" t="s">
        <v>195</v>
      </c>
      <c r="F102" s="20" t="s">
        <v>139</v>
      </c>
      <c r="G102" s="26">
        <f>G103</f>
        <v>0</v>
      </c>
      <c r="H102" s="175"/>
    </row>
    <row r="103" spans="1:9" ht="47.25" hidden="1" x14ac:dyDescent="0.25">
      <c r="A103" s="25" t="s">
        <v>140</v>
      </c>
      <c r="B103" s="16">
        <v>902</v>
      </c>
      <c r="C103" s="20" t="s">
        <v>125</v>
      </c>
      <c r="D103" s="20" t="s">
        <v>147</v>
      </c>
      <c r="E103" s="20" t="s">
        <v>195</v>
      </c>
      <c r="F103" s="20" t="s">
        <v>141</v>
      </c>
      <c r="G103" s="26">
        <v>0</v>
      </c>
      <c r="H103" s="175"/>
    </row>
    <row r="104" spans="1:9" ht="47.25" x14ac:dyDescent="0.25">
      <c r="A104" s="31" t="s">
        <v>196</v>
      </c>
      <c r="B104" s="16">
        <v>902</v>
      </c>
      <c r="C104" s="20" t="s">
        <v>125</v>
      </c>
      <c r="D104" s="20" t="s">
        <v>147</v>
      </c>
      <c r="E104" s="20" t="s">
        <v>197</v>
      </c>
      <c r="F104" s="20"/>
      <c r="G104" s="26">
        <f>G105</f>
        <v>701.8</v>
      </c>
      <c r="H104" s="175"/>
    </row>
    <row r="105" spans="1:9" ht="94.5" x14ac:dyDescent="0.25">
      <c r="A105" s="25" t="s">
        <v>134</v>
      </c>
      <c r="B105" s="16">
        <v>902</v>
      </c>
      <c r="C105" s="20" t="s">
        <v>125</v>
      </c>
      <c r="D105" s="20" t="s">
        <v>147</v>
      </c>
      <c r="E105" s="20" t="s">
        <v>197</v>
      </c>
      <c r="F105" s="20" t="s">
        <v>135</v>
      </c>
      <c r="G105" s="26">
        <f>G106</f>
        <v>701.8</v>
      </c>
      <c r="H105" s="175"/>
    </row>
    <row r="106" spans="1:9" ht="31.5" x14ac:dyDescent="0.25">
      <c r="A106" s="25" t="s">
        <v>136</v>
      </c>
      <c r="B106" s="16">
        <v>902</v>
      </c>
      <c r="C106" s="20" t="s">
        <v>125</v>
      </c>
      <c r="D106" s="20" t="s">
        <v>147</v>
      </c>
      <c r="E106" s="20" t="s">
        <v>197</v>
      </c>
      <c r="F106" s="20" t="s">
        <v>137</v>
      </c>
      <c r="G106" s="26">
        <v>701.8</v>
      </c>
      <c r="H106" s="175"/>
      <c r="I106" s="114"/>
    </row>
    <row r="107" spans="1:9" ht="47.25" x14ac:dyDescent="0.25">
      <c r="A107" s="33" t="s">
        <v>198</v>
      </c>
      <c r="B107" s="16">
        <v>902</v>
      </c>
      <c r="C107" s="20" t="s">
        <v>125</v>
      </c>
      <c r="D107" s="20" t="s">
        <v>147</v>
      </c>
      <c r="E107" s="20" t="s">
        <v>199</v>
      </c>
      <c r="F107" s="20"/>
      <c r="G107" s="26">
        <f>G108</f>
        <v>40</v>
      </c>
      <c r="H107" s="175"/>
    </row>
    <row r="108" spans="1:9" ht="31.5" x14ac:dyDescent="0.25">
      <c r="A108" s="25" t="s">
        <v>138</v>
      </c>
      <c r="B108" s="16">
        <v>902</v>
      </c>
      <c r="C108" s="20" t="s">
        <v>125</v>
      </c>
      <c r="D108" s="20" t="s">
        <v>147</v>
      </c>
      <c r="E108" s="20" t="s">
        <v>199</v>
      </c>
      <c r="F108" s="20" t="s">
        <v>139</v>
      </c>
      <c r="G108" s="26">
        <f>G109</f>
        <v>40</v>
      </c>
      <c r="H108" s="175"/>
    </row>
    <row r="109" spans="1:9" ht="47.25" x14ac:dyDescent="0.25">
      <c r="A109" s="25" t="s">
        <v>140</v>
      </c>
      <c r="B109" s="16">
        <v>902</v>
      </c>
      <c r="C109" s="20" t="s">
        <v>125</v>
      </c>
      <c r="D109" s="20" t="s">
        <v>147</v>
      </c>
      <c r="E109" s="20" t="s">
        <v>199</v>
      </c>
      <c r="F109" s="20" t="s">
        <v>141</v>
      </c>
      <c r="G109" s="26">
        <f>36+4</f>
        <v>40</v>
      </c>
      <c r="H109" s="175"/>
      <c r="I109" s="114"/>
    </row>
    <row r="110" spans="1:9" ht="31.5" hidden="1" x14ac:dyDescent="0.25">
      <c r="A110" s="31" t="s">
        <v>200</v>
      </c>
      <c r="B110" s="16">
        <v>902</v>
      </c>
      <c r="C110" s="20" t="s">
        <v>125</v>
      </c>
      <c r="D110" s="20" t="s">
        <v>147</v>
      </c>
      <c r="E110" s="20" t="s">
        <v>199</v>
      </c>
      <c r="F110" s="20"/>
      <c r="G110" s="26">
        <f>G111</f>
        <v>0</v>
      </c>
      <c r="H110" s="175"/>
    </row>
    <row r="111" spans="1:9" ht="31.5" hidden="1" x14ac:dyDescent="0.25">
      <c r="A111" s="25" t="s">
        <v>138</v>
      </c>
      <c r="B111" s="16">
        <v>902</v>
      </c>
      <c r="C111" s="20" t="s">
        <v>125</v>
      </c>
      <c r="D111" s="20" t="s">
        <v>147</v>
      </c>
      <c r="E111" s="20" t="s">
        <v>199</v>
      </c>
      <c r="F111" s="20" t="s">
        <v>139</v>
      </c>
      <c r="G111" s="26">
        <f>G112</f>
        <v>0</v>
      </c>
      <c r="H111" s="175"/>
    </row>
    <row r="112" spans="1:9" ht="47.25" hidden="1" x14ac:dyDescent="0.25">
      <c r="A112" s="25" t="s">
        <v>140</v>
      </c>
      <c r="B112" s="16">
        <v>902</v>
      </c>
      <c r="C112" s="20" t="s">
        <v>125</v>
      </c>
      <c r="D112" s="20" t="s">
        <v>147</v>
      </c>
      <c r="E112" s="20" t="s">
        <v>199</v>
      </c>
      <c r="F112" s="20" t="s">
        <v>141</v>
      </c>
      <c r="G112" s="26"/>
      <c r="H112" s="175"/>
    </row>
    <row r="113" spans="1:9" ht="63" x14ac:dyDescent="0.25">
      <c r="A113" s="31" t="s">
        <v>201</v>
      </c>
      <c r="B113" s="16">
        <v>902</v>
      </c>
      <c r="C113" s="20" t="s">
        <v>125</v>
      </c>
      <c r="D113" s="20" t="s">
        <v>147</v>
      </c>
      <c r="E113" s="20" t="s">
        <v>202</v>
      </c>
      <c r="F113" s="20"/>
      <c r="G113" s="26">
        <f>G114</f>
        <v>1752.9</v>
      </c>
      <c r="H113" s="175"/>
    </row>
    <row r="114" spans="1:9" ht="94.5" x14ac:dyDescent="0.25">
      <c r="A114" s="25" t="s">
        <v>134</v>
      </c>
      <c r="B114" s="16">
        <v>902</v>
      </c>
      <c r="C114" s="20" t="s">
        <v>125</v>
      </c>
      <c r="D114" s="20" t="s">
        <v>147</v>
      </c>
      <c r="E114" s="20" t="s">
        <v>202</v>
      </c>
      <c r="F114" s="20" t="s">
        <v>135</v>
      </c>
      <c r="G114" s="26">
        <f>G115</f>
        <v>1752.9</v>
      </c>
      <c r="H114" s="175"/>
    </row>
    <row r="115" spans="1:9" ht="31.5" x14ac:dyDescent="0.25">
      <c r="A115" s="25" t="s">
        <v>136</v>
      </c>
      <c r="B115" s="16">
        <v>902</v>
      </c>
      <c r="C115" s="20" t="s">
        <v>125</v>
      </c>
      <c r="D115" s="20" t="s">
        <v>147</v>
      </c>
      <c r="E115" s="20" t="s">
        <v>202</v>
      </c>
      <c r="F115" s="20" t="s">
        <v>137</v>
      </c>
      <c r="G115" s="26">
        <v>1752.9</v>
      </c>
      <c r="H115" s="175"/>
    </row>
    <row r="116" spans="1:9" ht="47.25" x14ac:dyDescent="0.25">
      <c r="A116" s="31" t="s">
        <v>203</v>
      </c>
      <c r="B116" s="16">
        <v>902</v>
      </c>
      <c r="C116" s="20" t="s">
        <v>125</v>
      </c>
      <c r="D116" s="20" t="s">
        <v>147</v>
      </c>
      <c r="E116" s="20" t="s">
        <v>204</v>
      </c>
      <c r="F116" s="20"/>
      <c r="G116" s="26">
        <f>G117+G119</f>
        <v>1106.1999999999998</v>
      </c>
      <c r="H116" s="175"/>
    </row>
    <row r="117" spans="1:9" ht="94.5" x14ac:dyDescent="0.25">
      <c r="A117" s="25" t="s">
        <v>134</v>
      </c>
      <c r="B117" s="16">
        <v>902</v>
      </c>
      <c r="C117" s="20" t="s">
        <v>125</v>
      </c>
      <c r="D117" s="20" t="s">
        <v>147</v>
      </c>
      <c r="E117" s="20" t="s">
        <v>204</v>
      </c>
      <c r="F117" s="20" t="s">
        <v>135</v>
      </c>
      <c r="G117" s="26">
        <f>G118</f>
        <v>1073.0999999999999</v>
      </c>
      <c r="H117" s="175"/>
    </row>
    <row r="118" spans="1:9" ht="31.5" x14ac:dyDescent="0.25">
      <c r="A118" s="25" t="s">
        <v>136</v>
      </c>
      <c r="B118" s="16">
        <v>902</v>
      </c>
      <c r="C118" s="20" t="s">
        <v>125</v>
      </c>
      <c r="D118" s="20" t="s">
        <v>147</v>
      </c>
      <c r="E118" s="20" t="s">
        <v>204</v>
      </c>
      <c r="F118" s="20" t="s">
        <v>137</v>
      </c>
      <c r="G118" s="26">
        <f>1537-463.9</f>
        <v>1073.0999999999999</v>
      </c>
      <c r="H118" s="175"/>
      <c r="I118" s="114"/>
    </row>
    <row r="119" spans="1:9" ht="47.25" x14ac:dyDescent="0.25">
      <c r="A119" s="25" t="s">
        <v>205</v>
      </c>
      <c r="B119" s="16">
        <v>902</v>
      </c>
      <c r="C119" s="20" t="s">
        <v>125</v>
      </c>
      <c r="D119" s="20" t="s">
        <v>147</v>
      </c>
      <c r="E119" s="20" t="s">
        <v>204</v>
      </c>
      <c r="F119" s="20" t="s">
        <v>139</v>
      </c>
      <c r="G119" s="26">
        <f>G120</f>
        <v>33.1</v>
      </c>
      <c r="H119" s="175"/>
    </row>
    <row r="120" spans="1:9" ht="47.25" x14ac:dyDescent="0.25">
      <c r="A120" s="25" t="s">
        <v>140</v>
      </c>
      <c r="B120" s="16">
        <v>902</v>
      </c>
      <c r="C120" s="20" t="s">
        <v>125</v>
      </c>
      <c r="D120" s="20" t="s">
        <v>147</v>
      </c>
      <c r="E120" s="20" t="s">
        <v>204</v>
      </c>
      <c r="F120" s="20" t="s">
        <v>141</v>
      </c>
      <c r="G120" s="26">
        <v>33.1</v>
      </c>
      <c r="H120" s="175"/>
    </row>
    <row r="121" spans="1:9" ht="15.75" x14ac:dyDescent="0.25">
      <c r="A121" s="25" t="s">
        <v>148</v>
      </c>
      <c r="B121" s="16">
        <v>902</v>
      </c>
      <c r="C121" s="20" t="s">
        <v>125</v>
      </c>
      <c r="D121" s="20" t="s">
        <v>147</v>
      </c>
      <c r="E121" s="20" t="s">
        <v>149</v>
      </c>
      <c r="F121" s="20"/>
      <c r="G121" s="26">
        <f>G134+G139+G144</f>
        <v>8739.4</v>
      </c>
      <c r="H121" s="175"/>
    </row>
    <row r="122" spans="1:9" ht="15.75" hidden="1" x14ac:dyDescent="0.25">
      <c r="A122" s="25" t="s">
        <v>206</v>
      </c>
      <c r="B122" s="16">
        <v>902</v>
      </c>
      <c r="C122" s="20" t="s">
        <v>125</v>
      </c>
      <c r="D122" s="20" t="s">
        <v>147</v>
      </c>
      <c r="E122" s="20" t="s">
        <v>207</v>
      </c>
      <c r="F122" s="20"/>
      <c r="G122" s="26">
        <f>G123</f>
        <v>0</v>
      </c>
      <c r="H122" s="175"/>
    </row>
    <row r="123" spans="1:9" ht="33" hidden="1" customHeight="1" x14ac:dyDescent="0.25">
      <c r="A123" s="25" t="s">
        <v>205</v>
      </c>
      <c r="B123" s="16">
        <v>902</v>
      </c>
      <c r="C123" s="20" t="s">
        <v>125</v>
      </c>
      <c r="D123" s="20" t="s">
        <v>147</v>
      </c>
      <c r="E123" s="20" t="s">
        <v>207</v>
      </c>
      <c r="F123" s="20" t="s">
        <v>139</v>
      </c>
      <c r="G123" s="26">
        <f>G124</f>
        <v>0</v>
      </c>
      <c r="H123" s="175"/>
    </row>
    <row r="124" spans="1:9" ht="47.25" hidden="1" x14ac:dyDescent="0.25">
      <c r="A124" s="25" t="s">
        <v>140</v>
      </c>
      <c r="B124" s="16">
        <v>902</v>
      </c>
      <c r="C124" s="20" t="s">
        <v>125</v>
      </c>
      <c r="D124" s="20" t="s">
        <v>147</v>
      </c>
      <c r="E124" s="20" t="s">
        <v>207</v>
      </c>
      <c r="F124" s="20" t="s">
        <v>141</v>
      </c>
      <c r="G124" s="26">
        <v>0</v>
      </c>
      <c r="H124" s="175"/>
    </row>
    <row r="125" spans="1:9" ht="15.75" hidden="1" x14ac:dyDescent="0.25">
      <c r="A125" s="25" t="s">
        <v>208</v>
      </c>
      <c r="B125" s="16">
        <v>902</v>
      </c>
      <c r="C125" s="20" t="s">
        <v>125</v>
      </c>
      <c r="D125" s="20" t="s">
        <v>147</v>
      </c>
      <c r="E125" s="20" t="s">
        <v>209</v>
      </c>
      <c r="F125" s="24"/>
      <c r="G125" s="26">
        <f>G126</f>
        <v>0</v>
      </c>
      <c r="H125" s="175"/>
    </row>
    <row r="126" spans="1:9" ht="47.25" hidden="1" x14ac:dyDescent="0.25">
      <c r="A126" s="25" t="s">
        <v>205</v>
      </c>
      <c r="B126" s="16">
        <v>902</v>
      </c>
      <c r="C126" s="20" t="s">
        <v>125</v>
      </c>
      <c r="D126" s="20" t="s">
        <v>147</v>
      </c>
      <c r="E126" s="20" t="s">
        <v>209</v>
      </c>
      <c r="F126" s="20" t="s">
        <v>139</v>
      </c>
      <c r="G126" s="26">
        <f>G127</f>
        <v>0</v>
      </c>
      <c r="H126" s="175"/>
    </row>
    <row r="127" spans="1:9" ht="47.25" hidden="1" x14ac:dyDescent="0.25">
      <c r="A127" s="25" t="s">
        <v>140</v>
      </c>
      <c r="B127" s="16">
        <v>902</v>
      </c>
      <c r="C127" s="20" t="s">
        <v>125</v>
      </c>
      <c r="D127" s="20" t="s">
        <v>147</v>
      </c>
      <c r="E127" s="20" t="s">
        <v>209</v>
      </c>
      <c r="F127" s="20" t="s">
        <v>141</v>
      </c>
      <c r="G127" s="26">
        <v>0</v>
      </c>
      <c r="H127" s="175"/>
    </row>
    <row r="128" spans="1:9" ht="31.5" hidden="1" x14ac:dyDescent="0.25">
      <c r="A128" s="25" t="s">
        <v>210</v>
      </c>
      <c r="B128" s="16">
        <v>902</v>
      </c>
      <c r="C128" s="20" t="s">
        <v>125</v>
      </c>
      <c r="D128" s="20" t="s">
        <v>147</v>
      </c>
      <c r="E128" s="20" t="s">
        <v>211</v>
      </c>
      <c r="F128" s="20"/>
      <c r="G128" s="26">
        <f>G129</f>
        <v>0</v>
      </c>
      <c r="H128" s="175"/>
    </row>
    <row r="129" spans="1:9" ht="47.25" hidden="1" x14ac:dyDescent="0.25">
      <c r="A129" s="25" t="s">
        <v>205</v>
      </c>
      <c r="B129" s="16">
        <v>902</v>
      </c>
      <c r="C129" s="20" t="s">
        <v>125</v>
      </c>
      <c r="D129" s="20" t="s">
        <v>147</v>
      </c>
      <c r="E129" s="20" t="s">
        <v>211</v>
      </c>
      <c r="F129" s="20" t="s">
        <v>139</v>
      </c>
      <c r="G129" s="26">
        <f>G130</f>
        <v>0</v>
      </c>
      <c r="H129" s="175"/>
    </row>
    <row r="130" spans="1:9" ht="47.25" hidden="1" x14ac:dyDescent="0.25">
      <c r="A130" s="25" t="s">
        <v>140</v>
      </c>
      <c r="B130" s="16">
        <v>902</v>
      </c>
      <c r="C130" s="20" t="s">
        <v>125</v>
      </c>
      <c r="D130" s="20" t="s">
        <v>147</v>
      </c>
      <c r="E130" s="20" t="s">
        <v>211</v>
      </c>
      <c r="F130" s="20" t="s">
        <v>141</v>
      </c>
      <c r="G130" s="26">
        <v>0</v>
      </c>
      <c r="H130" s="175"/>
    </row>
    <row r="131" spans="1:9" ht="15.75" hidden="1" x14ac:dyDescent="0.25">
      <c r="A131" s="25" t="s">
        <v>186</v>
      </c>
      <c r="B131" s="16">
        <v>902</v>
      </c>
      <c r="C131" s="20" t="s">
        <v>125</v>
      </c>
      <c r="D131" s="20" t="s">
        <v>147</v>
      </c>
      <c r="E131" s="20" t="s">
        <v>212</v>
      </c>
      <c r="F131" s="20"/>
      <c r="G131" s="26">
        <f>G132</f>
        <v>0</v>
      </c>
      <c r="H131" s="175"/>
    </row>
    <row r="132" spans="1:9" ht="47.25" hidden="1" x14ac:dyDescent="0.25">
      <c r="A132" s="25" t="s">
        <v>205</v>
      </c>
      <c r="B132" s="16">
        <v>902</v>
      </c>
      <c r="C132" s="20" t="s">
        <v>125</v>
      </c>
      <c r="D132" s="20" t="s">
        <v>147</v>
      </c>
      <c r="E132" s="20" t="s">
        <v>212</v>
      </c>
      <c r="F132" s="20" t="s">
        <v>139</v>
      </c>
      <c r="G132" s="26">
        <f>G133</f>
        <v>0</v>
      </c>
      <c r="H132" s="175"/>
    </row>
    <row r="133" spans="1:9" ht="47.25" hidden="1" x14ac:dyDescent="0.25">
      <c r="A133" s="25" t="s">
        <v>140</v>
      </c>
      <c r="B133" s="16">
        <v>902</v>
      </c>
      <c r="C133" s="20" t="s">
        <v>125</v>
      </c>
      <c r="D133" s="20" t="s">
        <v>147</v>
      </c>
      <c r="E133" s="20" t="s">
        <v>212</v>
      </c>
      <c r="F133" s="20" t="s">
        <v>141</v>
      </c>
      <c r="G133" s="26">
        <v>0</v>
      </c>
      <c r="H133" s="175"/>
    </row>
    <row r="134" spans="1:9" ht="31.5" x14ac:dyDescent="0.25">
      <c r="A134" s="25" t="s">
        <v>213</v>
      </c>
      <c r="B134" s="16">
        <v>902</v>
      </c>
      <c r="C134" s="20" t="s">
        <v>125</v>
      </c>
      <c r="D134" s="20" t="s">
        <v>147</v>
      </c>
      <c r="E134" s="20" t="s">
        <v>214</v>
      </c>
      <c r="F134" s="20"/>
      <c r="G134" s="26">
        <f>G135+G137</f>
        <v>6126.7</v>
      </c>
      <c r="H134" s="175"/>
    </row>
    <row r="135" spans="1:9" ht="94.5" x14ac:dyDescent="0.25">
      <c r="A135" s="25" t="s">
        <v>134</v>
      </c>
      <c r="B135" s="16">
        <v>902</v>
      </c>
      <c r="C135" s="20" t="s">
        <v>125</v>
      </c>
      <c r="D135" s="20" t="s">
        <v>147</v>
      </c>
      <c r="E135" s="20" t="s">
        <v>214</v>
      </c>
      <c r="F135" s="20" t="s">
        <v>135</v>
      </c>
      <c r="G135" s="26">
        <f>G136</f>
        <v>4952</v>
      </c>
      <c r="H135" s="175"/>
    </row>
    <row r="136" spans="1:9" ht="31.5" x14ac:dyDescent="0.25">
      <c r="A136" s="25" t="s">
        <v>215</v>
      </c>
      <c r="B136" s="16">
        <v>902</v>
      </c>
      <c r="C136" s="20" t="s">
        <v>125</v>
      </c>
      <c r="D136" s="20" t="s">
        <v>147</v>
      </c>
      <c r="E136" s="20" t="s">
        <v>214</v>
      </c>
      <c r="F136" s="20" t="s">
        <v>216</v>
      </c>
      <c r="G136" s="27">
        <f>5174.7-222.7</f>
        <v>4952</v>
      </c>
      <c r="H136" s="175"/>
    </row>
    <row r="137" spans="1:9" ht="47.25" x14ac:dyDescent="0.25">
      <c r="A137" s="25" t="s">
        <v>205</v>
      </c>
      <c r="B137" s="16">
        <v>902</v>
      </c>
      <c r="C137" s="20" t="s">
        <v>125</v>
      </c>
      <c r="D137" s="20" t="s">
        <v>147</v>
      </c>
      <c r="E137" s="20" t="s">
        <v>214</v>
      </c>
      <c r="F137" s="20" t="s">
        <v>139</v>
      </c>
      <c r="G137" s="26">
        <f>G138</f>
        <v>1174.7</v>
      </c>
      <c r="H137" s="175"/>
    </row>
    <row r="138" spans="1:9" ht="47.25" x14ac:dyDescent="0.25">
      <c r="A138" s="25" t="s">
        <v>140</v>
      </c>
      <c r="B138" s="16">
        <v>902</v>
      </c>
      <c r="C138" s="20" t="s">
        <v>125</v>
      </c>
      <c r="D138" s="20" t="s">
        <v>147</v>
      </c>
      <c r="E138" s="20" t="s">
        <v>214</v>
      </c>
      <c r="F138" s="20" t="s">
        <v>141</v>
      </c>
      <c r="G138" s="27">
        <f>724.7+450</f>
        <v>1174.7</v>
      </c>
      <c r="H138" s="175"/>
      <c r="I138" s="114"/>
    </row>
    <row r="139" spans="1:9" ht="47.25" x14ac:dyDescent="0.25">
      <c r="A139" s="25" t="s">
        <v>217</v>
      </c>
      <c r="B139" s="16">
        <v>902</v>
      </c>
      <c r="C139" s="20" t="s">
        <v>125</v>
      </c>
      <c r="D139" s="20" t="s">
        <v>147</v>
      </c>
      <c r="E139" s="20" t="s">
        <v>218</v>
      </c>
      <c r="F139" s="20"/>
      <c r="G139" s="26">
        <f>G140+G142</f>
        <v>2520.4</v>
      </c>
      <c r="H139" s="175"/>
    </row>
    <row r="140" spans="1:9" ht="94.5" x14ac:dyDescent="0.25">
      <c r="A140" s="25" t="s">
        <v>134</v>
      </c>
      <c r="B140" s="16">
        <v>902</v>
      </c>
      <c r="C140" s="20" t="s">
        <v>125</v>
      </c>
      <c r="D140" s="20" t="s">
        <v>147</v>
      </c>
      <c r="E140" s="20" t="s">
        <v>218</v>
      </c>
      <c r="F140" s="20" t="s">
        <v>135</v>
      </c>
      <c r="G140" s="26">
        <f>G141</f>
        <v>1895</v>
      </c>
      <c r="H140" s="175"/>
    </row>
    <row r="141" spans="1:9" ht="31.5" x14ac:dyDescent="0.25">
      <c r="A141" s="25" t="s">
        <v>136</v>
      </c>
      <c r="B141" s="16">
        <v>902</v>
      </c>
      <c r="C141" s="20" t="s">
        <v>125</v>
      </c>
      <c r="D141" s="20" t="s">
        <v>147</v>
      </c>
      <c r="E141" s="20" t="s">
        <v>218</v>
      </c>
      <c r="F141" s="20" t="s">
        <v>137</v>
      </c>
      <c r="G141" s="27">
        <f>1952.2-57.2</f>
        <v>1895</v>
      </c>
      <c r="H141" s="175"/>
      <c r="I141" s="114"/>
    </row>
    <row r="142" spans="1:9" ht="47.25" x14ac:dyDescent="0.25">
      <c r="A142" s="25" t="s">
        <v>205</v>
      </c>
      <c r="B142" s="16">
        <v>902</v>
      </c>
      <c r="C142" s="20" t="s">
        <v>125</v>
      </c>
      <c r="D142" s="20" t="s">
        <v>147</v>
      </c>
      <c r="E142" s="20" t="s">
        <v>218</v>
      </c>
      <c r="F142" s="20" t="s">
        <v>139</v>
      </c>
      <c r="G142" s="26">
        <f>G143</f>
        <v>625.4</v>
      </c>
      <c r="H142" s="175"/>
    </row>
    <row r="143" spans="1:9" ht="47.25" x14ac:dyDescent="0.25">
      <c r="A143" s="25" t="s">
        <v>140</v>
      </c>
      <c r="B143" s="16">
        <v>902</v>
      </c>
      <c r="C143" s="20" t="s">
        <v>125</v>
      </c>
      <c r="D143" s="20" t="s">
        <v>147</v>
      </c>
      <c r="E143" s="20" t="s">
        <v>218</v>
      </c>
      <c r="F143" s="20" t="s">
        <v>141</v>
      </c>
      <c r="G143" s="26">
        <f>821.9-196.5</f>
        <v>625.4</v>
      </c>
      <c r="H143" s="175"/>
    </row>
    <row r="144" spans="1:9" ht="15.75" x14ac:dyDescent="0.25">
      <c r="A144" s="45" t="s">
        <v>150</v>
      </c>
      <c r="B144" s="16">
        <v>902</v>
      </c>
      <c r="C144" s="20" t="s">
        <v>125</v>
      </c>
      <c r="D144" s="20" t="s">
        <v>147</v>
      </c>
      <c r="E144" s="20" t="s">
        <v>151</v>
      </c>
      <c r="F144" s="20"/>
      <c r="G144" s="26">
        <f>G145</f>
        <v>92.3</v>
      </c>
      <c r="H144" s="175"/>
    </row>
    <row r="145" spans="1:8" ht="15.75" x14ac:dyDescent="0.25">
      <c r="A145" s="25" t="s">
        <v>142</v>
      </c>
      <c r="B145" s="16">
        <v>902</v>
      </c>
      <c r="C145" s="20" t="s">
        <v>125</v>
      </c>
      <c r="D145" s="20" t="s">
        <v>147</v>
      </c>
      <c r="E145" s="20" t="s">
        <v>151</v>
      </c>
      <c r="F145" s="20" t="s">
        <v>152</v>
      </c>
      <c r="G145" s="26">
        <f>G146</f>
        <v>92.3</v>
      </c>
      <c r="H145" s="175"/>
    </row>
    <row r="146" spans="1:8" ht="15.75" x14ac:dyDescent="0.25">
      <c r="A146" s="25" t="s">
        <v>153</v>
      </c>
      <c r="B146" s="16">
        <v>902</v>
      </c>
      <c r="C146" s="20" t="s">
        <v>125</v>
      </c>
      <c r="D146" s="20" t="s">
        <v>147</v>
      </c>
      <c r="E146" s="20" t="s">
        <v>151</v>
      </c>
      <c r="F146" s="20" t="s">
        <v>154</v>
      </c>
      <c r="G146" s="26">
        <v>92.3</v>
      </c>
      <c r="H146" s="105"/>
    </row>
    <row r="147" spans="1:8" ht="15.75" hidden="1" x14ac:dyDescent="0.25">
      <c r="A147" s="23" t="s">
        <v>219</v>
      </c>
      <c r="B147" s="19">
        <v>902</v>
      </c>
      <c r="C147" s="24" t="s">
        <v>220</v>
      </c>
      <c r="D147" s="24"/>
      <c r="E147" s="24"/>
      <c r="F147" s="24"/>
      <c r="G147" s="21">
        <f>G148+G154</f>
        <v>0</v>
      </c>
      <c r="H147" s="175"/>
    </row>
    <row r="148" spans="1:8" ht="31.5" hidden="1" x14ac:dyDescent="0.25">
      <c r="A148" s="23" t="s">
        <v>221</v>
      </c>
      <c r="B148" s="19">
        <v>902</v>
      </c>
      <c r="C148" s="24" t="s">
        <v>220</v>
      </c>
      <c r="D148" s="24" t="s">
        <v>222</v>
      </c>
      <c r="E148" s="24"/>
      <c r="F148" s="24"/>
      <c r="G148" s="21">
        <f>G149</f>
        <v>0</v>
      </c>
      <c r="H148" s="175"/>
    </row>
    <row r="149" spans="1:8" ht="15.75" hidden="1" x14ac:dyDescent="0.25">
      <c r="A149" s="25" t="s">
        <v>128</v>
      </c>
      <c r="B149" s="16">
        <v>902</v>
      </c>
      <c r="C149" s="20" t="s">
        <v>220</v>
      </c>
      <c r="D149" s="20" t="s">
        <v>222</v>
      </c>
      <c r="E149" s="20" t="s">
        <v>129</v>
      </c>
      <c r="F149" s="20"/>
      <c r="G149" s="26">
        <f>G150</f>
        <v>0</v>
      </c>
      <c r="H149" s="175"/>
    </row>
    <row r="150" spans="1:8" ht="31.5" hidden="1" x14ac:dyDescent="0.25">
      <c r="A150" s="25" t="s">
        <v>192</v>
      </c>
      <c r="B150" s="16">
        <v>902</v>
      </c>
      <c r="C150" s="20" t="s">
        <v>220</v>
      </c>
      <c r="D150" s="20" t="s">
        <v>222</v>
      </c>
      <c r="E150" s="20" t="s">
        <v>193</v>
      </c>
      <c r="F150" s="20"/>
      <c r="G150" s="26">
        <f>G151</f>
        <v>0</v>
      </c>
      <c r="H150" s="175"/>
    </row>
    <row r="151" spans="1:8" ht="47.25" hidden="1" x14ac:dyDescent="0.25">
      <c r="A151" s="25" t="s">
        <v>223</v>
      </c>
      <c r="B151" s="16">
        <v>902</v>
      </c>
      <c r="C151" s="20" t="s">
        <v>220</v>
      </c>
      <c r="D151" s="20" t="s">
        <v>222</v>
      </c>
      <c r="E151" s="20" t="s">
        <v>224</v>
      </c>
      <c r="F151" s="20"/>
      <c r="G151" s="26">
        <f>G152</f>
        <v>0</v>
      </c>
      <c r="H151" s="175"/>
    </row>
    <row r="152" spans="1:8" ht="94.5" hidden="1" x14ac:dyDescent="0.25">
      <c r="A152" s="25" t="s">
        <v>134</v>
      </c>
      <c r="B152" s="16">
        <v>902</v>
      </c>
      <c r="C152" s="20" t="s">
        <v>220</v>
      </c>
      <c r="D152" s="20" t="s">
        <v>222</v>
      </c>
      <c r="E152" s="20" t="s">
        <v>224</v>
      </c>
      <c r="F152" s="20" t="s">
        <v>135</v>
      </c>
      <c r="G152" s="26">
        <f>G153</f>
        <v>0</v>
      </c>
      <c r="H152" s="175"/>
    </row>
    <row r="153" spans="1:8" ht="31.5" hidden="1" x14ac:dyDescent="0.25">
      <c r="A153" s="25" t="s">
        <v>136</v>
      </c>
      <c r="B153" s="16">
        <v>902</v>
      </c>
      <c r="C153" s="20" t="s">
        <v>220</v>
      </c>
      <c r="D153" s="20" t="s">
        <v>222</v>
      </c>
      <c r="E153" s="20" t="s">
        <v>224</v>
      </c>
      <c r="F153" s="20" t="s">
        <v>137</v>
      </c>
      <c r="G153" s="27"/>
      <c r="H153" s="175"/>
    </row>
    <row r="154" spans="1:8" ht="31.5" hidden="1" x14ac:dyDescent="0.25">
      <c r="A154" s="23" t="s">
        <v>225</v>
      </c>
      <c r="B154" s="19">
        <v>902</v>
      </c>
      <c r="C154" s="24" t="s">
        <v>220</v>
      </c>
      <c r="D154" s="24" t="s">
        <v>226</v>
      </c>
      <c r="E154" s="24"/>
      <c r="F154" s="24"/>
      <c r="G154" s="26">
        <f>G155</f>
        <v>0</v>
      </c>
      <c r="H154" s="175"/>
    </row>
    <row r="155" spans="1:8" ht="15.75" hidden="1" x14ac:dyDescent="0.25">
      <c r="A155" s="25" t="s">
        <v>128</v>
      </c>
      <c r="B155" s="16">
        <v>902</v>
      </c>
      <c r="C155" s="20" t="s">
        <v>220</v>
      </c>
      <c r="D155" s="20" t="s">
        <v>226</v>
      </c>
      <c r="E155" s="20" t="s">
        <v>129</v>
      </c>
      <c r="F155" s="20"/>
      <c r="G155" s="26">
        <f>G156</f>
        <v>0</v>
      </c>
      <c r="H155" s="175"/>
    </row>
    <row r="156" spans="1:8" ht="31.5" hidden="1" x14ac:dyDescent="0.25">
      <c r="A156" s="25" t="s">
        <v>227</v>
      </c>
      <c r="B156" s="16">
        <v>902</v>
      </c>
      <c r="C156" s="20" t="s">
        <v>220</v>
      </c>
      <c r="D156" s="20" t="s">
        <v>226</v>
      </c>
      <c r="E156" s="20" t="s">
        <v>228</v>
      </c>
      <c r="F156" s="20"/>
      <c r="G156" s="26">
        <f>G157</f>
        <v>0</v>
      </c>
      <c r="H156" s="175"/>
    </row>
    <row r="157" spans="1:8" ht="47.25" hidden="1" x14ac:dyDescent="0.25">
      <c r="A157" s="25" t="s">
        <v>205</v>
      </c>
      <c r="B157" s="16">
        <v>902</v>
      </c>
      <c r="C157" s="20" t="s">
        <v>220</v>
      </c>
      <c r="D157" s="20" t="s">
        <v>226</v>
      </c>
      <c r="E157" s="20" t="s">
        <v>228</v>
      </c>
      <c r="F157" s="20" t="s">
        <v>139</v>
      </c>
      <c r="G157" s="26">
        <f>G158</f>
        <v>0</v>
      </c>
      <c r="H157" s="175"/>
    </row>
    <row r="158" spans="1:8" ht="47.25" hidden="1" x14ac:dyDescent="0.25">
      <c r="A158" s="25" t="s">
        <v>140</v>
      </c>
      <c r="B158" s="16">
        <v>902</v>
      </c>
      <c r="C158" s="20" t="s">
        <v>220</v>
      </c>
      <c r="D158" s="20" t="s">
        <v>226</v>
      </c>
      <c r="E158" s="20" t="s">
        <v>228</v>
      </c>
      <c r="F158" s="20" t="s">
        <v>141</v>
      </c>
      <c r="G158" s="26">
        <v>0</v>
      </c>
      <c r="H158" s="175"/>
    </row>
    <row r="159" spans="1:8" ht="31.5" x14ac:dyDescent="0.25">
      <c r="A159" s="23" t="s">
        <v>229</v>
      </c>
      <c r="B159" s="19">
        <v>902</v>
      </c>
      <c r="C159" s="24" t="s">
        <v>222</v>
      </c>
      <c r="D159" s="24"/>
      <c r="E159" s="24"/>
      <c r="F159" s="24"/>
      <c r="G159" s="21">
        <f>G160</f>
        <v>7159.4000000000005</v>
      </c>
      <c r="H159" s="175"/>
    </row>
    <row r="160" spans="1:8" ht="63" x14ac:dyDescent="0.25">
      <c r="A160" s="23" t="s">
        <v>230</v>
      </c>
      <c r="B160" s="19">
        <v>902</v>
      </c>
      <c r="C160" s="24" t="s">
        <v>222</v>
      </c>
      <c r="D160" s="24" t="s">
        <v>226</v>
      </c>
      <c r="E160" s="20"/>
      <c r="F160" s="20"/>
      <c r="G160" s="21">
        <f>G161</f>
        <v>7159.4000000000005</v>
      </c>
      <c r="H160" s="175"/>
    </row>
    <row r="161" spans="1:9" ht="15.75" x14ac:dyDescent="0.25">
      <c r="A161" s="25" t="s">
        <v>128</v>
      </c>
      <c r="B161" s="16">
        <v>902</v>
      </c>
      <c r="C161" s="20" t="s">
        <v>222</v>
      </c>
      <c r="D161" s="20" t="s">
        <v>226</v>
      </c>
      <c r="E161" s="20" t="s">
        <v>129</v>
      </c>
      <c r="F161" s="20"/>
      <c r="G161" s="26">
        <f>G162</f>
        <v>7159.4000000000005</v>
      </c>
      <c r="H161" s="175"/>
    </row>
    <row r="162" spans="1:9" ht="15.75" x14ac:dyDescent="0.25">
      <c r="A162" s="25" t="s">
        <v>148</v>
      </c>
      <c r="B162" s="16">
        <v>902</v>
      </c>
      <c r="C162" s="20" t="s">
        <v>222</v>
      </c>
      <c r="D162" s="20" t="s">
        <v>226</v>
      </c>
      <c r="E162" s="20" t="s">
        <v>149</v>
      </c>
      <c r="F162" s="20"/>
      <c r="G162" s="26">
        <f>G163+G169+G174</f>
        <v>7159.4000000000005</v>
      </c>
      <c r="H162" s="175"/>
    </row>
    <row r="163" spans="1:9" ht="47.25" x14ac:dyDescent="0.25">
      <c r="A163" s="25" t="s">
        <v>231</v>
      </c>
      <c r="B163" s="16">
        <v>902</v>
      </c>
      <c r="C163" s="20" t="s">
        <v>222</v>
      </c>
      <c r="D163" s="20" t="s">
        <v>226</v>
      </c>
      <c r="E163" s="20" t="s">
        <v>232</v>
      </c>
      <c r="F163" s="20"/>
      <c r="G163" s="26">
        <f>G164</f>
        <v>2064.1</v>
      </c>
      <c r="H163" s="175"/>
    </row>
    <row r="164" spans="1:9" ht="47.25" x14ac:dyDescent="0.25">
      <c r="A164" s="25" t="s">
        <v>205</v>
      </c>
      <c r="B164" s="16">
        <v>902</v>
      </c>
      <c r="C164" s="20" t="s">
        <v>222</v>
      </c>
      <c r="D164" s="20" t="s">
        <v>226</v>
      </c>
      <c r="E164" s="20" t="s">
        <v>232</v>
      </c>
      <c r="F164" s="20" t="s">
        <v>139</v>
      </c>
      <c r="G164" s="26">
        <f>G165</f>
        <v>2064.1</v>
      </c>
      <c r="H164" s="175"/>
    </row>
    <row r="165" spans="1:9" ht="47.25" x14ac:dyDescent="0.25">
      <c r="A165" s="25" t="s">
        <v>140</v>
      </c>
      <c r="B165" s="16">
        <v>902</v>
      </c>
      <c r="C165" s="20" t="s">
        <v>222</v>
      </c>
      <c r="D165" s="20" t="s">
        <v>226</v>
      </c>
      <c r="E165" s="20" t="s">
        <v>232</v>
      </c>
      <c r="F165" s="20" t="s">
        <v>141</v>
      </c>
      <c r="G165" s="158">
        <f>1908.4+354-98.3-100</f>
        <v>2064.1</v>
      </c>
      <c r="H165" s="105" t="s">
        <v>729</v>
      </c>
      <c r="I165" s="124"/>
    </row>
    <row r="166" spans="1:9" ht="15.75" hidden="1" x14ac:dyDescent="0.25">
      <c r="A166" s="25" t="s">
        <v>233</v>
      </c>
      <c r="B166" s="16">
        <v>902</v>
      </c>
      <c r="C166" s="20" t="s">
        <v>222</v>
      </c>
      <c r="D166" s="20" t="s">
        <v>226</v>
      </c>
      <c r="E166" s="20" t="s">
        <v>234</v>
      </c>
      <c r="F166" s="20"/>
      <c r="G166" s="26">
        <f>G167</f>
        <v>0</v>
      </c>
      <c r="H166" s="175"/>
    </row>
    <row r="167" spans="1:9" ht="47.25" hidden="1" x14ac:dyDescent="0.25">
      <c r="A167" s="25" t="s">
        <v>205</v>
      </c>
      <c r="B167" s="16">
        <v>902</v>
      </c>
      <c r="C167" s="20" t="s">
        <v>222</v>
      </c>
      <c r="D167" s="20" t="s">
        <v>226</v>
      </c>
      <c r="E167" s="20" t="s">
        <v>234</v>
      </c>
      <c r="F167" s="20" t="s">
        <v>139</v>
      </c>
      <c r="G167" s="26">
        <f>G168</f>
        <v>0</v>
      </c>
      <c r="H167" s="175"/>
    </row>
    <row r="168" spans="1:9" ht="47.25" hidden="1" x14ac:dyDescent="0.25">
      <c r="A168" s="25" t="s">
        <v>140</v>
      </c>
      <c r="B168" s="16">
        <v>902</v>
      </c>
      <c r="C168" s="20" t="s">
        <v>222</v>
      </c>
      <c r="D168" s="20" t="s">
        <v>226</v>
      </c>
      <c r="E168" s="20" t="s">
        <v>234</v>
      </c>
      <c r="F168" s="20" t="s">
        <v>141</v>
      </c>
      <c r="G168" s="26">
        <v>0</v>
      </c>
      <c r="H168" s="175"/>
    </row>
    <row r="169" spans="1:9" ht="31.5" x14ac:dyDescent="0.25">
      <c r="A169" s="25" t="s">
        <v>235</v>
      </c>
      <c r="B169" s="16">
        <v>902</v>
      </c>
      <c r="C169" s="20" t="s">
        <v>222</v>
      </c>
      <c r="D169" s="20" t="s">
        <v>226</v>
      </c>
      <c r="E169" s="20" t="s">
        <v>236</v>
      </c>
      <c r="F169" s="20"/>
      <c r="G169" s="26">
        <f>G170+G172</f>
        <v>4997</v>
      </c>
      <c r="H169" s="175"/>
    </row>
    <row r="170" spans="1:9" ht="94.5" x14ac:dyDescent="0.25">
      <c r="A170" s="25" t="s">
        <v>134</v>
      </c>
      <c r="B170" s="16">
        <v>902</v>
      </c>
      <c r="C170" s="20" t="s">
        <v>222</v>
      </c>
      <c r="D170" s="20" t="s">
        <v>226</v>
      </c>
      <c r="E170" s="20" t="s">
        <v>236</v>
      </c>
      <c r="F170" s="20" t="s">
        <v>135</v>
      </c>
      <c r="G170" s="26">
        <f>G171</f>
        <v>4692.3</v>
      </c>
      <c r="H170" s="175"/>
    </row>
    <row r="171" spans="1:9" ht="31.5" x14ac:dyDescent="0.25">
      <c r="A171" s="25" t="s">
        <v>215</v>
      </c>
      <c r="B171" s="16">
        <v>902</v>
      </c>
      <c r="C171" s="20" t="s">
        <v>222</v>
      </c>
      <c r="D171" s="20" t="s">
        <v>226</v>
      </c>
      <c r="E171" s="20" t="s">
        <v>236</v>
      </c>
      <c r="F171" s="20" t="s">
        <v>216</v>
      </c>
      <c r="G171" s="27">
        <f>4586.3+106</f>
        <v>4692.3</v>
      </c>
      <c r="H171" s="175"/>
    </row>
    <row r="172" spans="1:9" ht="47.25" x14ac:dyDescent="0.25">
      <c r="A172" s="25" t="s">
        <v>205</v>
      </c>
      <c r="B172" s="16">
        <v>902</v>
      </c>
      <c r="C172" s="20" t="s">
        <v>222</v>
      </c>
      <c r="D172" s="20" t="s">
        <v>226</v>
      </c>
      <c r="E172" s="20" t="s">
        <v>236</v>
      </c>
      <c r="F172" s="20" t="s">
        <v>139</v>
      </c>
      <c r="G172" s="26">
        <f>G173</f>
        <v>304.7</v>
      </c>
      <c r="H172" s="175"/>
    </row>
    <row r="173" spans="1:9" ht="47.25" x14ac:dyDescent="0.25">
      <c r="A173" s="25" t="s">
        <v>140</v>
      </c>
      <c r="B173" s="16">
        <v>902</v>
      </c>
      <c r="C173" s="20" t="s">
        <v>222</v>
      </c>
      <c r="D173" s="20" t="s">
        <v>226</v>
      </c>
      <c r="E173" s="20" t="s">
        <v>236</v>
      </c>
      <c r="F173" s="20" t="s">
        <v>141</v>
      </c>
      <c r="G173" s="155">
        <f>204.7+100</f>
        <v>304.7</v>
      </c>
      <c r="H173" s="156" t="s">
        <v>730</v>
      </c>
    </row>
    <row r="174" spans="1:9" ht="15.75" x14ac:dyDescent="0.25">
      <c r="A174" s="25" t="s">
        <v>237</v>
      </c>
      <c r="B174" s="16">
        <v>902</v>
      </c>
      <c r="C174" s="20" t="s">
        <v>222</v>
      </c>
      <c r="D174" s="20" t="s">
        <v>226</v>
      </c>
      <c r="E174" s="20" t="s">
        <v>238</v>
      </c>
      <c r="F174" s="20"/>
      <c r="G174" s="27">
        <f>G175</f>
        <v>98.3</v>
      </c>
      <c r="H174" s="175"/>
    </row>
    <row r="175" spans="1:9" ht="47.25" x14ac:dyDescent="0.25">
      <c r="A175" s="25" t="s">
        <v>205</v>
      </c>
      <c r="B175" s="16">
        <v>902</v>
      </c>
      <c r="C175" s="20" t="s">
        <v>222</v>
      </c>
      <c r="D175" s="20" t="s">
        <v>226</v>
      </c>
      <c r="E175" s="20" t="s">
        <v>238</v>
      </c>
      <c r="F175" s="20" t="s">
        <v>139</v>
      </c>
      <c r="G175" s="27">
        <f>G176</f>
        <v>98.3</v>
      </c>
      <c r="H175" s="175"/>
    </row>
    <row r="176" spans="1:9" ht="47.25" x14ac:dyDescent="0.25">
      <c r="A176" s="25" t="s">
        <v>140</v>
      </c>
      <c r="B176" s="16">
        <v>902</v>
      </c>
      <c r="C176" s="20" t="s">
        <v>222</v>
      </c>
      <c r="D176" s="20" t="s">
        <v>226</v>
      </c>
      <c r="E176" s="20" t="s">
        <v>238</v>
      </c>
      <c r="F176" s="20" t="s">
        <v>141</v>
      </c>
      <c r="G176" s="27">
        <v>98.3</v>
      </c>
      <c r="H176" s="105"/>
      <c r="I176" s="123"/>
    </row>
    <row r="177" spans="1:9" ht="15.75" x14ac:dyDescent="0.25">
      <c r="A177" s="23" t="s">
        <v>239</v>
      </c>
      <c r="B177" s="19">
        <v>902</v>
      </c>
      <c r="C177" s="24" t="s">
        <v>157</v>
      </c>
      <c r="D177" s="24"/>
      <c r="E177" s="24"/>
      <c r="F177" s="20"/>
      <c r="G177" s="21">
        <f>G184+G178</f>
        <v>1821.3999999999999</v>
      </c>
      <c r="H177" s="175"/>
    </row>
    <row r="178" spans="1:9" ht="15.75" x14ac:dyDescent="0.25">
      <c r="A178" s="23" t="s">
        <v>240</v>
      </c>
      <c r="B178" s="19">
        <v>902</v>
      </c>
      <c r="C178" s="24" t="s">
        <v>157</v>
      </c>
      <c r="D178" s="24" t="s">
        <v>241</v>
      </c>
      <c r="E178" s="24"/>
      <c r="F178" s="20"/>
      <c r="G178" s="21">
        <f>G179</f>
        <v>450</v>
      </c>
      <c r="H178" s="175"/>
    </row>
    <row r="179" spans="1:9" ht="15.75" x14ac:dyDescent="0.25">
      <c r="A179" s="25" t="s">
        <v>128</v>
      </c>
      <c r="B179" s="16">
        <v>902</v>
      </c>
      <c r="C179" s="20" t="s">
        <v>157</v>
      </c>
      <c r="D179" s="20" t="s">
        <v>241</v>
      </c>
      <c r="E179" s="20" t="s">
        <v>129</v>
      </c>
      <c r="F179" s="20"/>
      <c r="G179" s="26">
        <f>G180</f>
        <v>450</v>
      </c>
      <c r="H179" s="175"/>
    </row>
    <row r="180" spans="1:9" ht="31.5" x14ac:dyDescent="0.25">
      <c r="A180" s="25" t="s">
        <v>192</v>
      </c>
      <c r="B180" s="16">
        <v>902</v>
      </c>
      <c r="C180" s="20" t="s">
        <v>157</v>
      </c>
      <c r="D180" s="20" t="s">
        <v>241</v>
      </c>
      <c r="E180" s="20" t="s">
        <v>193</v>
      </c>
      <c r="F180" s="20"/>
      <c r="G180" s="26">
        <f>G181</f>
        <v>450</v>
      </c>
      <c r="H180" s="175"/>
    </row>
    <row r="181" spans="1:9" ht="31.5" x14ac:dyDescent="0.25">
      <c r="A181" s="25" t="s">
        <v>242</v>
      </c>
      <c r="B181" s="16">
        <v>902</v>
      </c>
      <c r="C181" s="20" t="s">
        <v>157</v>
      </c>
      <c r="D181" s="20" t="s">
        <v>241</v>
      </c>
      <c r="E181" s="20" t="s">
        <v>243</v>
      </c>
      <c r="F181" s="20"/>
      <c r="G181" s="26">
        <f>G182</f>
        <v>450</v>
      </c>
      <c r="H181" s="175"/>
    </row>
    <row r="182" spans="1:9" ht="15.75" x14ac:dyDescent="0.25">
      <c r="A182" s="25" t="s">
        <v>142</v>
      </c>
      <c r="B182" s="16">
        <v>902</v>
      </c>
      <c r="C182" s="20" t="s">
        <v>157</v>
      </c>
      <c r="D182" s="20" t="s">
        <v>241</v>
      </c>
      <c r="E182" s="20" t="s">
        <v>243</v>
      </c>
      <c r="F182" s="20" t="s">
        <v>152</v>
      </c>
      <c r="G182" s="26">
        <f>G183</f>
        <v>450</v>
      </c>
      <c r="H182" s="175"/>
    </row>
    <row r="183" spans="1:9" ht="63" x14ac:dyDescent="0.25">
      <c r="A183" s="25" t="s">
        <v>191</v>
      </c>
      <c r="B183" s="16">
        <v>902</v>
      </c>
      <c r="C183" s="20" t="s">
        <v>157</v>
      </c>
      <c r="D183" s="20" t="s">
        <v>241</v>
      </c>
      <c r="E183" s="20" t="s">
        <v>243</v>
      </c>
      <c r="F183" s="20" t="s">
        <v>167</v>
      </c>
      <c r="G183" s="157">
        <f>310+140</f>
        <v>450</v>
      </c>
      <c r="H183" s="156" t="s">
        <v>728</v>
      </c>
      <c r="I183" s="114"/>
    </row>
    <row r="184" spans="1:9" ht="31.5" x14ac:dyDescent="0.25">
      <c r="A184" s="23" t="s">
        <v>244</v>
      </c>
      <c r="B184" s="19">
        <v>902</v>
      </c>
      <c r="C184" s="24" t="s">
        <v>157</v>
      </c>
      <c r="D184" s="24" t="s">
        <v>245</v>
      </c>
      <c r="E184" s="24"/>
      <c r="F184" s="24"/>
      <c r="G184" s="21">
        <f>G185</f>
        <v>1371.3999999999999</v>
      </c>
      <c r="H184" s="175"/>
    </row>
    <row r="185" spans="1:9" ht="15.75" x14ac:dyDescent="0.25">
      <c r="A185" s="25" t="s">
        <v>128</v>
      </c>
      <c r="B185" s="16">
        <v>902</v>
      </c>
      <c r="C185" s="20" t="s">
        <v>157</v>
      </c>
      <c r="D185" s="20" t="s">
        <v>245</v>
      </c>
      <c r="E185" s="20" t="s">
        <v>129</v>
      </c>
      <c r="F185" s="24"/>
      <c r="G185" s="26">
        <f>G186</f>
        <v>1371.3999999999999</v>
      </c>
      <c r="H185" s="175"/>
    </row>
    <row r="186" spans="1:9" ht="31.5" x14ac:dyDescent="0.25">
      <c r="A186" s="25" t="s">
        <v>192</v>
      </c>
      <c r="B186" s="16">
        <v>902</v>
      </c>
      <c r="C186" s="20" t="s">
        <v>157</v>
      </c>
      <c r="D186" s="20" t="s">
        <v>245</v>
      </c>
      <c r="E186" s="20" t="s">
        <v>193</v>
      </c>
      <c r="F186" s="24"/>
      <c r="G186" s="26">
        <f>G190+G187</f>
        <v>1371.3999999999999</v>
      </c>
      <c r="H186" s="175"/>
    </row>
    <row r="187" spans="1:9" ht="31.5" x14ac:dyDescent="0.25">
      <c r="A187" s="25" t="s">
        <v>246</v>
      </c>
      <c r="B187" s="16">
        <v>902</v>
      </c>
      <c r="C187" s="20" t="s">
        <v>157</v>
      </c>
      <c r="D187" s="20" t="s">
        <v>245</v>
      </c>
      <c r="E187" s="20" t="s">
        <v>247</v>
      </c>
      <c r="F187" s="24"/>
      <c r="G187" s="26">
        <f>G188</f>
        <v>90</v>
      </c>
      <c r="H187" s="175"/>
    </row>
    <row r="188" spans="1:9" ht="15.75" x14ac:dyDescent="0.25">
      <c r="A188" s="25" t="s">
        <v>142</v>
      </c>
      <c r="B188" s="16">
        <v>902</v>
      </c>
      <c r="C188" s="20" t="s">
        <v>157</v>
      </c>
      <c r="D188" s="20" t="s">
        <v>245</v>
      </c>
      <c r="E188" s="20" t="s">
        <v>247</v>
      </c>
      <c r="F188" s="20" t="s">
        <v>152</v>
      </c>
      <c r="G188" s="26">
        <f>G189</f>
        <v>90</v>
      </c>
      <c r="H188" s="175"/>
    </row>
    <row r="189" spans="1:9" ht="63" x14ac:dyDescent="0.25">
      <c r="A189" s="25" t="s">
        <v>191</v>
      </c>
      <c r="B189" s="16">
        <v>902</v>
      </c>
      <c r="C189" s="20" t="s">
        <v>157</v>
      </c>
      <c r="D189" s="20" t="s">
        <v>245</v>
      </c>
      <c r="E189" s="20" t="s">
        <v>247</v>
      </c>
      <c r="F189" s="20" t="s">
        <v>167</v>
      </c>
      <c r="G189" s="161">
        <v>90</v>
      </c>
      <c r="H189" s="156" t="s">
        <v>737</v>
      </c>
    </row>
    <row r="190" spans="1:9" ht="63" x14ac:dyDescent="0.25">
      <c r="A190" s="31" t="s">
        <v>248</v>
      </c>
      <c r="B190" s="16">
        <v>902</v>
      </c>
      <c r="C190" s="20" t="s">
        <v>157</v>
      </c>
      <c r="D190" s="20" t="s">
        <v>245</v>
      </c>
      <c r="E190" s="20" t="s">
        <v>249</v>
      </c>
      <c r="F190" s="20"/>
      <c r="G190" s="26">
        <f>G191+G193</f>
        <v>1281.3999999999999</v>
      </c>
      <c r="H190" s="175"/>
    </row>
    <row r="191" spans="1:9" ht="94.5" x14ac:dyDescent="0.25">
      <c r="A191" s="25" t="s">
        <v>134</v>
      </c>
      <c r="B191" s="16">
        <v>902</v>
      </c>
      <c r="C191" s="20" t="s">
        <v>157</v>
      </c>
      <c r="D191" s="20" t="s">
        <v>245</v>
      </c>
      <c r="E191" s="20" t="s">
        <v>249</v>
      </c>
      <c r="F191" s="20" t="s">
        <v>135</v>
      </c>
      <c r="G191" s="26">
        <f>G192</f>
        <v>1116.3999999999999</v>
      </c>
      <c r="H191" s="175"/>
    </row>
    <row r="192" spans="1:9" ht="31.5" x14ac:dyDescent="0.25">
      <c r="A192" s="25" t="s">
        <v>136</v>
      </c>
      <c r="B192" s="16">
        <v>902</v>
      </c>
      <c r="C192" s="20" t="s">
        <v>157</v>
      </c>
      <c r="D192" s="20" t="s">
        <v>245</v>
      </c>
      <c r="E192" s="20" t="s">
        <v>249</v>
      </c>
      <c r="F192" s="20" t="s">
        <v>137</v>
      </c>
      <c r="G192" s="26">
        <f>1302-123.4-62.2</f>
        <v>1116.3999999999999</v>
      </c>
      <c r="H192" s="175"/>
      <c r="I192" s="114"/>
    </row>
    <row r="193" spans="1:8" ht="31.5" x14ac:dyDescent="0.25">
      <c r="A193" s="25" t="s">
        <v>138</v>
      </c>
      <c r="B193" s="16">
        <v>902</v>
      </c>
      <c r="C193" s="20" t="s">
        <v>157</v>
      </c>
      <c r="D193" s="20" t="s">
        <v>245</v>
      </c>
      <c r="E193" s="20" t="s">
        <v>249</v>
      </c>
      <c r="F193" s="20" t="s">
        <v>139</v>
      </c>
      <c r="G193" s="26">
        <f>G194</f>
        <v>165</v>
      </c>
      <c r="H193" s="175"/>
    </row>
    <row r="194" spans="1:8" ht="47.25" x14ac:dyDescent="0.25">
      <c r="A194" s="25" t="s">
        <v>140</v>
      </c>
      <c r="B194" s="16">
        <v>902</v>
      </c>
      <c r="C194" s="20" t="s">
        <v>157</v>
      </c>
      <c r="D194" s="20" t="s">
        <v>245</v>
      </c>
      <c r="E194" s="20" t="s">
        <v>249</v>
      </c>
      <c r="F194" s="20" t="s">
        <v>141</v>
      </c>
      <c r="G194" s="26">
        <f>102.8+62.2</f>
        <v>165</v>
      </c>
      <c r="H194" s="175"/>
    </row>
    <row r="195" spans="1:8" ht="16.5" customHeight="1" x14ac:dyDescent="0.25">
      <c r="A195" s="23" t="s">
        <v>250</v>
      </c>
      <c r="B195" s="19">
        <v>902</v>
      </c>
      <c r="C195" s="24" t="s">
        <v>251</v>
      </c>
      <c r="D195" s="24"/>
      <c r="E195" s="24"/>
      <c r="F195" s="24"/>
      <c r="G195" s="21">
        <f>G196+G202+G212</f>
        <v>12224.9</v>
      </c>
      <c r="H195" s="175"/>
    </row>
    <row r="196" spans="1:8" ht="15.75" x14ac:dyDescent="0.25">
      <c r="A196" s="23" t="s">
        <v>252</v>
      </c>
      <c r="B196" s="19">
        <v>902</v>
      </c>
      <c r="C196" s="24" t="s">
        <v>251</v>
      </c>
      <c r="D196" s="24" t="s">
        <v>125</v>
      </c>
      <c r="E196" s="24"/>
      <c r="F196" s="24"/>
      <c r="G196" s="21">
        <f>G197</f>
        <v>9066.4</v>
      </c>
      <c r="H196" s="175"/>
    </row>
    <row r="197" spans="1:8" ht="15.75" x14ac:dyDescent="0.25">
      <c r="A197" s="25" t="s">
        <v>128</v>
      </c>
      <c r="B197" s="16">
        <v>902</v>
      </c>
      <c r="C197" s="20" t="s">
        <v>251</v>
      </c>
      <c r="D197" s="20" t="s">
        <v>125</v>
      </c>
      <c r="E197" s="20" t="s">
        <v>129</v>
      </c>
      <c r="F197" s="20"/>
      <c r="G197" s="26">
        <f>G198</f>
        <v>9066.4</v>
      </c>
      <c r="H197" s="175"/>
    </row>
    <row r="198" spans="1:8" ht="15.75" x14ac:dyDescent="0.25">
      <c r="A198" s="25" t="s">
        <v>148</v>
      </c>
      <c r="B198" s="16">
        <v>902</v>
      </c>
      <c r="C198" s="20" t="s">
        <v>251</v>
      </c>
      <c r="D198" s="20" t="s">
        <v>125</v>
      </c>
      <c r="E198" s="20" t="s">
        <v>149</v>
      </c>
      <c r="F198" s="20"/>
      <c r="G198" s="26">
        <f>G199</f>
        <v>9066.4</v>
      </c>
      <c r="H198" s="175"/>
    </row>
    <row r="199" spans="1:8" ht="15.75" x14ac:dyDescent="0.25">
      <c r="A199" s="25" t="s">
        <v>253</v>
      </c>
      <c r="B199" s="16">
        <v>902</v>
      </c>
      <c r="C199" s="20" t="s">
        <v>251</v>
      </c>
      <c r="D199" s="20" t="s">
        <v>125</v>
      </c>
      <c r="E199" s="20" t="s">
        <v>254</v>
      </c>
      <c r="F199" s="20"/>
      <c r="G199" s="26">
        <f>G200</f>
        <v>9066.4</v>
      </c>
      <c r="H199" s="175"/>
    </row>
    <row r="200" spans="1:8" ht="31.5" x14ac:dyDescent="0.25">
      <c r="A200" s="25" t="s">
        <v>255</v>
      </c>
      <c r="B200" s="16">
        <v>902</v>
      </c>
      <c r="C200" s="20" t="s">
        <v>251</v>
      </c>
      <c r="D200" s="20" t="s">
        <v>125</v>
      </c>
      <c r="E200" s="20" t="s">
        <v>254</v>
      </c>
      <c r="F200" s="20" t="s">
        <v>256</v>
      </c>
      <c r="G200" s="26">
        <f>G201</f>
        <v>9066.4</v>
      </c>
      <c r="H200" s="175"/>
    </row>
    <row r="201" spans="1:8" ht="31.5" x14ac:dyDescent="0.25">
      <c r="A201" s="25" t="s">
        <v>257</v>
      </c>
      <c r="B201" s="16">
        <v>902</v>
      </c>
      <c r="C201" s="20" t="s">
        <v>251</v>
      </c>
      <c r="D201" s="20" t="s">
        <v>125</v>
      </c>
      <c r="E201" s="20" t="s">
        <v>254</v>
      </c>
      <c r="F201" s="20" t="s">
        <v>258</v>
      </c>
      <c r="G201" s="27">
        <v>9066.4</v>
      </c>
      <c r="H201" s="175"/>
    </row>
    <row r="202" spans="1:8" ht="15.75" x14ac:dyDescent="0.25">
      <c r="A202" s="23" t="s">
        <v>259</v>
      </c>
      <c r="B202" s="19">
        <v>902</v>
      </c>
      <c r="C202" s="24" t="s">
        <v>251</v>
      </c>
      <c r="D202" s="24" t="s">
        <v>222</v>
      </c>
      <c r="E202" s="20"/>
      <c r="F202" s="20"/>
      <c r="G202" s="21">
        <f>G203+G207</f>
        <v>10</v>
      </c>
      <c r="H202" s="175"/>
    </row>
    <row r="203" spans="1:8" ht="78.75" x14ac:dyDescent="0.25">
      <c r="A203" s="25" t="s">
        <v>260</v>
      </c>
      <c r="B203" s="16">
        <v>902</v>
      </c>
      <c r="C203" s="20" t="s">
        <v>251</v>
      </c>
      <c r="D203" s="20" t="s">
        <v>222</v>
      </c>
      <c r="E203" s="20" t="s">
        <v>261</v>
      </c>
      <c r="F203" s="20"/>
      <c r="G203" s="26">
        <f>G204</f>
        <v>10</v>
      </c>
      <c r="H203" s="175"/>
    </row>
    <row r="204" spans="1:8" ht="31.5" x14ac:dyDescent="0.25">
      <c r="A204" s="25" t="s">
        <v>164</v>
      </c>
      <c r="B204" s="16">
        <v>902</v>
      </c>
      <c r="C204" s="20" t="s">
        <v>251</v>
      </c>
      <c r="D204" s="20" t="s">
        <v>222</v>
      </c>
      <c r="E204" s="20" t="s">
        <v>262</v>
      </c>
      <c r="F204" s="20"/>
      <c r="G204" s="26">
        <f>G205</f>
        <v>10</v>
      </c>
      <c r="H204" s="175"/>
    </row>
    <row r="205" spans="1:8" ht="31.5" x14ac:dyDescent="0.25">
      <c r="A205" s="25" t="s">
        <v>255</v>
      </c>
      <c r="B205" s="16">
        <v>902</v>
      </c>
      <c r="C205" s="20" t="s">
        <v>251</v>
      </c>
      <c r="D205" s="20" t="s">
        <v>222</v>
      </c>
      <c r="E205" s="20" t="s">
        <v>262</v>
      </c>
      <c r="F205" s="20" t="s">
        <v>256</v>
      </c>
      <c r="G205" s="26">
        <f>G206</f>
        <v>10</v>
      </c>
      <c r="H205" s="175"/>
    </row>
    <row r="206" spans="1:8" ht="31.5" x14ac:dyDescent="0.25">
      <c r="A206" s="25" t="s">
        <v>257</v>
      </c>
      <c r="B206" s="16">
        <v>902</v>
      </c>
      <c r="C206" s="20" t="s">
        <v>251</v>
      </c>
      <c r="D206" s="20" t="s">
        <v>222</v>
      </c>
      <c r="E206" s="20" t="s">
        <v>262</v>
      </c>
      <c r="F206" s="20" t="s">
        <v>258</v>
      </c>
      <c r="G206" s="26">
        <v>10</v>
      </c>
      <c r="H206" s="175"/>
    </row>
    <row r="207" spans="1:8" ht="15.75" hidden="1" x14ac:dyDescent="0.25">
      <c r="A207" s="25" t="s">
        <v>128</v>
      </c>
      <c r="B207" s="16">
        <v>902</v>
      </c>
      <c r="C207" s="20" t="s">
        <v>251</v>
      </c>
      <c r="D207" s="20" t="s">
        <v>222</v>
      </c>
      <c r="E207" s="20" t="s">
        <v>129</v>
      </c>
      <c r="F207" s="20"/>
      <c r="G207" s="26">
        <f>G208</f>
        <v>0</v>
      </c>
      <c r="H207" s="175"/>
    </row>
    <row r="208" spans="1:8" ht="31.5" hidden="1" x14ac:dyDescent="0.25">
      <c r="A208" s="25" t="s">
        <v>192</v>
      </c>
      <c r="B208" s="16">
        <v>902</v>
      </c>
      <c r="C208" s="20" t="s">
        <v>251</v>
      </c>
      <c r="D208" s="20" t="s">
        <v>222</v>
      </c>
      <c r="E208" s="20" t="s">
        <v>193</v>
      </c>
      <c r="F208" s="20"/>
      <c r="G208" s="26">
        <f>G209</f>
        <v>0</v>
      </c>
      <c r="H208" s="175"/>
    </row>
    <row r="209" spans="1:12" ht="47.25" hidden="1" x14ac:dyDescent="0.25">
      <c r="A209" s="31" t="s">
        <v>263</v>
      </c>
      <c r="B209" s="16">
        <v>902</v>
      </c>
      <c r="C209" s="20" t="s">
        <v>251</v>
      </c>
      <c r="D209" s="20" t="s">
        <v>222</v>
      </c>
      <c r="E209" s="20" t="s">
        <v>264</v>
      </c>
      <c r="F209" s="20"/>
      <c r="G209" s="26">
        <f>G210</f>
        <v>0</v>
      </c>
      <c r="H209" s="175"/>
    </row>
    <row r="210" spans="1:12" ht="31.5" hidden="1" x14ac:dyDescent="0.25">
      <c r="A210" s="25" t="s">
        <v>255</v>
      </c>
      <c r="B210" s="16">
        <v>902</v>
      </c>
      <c r="C210" s="20" t="s">
        <v>251</v>
      </c>
      <c r="D210" s="20" t="s">
        <v>222</v>
      </c>
      <c r="E210" s="20" t="s">
        <v>264</v>
      </c>
      <c r="F210" s="20" t="s">
        <v>256</v>
      </c>
      <c r="G210" s="26">
        <f>G211</f>
        <v>0</v>
      </c>
      <c r="H210" s="175"/>
    </row>
    <row r="211" spans="1:12" ht="31.5" hidden="1" x14ac:dyDescent="0.25">
      <c r="A211" s="25" t="s">
        <v>257</v>
      </c>
      <c r="B211" s="16">
        <v>902</v>
      </c>
      <c r="C211" s="20" t="s">
        <v>251</v>
      </c>
      <c r="D211" s="20" t="s">
        <v>222</v>
      </c>
      <c r="E211" s="20" t="s">
        <v>264</v>
      </c>
      <c r="F211" s="20" t="s">
        <v>258</v>
      </c>
      <c r="G211" s="26">
        <f>6250-6250</f>
        <v>0</v>
      </c>
      <c r="H211" s="105"/>
      <c r="I211" s="114"/>
    </row>
    <row r="212" spans="1:12" ht="31.5" x14ac:dyDescent="0.25">
      <c r="A212" s="23" t="s">
        <v>265</v>
      </c>
      <c r="B212" s="19">
        <v>902</v>
      </c>
      <c r="C212" s="24" t="s">
        <v>251</v>
      </c>
      <c r="D212" s="24" t="s">
        <v>127</v>
      </c>
      <c r="E212" s="24"/>
      <c r="F212" s="24"/>
      <c r="G212" s="21">
        <f>G213</f>
        <v>3148.5000000000005</v>
      </c>
      <c r="H212" s="175"/>
    </row>
    <row r="213" spans="1:12" ht="15.75" x14ac:dyDescent="0.25">
      <c r="A213" s="25" t="s">
        <v>128</v>
      </c>
      <c r="B213" s="16">
        <v>902</v>
      </c>
      <c r="C213" s="20" t="s">
        <v>251</v>
      </c>
      <c r="D213" s="20" t="s">
        <v>127</v>
      </c>
      <c r="E213" s="20" t="s">
        <v>129</v>
      </c>
      <c r="F213" s="24"/>
      <c r="G213" s="26">
        <f>G214</f>
        <v>3148.5000000000005</v>
      </c>
      <c r="H213" s="175"/>
    </row>
    <row r="214" spans="1:12" ht="31.5" x14ac:dyDescent="0.25">
      <c r="A214" s="25" t="s">
        <v>192</v>
      </c>
      <c r="B214" s="16">
        <v>902</v>
      </c>
      <c r="C214" s="20" t="s">
        <v>251</v>
      </c>
      <c r="D214" s="20" t="s">
        <v>127</v>
      </c>
      <c r="E214" s="20" t="s">
        <v>193</v>
      </c>
      <c r="F214" s="20"/>
      <c r="G214" s="26">
        <f>G215</f>
        <v>3148.5000000000005</v>
      </c>
      <c r="H214" s="175"/>
    </row>
    <row r="215" spans="1:12" ht="47.25" x14ac:dyDescent="0.25">
      <c r="A215" s="31" t="s">
        <v>266</v>
      </c>
      <c r="B215" s="16">
        <v>902</v>
      </c>
      <c r="C215" s="20" t="s">
        <v>251</v>
      </c>
      <c r="D215" s="20" t="s">
        <v>127</v>
      </c>
      <c r="E215" s="20" t="s">
        <v>267</v>
      </c>
      <c r="F215" s="20"/>
      <c r="G215" s="26">
        <f>G216+G218</f>
        <v>3148.5000000000005</v>
      </c>
      <c r="H215" s="175"/>
    </row>
    <row r="216" spans="1:12" ht="94.5" x14ac:dyDescent="0.25">
      <c r="A216" s="25" t="s">
        <v>134</v>
      </c>
      <c r="B216" s="16">
        <v>902</v>
      </c>
      <c r="C216" s="20" t="s">
        <v>251</v>
      </c>
      <c r="D216" s="20" t="s">
        <v>127</v>
      </c>
      <c r="E216" s="20" t="s">
        <v>267</v>
      </c>
      <c r="F216" s="20" t="s">
        <v>135</v>
      </c>
      <c r="G216" s="26">
        <f>G217</f>
        <v>2884.1000000000004</v>
      </c>
      <c r="H216" s="175"/>
    </row>
    <row r="217" spans="1:12" ht="31.5" x14ac:dyDescent="0.25">
      <c r="A217" s="25" t="s">
        <v>136</v>
      </c>
      <c r="B217" s="16">
        <v>902</v>
      </c>
      <c r="C217" s="20" t="s">
        <v>251</v>
      </c>
      <c r="D217" s="20" t="s">
        <v>127</v>
      </c>
      <c r="E217" s="20" t="s">
        <v>267</v>
      </c>
      <c r="F217" s="20" t="s">
        <v>137</v>
      </c>
      <c r="G217" s="27">
        <f>2826.8+14.8+42.5</f>
        <v>2884.1000000000004</v>
      </c>
      <c r="H217" s="105"/>
    </row>
    <row r="218" spans="1:12" ht="31.5" x14ac:dyDescent="0.25">
      <c r="A218" s="25" t="s">
        <v>138</v>
      </c>
      <c r="B218" s="16">
        <v>902</v>
      </c>
      <c r="C218" s="20" t="s">
        <v>251</v>
      </c>
      <c r="D218" s="20" t="s">
        <v>127</v>
      </c>
      <c r="E218" s="20" t="s">
        <v>267</v>
      </c>
      <c r="F218" s="20" t="s">
        <v>139</v>
      </c>
      <c r="G218" s="26">
        <f>G219</f>
        <v>264.39999999999998</v>
      </c>
      <c r="H218" s="175"/>
    </row>
    <row r="219" spans="1:12" ht="47.25" x14ac:dyDescent="0.25">
      <c r="A219" s="25" t="s">
        <v>140</v>
      </c>
      <c r="B219" s="16">
        <v>902</v>
      </c>
      <c r="C219" s="20" t="s">
        <v>251</v>
      </c>
      <c r="D219" s="20" t="s">
        <v>127</v>
      </c>
      <c r="E219" s="20" t="s">
        <v>267</v>
      </c>
      <c r="F219" s="20" t="s">
        <v>141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268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5"/>
      <c r="L220" s="115"/>
    </row>
    <row r="221" spans="1:12" ht="15.75" hidden="1" x14ac:dyDescent="0.25">
      <c r="A221" s="23" t="s">
        <v>124</v>
      </c>
      <c r="B221" s="19">
        <v>903</v>
      </c>
      <c r="C221" s="24" t="s">
        <v>125</v>
      </c>
      <c r="D221" s="24"/>
      <c r="E221" s="24"/>
      <c r="F221" s="24"/>
      <c r="G221" s="21">
        <f t="shared" ref="G221:G226" si="0">G222</f>
        <v>0</v>
      </c>
      <c r="H221" s="175"/>
    </row>
    <row r="222" spans="1:12" ht="15.75" hidden="1" x14ac:dyDescent="0.25">
      <c r="A222" s="34" t="s">
        <v>146</v>
      </c>
      <c r="B222" s="19">
        <v>903</v>
      </c>
      <c r="C222" s="24" t="s">
        <v>125</v>
      </c>
      <c r="D222" s="24" t="s">
        <v>147</v>
      </c>
      <c r="E222" s="24"/>
      <c r="F222" s="24"/>
      <c r="G222" s="21">
        <f t="shared" si="0"/>
        <v>0</v>
      </c>
      <c r="H222" s="175"/>
    </row>
    <row r="223" spans="1:12" ht="15.75" hidden="1" x14ac:dyDescent="0.25">
      <c r="A223" s="31" t="s">
        <v>128</v>
      </c>
      <c r="B223" s="16">
        <v>903</v>
      </c>
      <c r="C223" s="20" t="s">
        <v>125</v>
      </c>
      <c r="D223" s="20" t="s">
        <v>147</v>
      </c>
      <c r="E223" s="20" t="s">
        <v>129</v>
      </c>
      <c r="F223" s="20"/>
      <c r="G223" s="26">
        <f t="shared" si="0"/>
        <v>0</v>
      </c>
      <c r="H223" s="175"/>
    </row>
    <row r="224" spans="1:12" ht="15.75" hidden="1" x14ac:dyDescent="0.25">
      <c r="A224" s="31" t="s">
        <v>148</v>
      </c>
      <c r="B224" s="16">
        <v>903</v>
      </c>
      <c r="C224" s="20" t="s">
        <v>125</v>
      </c>
      <c r="D224" s="20" t="s">
        <v>147</v>
      </c>
      <c r="E224" s="20" t="s">
        <v>149</v>
      </c>
      <c r="F224" s="20"/>
      <c r="G224" s="26">
        <f t="shared" si="0"/>
        <v>0</v>
      </c>
      <c r="H224" s="175"/>
    </row>
    <row r="225" spans="1:8" ht="15.75" hidden="1" x14ac:dyDescent="0.25">
      <c r="A225" s="25" t="s">
        <v>186</v>
      </c>
      <c r="B225" s="16">
        <v>903</v>
      </c>
      <c r="C225" s="20" t="s">
        <v>125</v>
      </c>
      <c r="D225" s="20" t="s">
        <v>147</v>
      </c>
      <c r="E225" s="20" t="s">
        <v>269</v>
      </c>
      <c r="F225" s="20"/>
      <c r="G225" s="26">
        <f t="shared" si="0"/>
        <v>0</v>
      </c>
      <c r="H225" s="175"/>
    </row>
    <row r="226" spans="1:8" ht="31.5" hidden="1" x14ac:dyDescent="0.25">
      <c r="A226" s="25" t="s">
        <v>138</v>
      </c>
      <c r="B226" s="16">
        <v>903</v>
      </c>
      <c r="C226" s="20" t="s">
        <v>125</v>
      </c>
      <c r="D226" s="20" t="s">
        <v>147</v>
      </c>
      <c r="E226" s="20" t="s">
        <v>269</v>
      </c>
      <c r="F226" s="20" t="s">
        <v>139</v>
      </c>
      <c r="G226" s="26">
        <f t="shared" si="0"/>
        <v>0</v>
      </c>
      <c r="H226" s="175"/>
    </row>
    <row r="227" spans="1:8" ht="47.25" hidden="1" x14ac:dyDescent="0.25">
      <c r="A227" s="25" t="s">
        <v>140</v>
      </c>
      <c r="B227" s="16">
        <v>903</v>
      </c>
      <c r="C227" s="20" t="s">
        <v>125</v>
      </c>
      <c r="D227" s="20" t="s">
        <v>147</v>
      </c>
      <c r="E227" s="20" t="s">
        <v>269</v>
      </c>
      <c r="F227" s="20" t="s">
        <v>141</v>
      </c>
      <c r="G227" s="26"/>
      <c r="H227" s="175"/>
    </row>
    <row r="228" spans="1:8" ht="15.75" x14ac:dyDescent="0.25">
      <c r="A228" s="23" t="s">
        <v>124</v>
      </c>
      <c r="B228" s="19">
        <v>903</v>
      </c>
      <c r="C228" s="24" t="s">
        <v>125</v>
      </c>
      <c r="D228" s="20"/>
      <c r="E228" s="20"/>
      <c r="F228" s="20"/>
      <c r="G228" s="26">
        <f t="shared" ref="G228:G233" si="1">G229</f>
        <v>88.7</v>
      </c>
      <c r="H228" s="175"/>
    </row>
    <row r="229" spans="1:8" ht="15.75" x14ac:dyDescent="0.25">
      <c r="A229" s="23" t="s">
        <v>146</v>
      </c>
      <c r="B229" s="19">
        <v>903</v>
      </c>
      <c r="C229" s="24" t="s">
        <v>125</v>
      </c>
      <c r="D229" s="24" t="s">
        <v>147</v>
      </c>
      <c r="E229" s="20"/>
      <c r="F229" s="20"/>
      <c r="G229" s="26">
        <f t="shared" si="1"/>
        <v>88.7</v>
      </c>
      <c r="H229" s="175"/>
    </row>
    <row r="230" spans="1:8" ht="15.75" x14ac:dyDescent="0.25">
      <c r="A230" s="25" t="s">
        <v>128</v>
      </c>
      <c r="B230" s="16">
        <v>903</v>
      </c>
      <c r="C230" s="20" t="s">
        <v>125</v>
      </c>
      <c r="D230" s="20" t="s">
        <v>147</v>
      </c>
      <c r="E230" s="20" t="s">
        <v>129</v>
      </c>
      <c r="F230" s="20"/>
      <c r="G230" s="26">
        <f t="shared" si="1"/>
        <v>88.7</v>
      </c>
      <c r="H230" s="175"/>
    </row>
    <row r="231" spans="1:8" ht="31.5" x14ac:dyDescent="0.25">
      <c r="A231" s="25" t="s">
        <v>192</v>
      </c>
      <c r="B231" s="16">
        <v>903</v>
      </c>
      <c r="C231" s="20" t="s">
        <v>125</v>
      </c>
      <c r="D231" s="20" t="s">
        <v>147</v>
      </c>
      <c r="E231" s="20" t="s">
        <v>193</v>
      </c>
      <c r="F231" s="20"/>
      <c r="G231" s="26">
        <f t="shared" si="1"/>
        <v>88.7</v>
      </c>
      <c r="H231" s="175"/>
    </row>
    <row r="232" spans="1:8" ht="47.25" x14ac:dyDescent="0.25">
      <c r="A232" s="35" t="s">
        <v>745</v>
      </c>
      <c r="B232" s="16">
        <v>903</v>
      </c>
      <c r="C232" s="20" t="s">
        <v>125</v>
      </c>
      <c r="D232" s="20" t="s">
        <v>147</v>
      </c>
      <c r="E232" s="20" t="s">
        <v>744</v>
      </c>
      <c r="F232" s="24"/>
      <c r="G232" s="26">
        <f t="shared" si="1"/>
        <v>88.7</v>
      </c>
      <c r="H232" s="175"/>
    </row>
    <row r="233" spans="1:8" ht="31.5" x14ac:dyDescent="0.25">
      <c r="A233" s="25" t="s">
        <v>138</v>
      </c>
      <c r="B233" s="16">
        <v>903</v>
      </c>
      <c r="C233" s="20" t="s">
        <v>125</v>
      </c>
      <c r="D233" s="20" t="s">
        <v>147</v>
      </c>
      <c r="E233" s="20" t="s">
        <v>744</v>
      </c>
      <c r="F233" s="20" t="s">
        <v>139</v>
      </c>
      <c r="G233" s="26">
        <f t="shared" si="1"/>
        <v>88.7</v>
      </c>
      <c r="H233" s="175"/>
    </row>
    <row r="234" spans="1:8" ht="53.45" customHeight="1" x14ac:dyDescent="0.25">
      <c r="A234" s="25" t="s">
        <v>140</v>
      </c>
      <c r="B234" s="16">
        <v>903</v>
      </c>
      <c r="C234" s="20" t="s">
        <v>125</v>
      </c>
      <c r="D234" s="20" t="s">
        <v>147</v>
      </c>
      <c r="E234" s="20" t="s">
        <v>744</v>
      </c>
      <c r="F234" s="20" t="s">
        <v>141</v>
      </c>
      <c r="G234" s="161">
        <v>88.7</v>
      </c>
      <c r="H234" s="156" t="s">
        <v>739</v>
      </c>
    </row>
    <row r="235" spans="1:8" ht="15.75" x14ac:dyDescent="0.25">
      <c r="A235" s="23" t="s">
        <v>270</v>
      </c>
      <c r="B235" s="19">
        <v>903</v>
      </c>
      <c r="C235" s="24" t="s">
        <v>271</v>
      </c>
      <c r="D235" s="20"/>
      <c r="E235" s="20"/>
      <c r="F235" s="20"/>
      <c r="G235" s="21">
        <f>G236+G271</f>
        <v>17482.699999999997</v>
      </c>
      <c r="H235" s="175"/>
    </row>
    <row r="236" spans="1:8" ht="15.75" x14ac:dyDescent="0.25">
      <c r="A236" s="23" t="s">
        <v>272</v>
      </c>
      <c r="B236" s="19">
        <v>903</v>
      </c>
      <c r="C236" s="24" t="s">
        <v>271</v>
      </c>
      <c r="D236" s="24" t="s">
        <v>222</v>
      </c>
      <c r="E236" s="24"/>
      <c r="F236" s="24"/>
      <c r="G236" s="21">
        <f>G237+G260</f>
        <v>17482.699999999997</v>
      </c>
      <c r="H236" s="175"/>
    </row>
    <row r="237" spans="1:8" ht="47.25" x14ac:dyDescent="0.25">
      <c r="A237" s="25" t="s">
        <v>273</v>
      </c>
      <c r="B237" s="16">
        <v>903</v>
      </c>
      <c r="C237" s="20" t="s">
        <v>271</v>
      </c>
      <c r="D237" s="20" t="s">
        <v>222</v>
      </c>
      <c r="E237" s="20" t="s">
        <v>274</v>
      </c>
      <c r="F237" s="20"/>
      <c r="G237" s="26">
        <f>G238</f>
        <v>16445.599999999999</v>
      </c>
      <c r="H237" s="175"/>
    </row>
    <row r="238" spans="1:8" ht="63" x14ac:dyDescent="0.25">
      <c r="A238" s="25" t="s">
        <v>275</v>
      </c>
      <c r="B238" s="16">
        <v>903</v>
      </c>
      <c r="C238" s="20" t="s">
        <v>271</v>
      </c>
      <c r="D238" s="20" t="s">
        <v>222</v>
      </c>
      <c r="E238" s="20" t="s">
        <v>276</v>
      </c>
      <c r="F238" s="20"/>
      <c r="G238" s="26">
        <f>G239+G251</f>
        <v>16445.599999999999</v>
      </c>
      <c r="H238" s="175"/>
    </row>
    <row r="239" spans="1:8" ht="47.25" x14ac:dyDescent="0.25">
      <c r="A239" s="25" t="s">
        <v>277</v>
      </c>
      <c r="B239" s="16">
        <v>903</v>
      </c>
      <c r="C239" s="20" t="s">
        <v>271</v>
      </c>
      <c r="D239" s="20" t="s">
        <v>222</v>
      </c>
      <c r="E239" s="20" t="s">
        <v>278</v>
      </c>
      <c r="F239" s="20"/>
      <c r="G239" s="26">
        <f>G240</f>
        <v>16395.599999999999</v>
      </c>
      <c r="H239" s="175"/>
    </row>
    <row r="240" spans="1:8" ht="47.25" x14ac:dyDescent="0.25">
      <c r="A240" s="25" t="s">
        <v>279</v>
      </c>
      <c r="B240" s="16">
        <v>903</v>
      </c>
      <c r="C240" s="20" t="s">
        <v>271</v>
      </c>
      <c r="D240" s="20" t="s">
        <v>222</v>
      </c>
      <c r="E240" s="20" t="s">
        <v>278</v>
      </c>
      <c r="F240" s="20" t="s">
        <v>280</v>
      </c>
      <c r="G240" s="26">
        <f>G241</f>
        <v>16395.599999999999</v>
      </c>
      <c r="H240" s="175"/>
    </row>
    <row r="241" spans="1:9" ht="15.75" x14ac:dyDescent="0.25">
      <c r="A241" s="25" t="s">
        <v>281</v>
      </c>
      <c r="B241" s="16">
        <v>903</v>
      </c>
      <c r="C241" s="20" t="s">
        <v>271</v>
      </c>
      <c r="D241" s="20" t="s">
        <v>222</v>
      </c>
      <c r="E241" s="20" t="s">
        <v>278</v>
      </c>
      <c r="F241" s="20" t="s">
        <v>282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283</v>
      </c>
      <c r="B242" s="16">
        <v>903</v>
      </c>
      <c r="C242" s="20" t="s">
        <v>271</v>
      </c>
      <c r="D242" s="20" t="s">
        <v>222</v>
      </c>
      <c r="E242" s="20" t="s">
        <v>284</v>
      </c>
      <c r="F242" s="20"/>
      <c r="G242" s="26">
        <f>G243</f>
        <v>0</v>
      </c>
      <c r="H242" s="175"/>
    </row>
    <row r="243" spans="1:9" ht="47.25" hidden="1" x14ac:dyDescent="0.25">
      <c r="A243" s="25" t="s">
        <v>279</v>
      </c>
      <c r="B243" s="16">
        <v>903</v>
      </c>
      <c r="C243" s="20" t="s">
        <v>271</v>
      </c>
      <c r="D243" s="20" t="s">
        <v>222</v>
      </c>
      <c r="E243" s="20" t="s">
        <v>284</v>
      </c>
      <c r="F243" s="20" t="s">
        <v>280</v>
      </c>
      <c r="G243" s="26">
        <f>G244</f>
        <v>0</v>
      </c>
      <c r="H243" s="175"/>
    </row>
    <row r="244" spans="1:9" ht="15.75" hidden="1" x14ac:dyDescent="0.25">
      <c r="A244" s="25" t="s">
        <v>281</v>
      </c>
      <c r="B244" s="16">
        <v>903</v>
      </c>
      <c r="C244" s="20" t="s">
        <v>271</v>
      </c>
      <c r="D244" s="20" t="s">
        <v>222</v>
      </c>
      <c r="E244" s="20" t="s">
        <v>284</v>
      </c>
      <c r="F244" s="20" t="s">
        <v>282</v>
      </c>
      <c r="G244" s="26">
        <v>0</v>
      </c>
      <c r="H244" s="175"/>
    </row>
    <row r="245" spans="1:9" ht="47.25" hidden="1" x14ac:dyDescent="0.25">
      <c r="A245" s="25" t="s">
        <v>285</v>
      </c>
      <c r="B245" s="16">
        <v>903</v>
      </c>
      <c r="C245" s="20" t="s">
        <v>271</v>
      </c>
      <c r="D245" s="20" t="s">
        <v>222</v>
      </c>
      <c r="E245" s="20" t="s">
        <v>286</v>
      </c>
      <c r="F245" s="20"/>
      <c r="G245" s="26">
        <f>G246</f>
        <v>0</v>
      </c>
      <c r="H245" s="175"/>
    </row>
    <row r="246" spans="1:9" ht="47.25" hidden="1" x14ac:dyDescent="0.25">
      <c r="A246" s="25" t="s">
        <v>279</v>
      </c>
      <c r="B246" s="16">
        <v>903</v>
      </c>
      <c r="C246" s="20" t="s">
        <v>271</v>
      </c>
      <c r="D246" s="20" t="s">
        <v>222</v>
      </c>
      <c r="E246" s="20" t="s">
        <v>286</v>
      </c>
      <c r="F246" s="20" t="s">
        <v>280</v>
      </c>
      <c r="G246" s="26">
        <f>G247</f>
        <v>0</v>
      </c>
      <c r="H246" s="175"/>
    </row>
    <row r="247" spans="1:9" ht="15.75" hidden="1" x14ac:dyDescent="0.25">
      <c r="A247" s="25" t="s">
        <v>281</v>
      </c>
      <c r="B247" s="16">
        <v>903</v>
      </c>
      <c r="C247" s="20" t="s">
        <v>271</v>
      </c>
      <c r="D247" s="20" t="s">
        <v>222</v>
      </c>
      <c r="E247" s="20" t="s">
        <v>286</v>
      </c>
      <c r="F247" s="20" t="s">
        <v>282</v>
      </c>
      <c r="G247" s="26">
        <v>0</v>
      </c>
      <c r="H247" s="175"/>
    </row>
    <row r="248" spans="1:9" ht="31.5" hidden="1" x14ac:dyDescent="0.25">
      <c r="A248" s="25" t="s">
        <v>287</v>
      </c>
      <c r="B248" s="16">
        <v>903</v>
      </c>
      <c r="C248" s="20" t="s">
        <v>271</v>
      </c>
      <c r="D248" s="20" t="s">
        <v>222</v>
      </c>
      <c r="E248" s="20" t="s">
        <v>288</v>
      </c>
      <c r="F248" s="20"/>
      <c r="G248" s="26">
        <f>G249</f>
        <v>0</v>
      </c>
      <c r="H248" s="175"/>
    </row>
    <row r="249" spans="1:9" ht="47.25" hidden="1" x14ac:dyDescent="0.25">
      <c r="A249" s="25" t="s">
        <v>279</v>
      </c>
      <c r="B249" s="16">
        <v>903</v>
      </c>
      <c r="C249" s="20" t="s">
        <v>271</v>
      </c>
      <c r="D249" s="20" t="s">
        <v>222</v>
      </c>
      <c r="E249" s="20" t="s">
        <v>288</v>
      </c>
      <c r="F249" s="20" t="s">
        <v>280</v>
      </c>
      <c r="G249" s="26">
        <f>G250</f>
        <v>0</v>
      </c>
      <c r="H249" s="175"/>
    </row>
    <row r="250" spans="1:9" ht="15.75" hidden="1" x14ac:dyDescent="0.25">
      <c r="A250" s="25" t="s">
        <v>281</v>
      </c>
      <c r="B250" s="16">
        <v>903</v>
      </c>
      <c r="C250" s="20" t="s">
        <v>271</v>
      </c>
      <c r="D250" s="20" t="s">
        <v>222</v>
      </c>
      <c r="E250" s="20" t="s">
        <v>288</v>
      </c>
      <c r="F250" s="20" t="s">
        <v>282</v>
      </c>
      <c r="G250" s="26">
        <v>0</v>
      </c>
      <c r="H250" s="175"/>
    </row>
    <row r="251" spans="1:9" ht="47.25" x14ac:dyDescent="0.25">
      <c r="A251" s="25" t="s">
        <v>289</v>
      </c>
      <c r="B251" s="16">
        <v>903</v>
      </c>
      <c r="C251" s="20" t="s">
        <v>271</v>
      </c>
      <c r="D251" s="20" t="s">
        <v>222</v>
      </c>
      <c r="E251" s="20" t="s">
        <v>290</v>
      </c>
      <c r="F251" s="20"/>
      <c r="G251" s="26">
        <f>G252</f>
        <v>50</v>
      </c>
      <c r="H251" s="175"/>
    </row>
    <row r="252" spans="1:9" ht="47.25" x14ac:dyDescent="0.25">
      <c r="A252" s="25" t="s">
        <v>279</v>
      </c>
      <c r="B252" s="16">
        <v>903</v>
      </c>
      <c r="C252" s="20" t="s">
        <v>271</v>
      </c>
      <c r="D252" s="20" t="s">
        <v>222</v>
      </c>
      <c r="E252" s="20" t="s">
        <v>290</v>
      </c>
      <c r="F252" s="20" t="s">
        <v>280</v>
      </c>
      <c r="G252" s="26">
        <f>G253</f>
        <v>50</v>
      </c>
      <c r="H252" s="175"/>
    </row>
    <row r="253" spans="1:9" ht="15.75" x14ac:dyDescent="0.25">
      <c r="A253" s="25" t="s">
        <v>281</v>
      </c>
      <c r="B253" s="16">
        <v>903</v>
      </c>
      <c r="C253" s="20" t="s">
        <v>271</v>
      </c>
      <c r="D253" s="20" t="s">
        <v>222</v>
      </c>
      <c r="E253" s="20" t="s">
        <v>290</v>
      </c>
      <c r="F253" s="20" t="s">
        <v>282</v>
      </c>
      <c r="G253" s="26">
        <v>50</v>
      </c>
      <c r="H253" s="175"/>
    </row>
    <row r="254" spans="1:9" ht="31.5" hidden="1" x14ac:dyDescent="0.25">
      <c r="A254" s="25" t="s">
        <v>291</v>
      </c>
      <c r="B254" s="16">
        <v>903</v>
      </c>
      <c r="C254" s="20" t="s">
        <v>271</v>
      </c>
      <c r="D254" s="20" t="s">
        <v>222</v>
      </c>
      <c r="E254" s="20" t="s">
        <v>292</v>
      </c>
      <c r="F254" s="20"/>
      <c r="G254" s="26">
        <f>G255</f>
        <v>0</v>
      </c>
      <c r="H254" s="175"/>
    </row>
    <row r="255" spans="1:9" ht="47.25" hidden="1" x14ac:dyDescent="0.25">
      <c r="A255" s="25" t="s">
        <v>279</v>
      </c>
      <c r="B255" s="16">
        <v>903</v>
      </c>
      <c r="C255" s="20" t="s">
        <v>271</v>
      </c>
      <c r="D255" s="20" t="s">
        <v>222</v>
      </c>
      <c r="E255" s="20" t="s">
        <v>293</v>
      </c>
      <c r="F255" s="20" t="s">
        <v>280</v>
      </c>
      <c r="G255" s="26">
        <f>G256</f>
        <v>0</v>
      </c>
      <c r="H255" s="175"/>
    </row>
    <row r="256" spans="1:9" ht="15.75" hidden="1" x14ac:dyDescent="0.25">
      <c r="A256" s="25" t="s">
        <v>281</v>
      </c>
      <c r="B256" s="16">
        <v>903</v>
      </c>
      <c r="C256" s="20" t="s">
        <v>271</v>
      </c>
      <c r="D256" s="20" t="s">
        <v>222</v>
      </c>
      <c r="E256" s="20" t="s">
        <v>293</v>
      </c>
      <c r="F256" s="20" t="s">
        <v>282</v>
      </c>
      <c r="G256" s="26">
        <v>0</v>
      </c>
      <c r="H256" s="175"/>
    </row>
    <row r="257" spans="1:9" ht="47.25" hidden="1" x14ac:dyDescent="0.25">
      <c r="A257" s="35" t="s">
        <v>294</v>
      </c>
      <c r="B257" s="16">
        <v>903</v>
      </c>
      <c r="C257" s="20" t="s">
        <v>271</v>
      </c>
      <c r="D257" s="20" t="s">
        <v>222</v>
      </c>
      <c r="E257" s="20" t="s">
        <v>295</v>
      </c>
      <c r="F257" s="20"/>
      <c r="G257" s="26">
        <f>G258</f>
        <v>0</v>
      </c>
      <c r="H257" s="175"/>
    </row>
    <row r="258" spans="1:9" ht="47.25" hidden="1" x14ac:dyDescent="0.25">
      <c r="A258" s="25" t="s">
        <v>279</v>
      </c>
      <c r="B258" s="16">
        <v>903</v>
      </c>
      <c r="C258" s="20" t="s">
        <v>271</v>
      </c>
      <c r="D258" s="20" t="s">
        <v>222</v>
      </c>
      <c r="E258" s="20" t="s">
        <v>295</v>
      </c>
      <c r="F258" s="20" t="s">
        <v>280</v>
      </c>
      <c r="G258" s="26">
        <f>G259</f>
        <v>0</v>
      </c>
      <c r="H258" s="175"/>
    </row>
    <row r="259" spans="1:9" ht="15.75" hidden="1" x14ac:dyDescent="0.25">
      <c r="A259" s="25" t="s">
        <v>281</v>
      </c>
      <c r="B259" s="16">
        <v>903</v>
      </c>
      <c r="C259" s="20" t="s">
        <v>271</v>
      </c>
      <c r="D259" s="20" t="s">
        <v>222</v>
      </c>
      <c r="E259" s="20" t="s">
        <v>295</v>
      </c>
      <c r="F259" s="20" t="s">
        <v>282</v>
      </c>
      <c r="G259" s="26">
        <v>0</v>
      </c>
      <c r="H259" s="175"/>
    </row>
    <row r="260" spans="1:9" ht="15.75" x14ac:dyDescent="0.25">
      <c r="A260" s="25" t="s">
        <v>128</v>
      </c>
      <c r="B260" s="16">
        <v>903</v>
      </c>
      <c r="C260" s="20" t="s">
        <v>271</v>
      </c>
      <c r="D260" s="20" t="s">
        <v>222</v>
      </c>
      <c r="E260" s="20" t="s">
        <v>129</v>
      </c>
      <c r="F260" s="20"/>
      <c r="G260" s="26">
        <f>G261</f>
        <v>1037.1000000000001</v>
      </c>
      <c r="H260" s="175"/>
    </row>
    <row r="261" spans="1:9" ht="31.5" x14ac:dyDescent="0.25">
      <c r="A261" s="25" t="s">
        <v>192</v>
      </c>
      <c r="B261" s="16">
        <v>903</v>
      </c>
      <c r="C261" s="20" t="s">
        <v>271</v>
      </c>
      <c r="D261" s="20" t="s">
        <v>222</v>
      </c>
      <c r="E261" s="20" t="s">
        <v>193</v>
      </c>
      <c r="F261" s="20"/>
      <c r="G261" s="26">
        <f>G262+G265+G268</f>
        <v>1037.1000000000001</v>
      </c>
      <c r="H261" s="175"/>
    </row>
    <row r="262" spans="1:9" ht="63" x14ac:dyDescent="0.25">
      <c r="A262" s="31" t="s">
        <v>296</v>
      </c>
      <c r="B262" s="16">
        <v>903</v>
      </c>
      <c r="C262" s="20" t="s">
        <v>271</v>
      </c>
      <c r="D262" s="20" t="s">
        <v>222</v>
      </c>
      <c r="E262" s="20" t="s">
        <v>297</v>
      </c>
      <c r="F262" s="20"/>
      <c r="G262" s="26">
        <f>G263</f>
        <v>126.69999999999999</v>
      </c>
      <c r="H262" s="175"/>
    </row>
    <row r="263" spans="1:9" ht="47.25" x14ac:dyDescent="0.25">
      <c r="A263" s="25" t="s">
        <v>279</v>
      </c>
      <c r="B263" s="16">
        <v>903</v>
      </c>
      <c r="C263" s="20" t="s">
        <v>271</v>
      </c>
      <c r="D263" s="20" t="s">
        <v>222</v>
      </c>
      <c r="E263" s="20" t="s">
        <v>297</v>
      </c>
      <c r="F263" s="20" t="s">
        <v>280</v>
      </c>
      <c r="G263" s="26">
        <f>G264</f>
        <v>126.69999999999999</v>
      </c>
      <c r="H263" s="175"/>
    </row>
    <row r="264" spans="1:9" ht="15.75" x14ac:dyDescent="0.25">
      <c r="A264" s="25" t="s">
        <v>281</v>
      </c>
      <c r="B264" s="16">
        <v>903</v>
      </c>
      <c r="C264" s="20" t="s">
        <v>271</v>
      </c>
      <c r="D264" s="20" t="s">
        <v>222</v>
      </c>
      <c r="E264" s="20" t="s">
        <v>297</v>
      </c>
      <c r="F264" s="20" t="s">
        <v>282</v>
      </c>
      <c r="G264" s="26">
        <f>162.6-35.9</f>
        <v>126.69999999999999</v>
      </c>
      <c r="H264" s="175"/>
      <c r="I264" s="114"/>
    </row>
    <row r="265" spans="1:9" ht="78.75" x14ac:dyDescent="0.25">
      <c r="A265" s="31" t="s">
        <v>298</v>
      </c>
      <c r="B265" s="16">
        <v>903</v>
      </c>
      <c r="C265" s="20" t="s">
        <v>271</v>
      </c>
      <c r="D265" s="20" t="s">
        <v>222</v>
      </c>
      <c r="E265" s="20" t="s">
        <v>299</v>
      </c>
      <c r="F265" s="20"/>
      <c r="G265" s="26">
        <f>G266</f>
        <v>310.70000000000005</v>
      </c>
      <c r="H265" s="175"/>
    </row>
    <row r="266" spans="1:9" ht="47.25" x14ac:dyDescent="0.25">
      <c r="A266" s="25" t="s">
        <v>279</v>
      </c>
      <c r="B266" s="16">
        <v>903</v>
      </c>
      <c r="C266" s="20" t="s">
        <v>271</v>
      </c>
      <c r="D266" s="20" t="s">
        <v>222</v>
      </c>
      <c r="E266" s="20" t="s">
        <v>299</v>
      </c>
      <c r="F266" s="20" t="s">
        <v>280</v>
      </c>
      <c r="G266" s="26">
        <f>G267</f>
        <v>310.70000000000005</v>
      </c>
      <c r="H266" s="175"/>
    </row>
    <row r="267" spans="1:9" ht="15.75" x14ac:dyDescent="0.25">
      <c r="A267" s="25" t="s">
        <v>281</v>
      </c>
      <c r="B267" s="16">
        <v>903</v>
      </c>
      <c r="C267" s="20" t="s">
        <v>271</v>
      </c>
      <c r="D267" s="20" t="s">
        <v>222</v>
      </c>
      <c r="E267" s="20" t="s">
        <v>299</v>
      </c>
      <c r="F267" s="20" t="s">
        <v>282</v>
      </c>
      <c r="G267" s="26">
        <f>393.3-82.6</f>
        <v>310.70000000000005</v>
      </c>
      <c r="H267" s="175"/>
      <c r="I267" s="114"/>
    </row>
    <row r="268" spans="1:9" ht="110.25" x14ac:dyDescent="0.25">
      <c r="A268" s="31" t="s">
        <v>300</v>
      </c>
      <c r="B268" s="16">
        <v>903</v>
      </c>
      <c r="C268" s="20" t="s">
        <v>271</v>
      </c>
      <c r="D268" s="20" t="s">
        <v>222</v>
      </c>
      <c r="E268" s="20" t="s">
        <v>301</v>
      </c>
      <c r="F268" s="20"/>
      <c r="G268" s="26">
        <f>G269</f>
        <v>599.70000000000005</v>
      </c>
      <c r="H268" s="175"/>
    </row>
    <row r="269" spans="1:9" ht="47.25" x14ac:dyDescent="0.25">
      <c r="A269" s="25" t="s">
        <v>279</v>
      </c>
      <c r="B269" s="16">
        <v>903</v>
      </c>
      <c r="C269" s="20" t="s">
        <v>271</v>
      </c>
      <c r="D269" s="20" t="s">
        <v>222</v>
      </c>
      <c r="E269" s="20" t="s">
        <v>301</v>
      </c>
      <c r="F269" s="20" t="s">
        <v>280</v>
      </c>
      <c r="G269" s="26">
        <f>G270</f>
        <v>599.70000000000005</v>
      </c>
      <c r="H269" s="175"/>
    </row>
    <row r="270" spans="1:9" ht="15.75" x14ac:dyDescent="0.25">
      <c r="A270" s="25" t="s">
        <v>281</v>
      </c>
      <c r="B270" s="16">
        <v>903</v>
      </c>
      <c r="C270" s="20" t="s">
        <v>271</v>
      </c>
      <c r="D270" s="20" t="s">
        <v>222</v>
      </c>
      <c r="E270" s="20" t="s">
        <v>301</v>
      </c>
      <c r="F270" s="20" t="s">
        <v>282</v>
      </c>
      <c r="G270" s="26">
        <f>600-0.3</f>
        <v>599.70000000000005</v>
      </c>
      <c r="H270" s="175"/>
      <c r="I270" s="114"/>
    </row>
    <row r="271" spans="1:9" ht="15.75" hidden="1" x14ac:dyDescent="0.25">
      <c r="A271" s="23" t="s">
        <v>302</v>
      </c>
      <c r="B271" s="19">
        <v>903</v>
      </c>
      <c r="C271" s="24" t="s">
        <v>271</v>
      </c>
      <c r="D271" s="24" t="s">
        <v>226</v>
      </c>
      <c r="E271" s="24"/>
      <c r="F271" s="24"/>
      <c r="G271" s="26">
        <f>G272</f>
        <v>0</v>
      </c>
      <c r="H271" s="175"/>
    </row>
    <row r="272" spans="1:9" ht="15.75" hidden="1" x14ac:dyDescent="0.25">
      <c r="A272" s="25" t="s">
        <v>128</v>
      </c>
      <c r="B272" s="16">
        <v>903</v>
      </c>
      <c r="C272" s="20" t="s">
        <v>271</v>
      </c>
      <c r="D272" s="20" t="s">
        <v>226</v>
      </c>
      <c r="E272" s="20" t="s">
        <v>129</v>
      </c>
      <c r="F272" s="20"/>
      <c r="G272" s="26">
        <f>G273</f>
        <v>0</v>
      </c>
      <c r="H272" s="175"/>
    </row>
    <row r="273" spans="1:12" ht="31.5" hidden="1" x14ac:dyDescent="0.25">
      <c r="A273" s="25" t="s">
        <v>192</v>
      </c>
      <c r="B273" s="16">
        <v>903</v>
      </c>
      <c r="C273" s="20" t="s">
        <v>271</v>
      </c>
      <c r="D273" s="20" t="s">
        <v>226</v>
      </c>
      <c r="E273" s="20" t="s">
        <v>193</v>
      </c>
      <c r="F273" s="20"/>
      <c r="G273" s="26">
        <f>G274</f>
        <v>0</v>
      </c>
      <c r="H273" s="175"/>
    </row>
    <row r="274" spans="1:12" ht="31.5" hidden="1" x14ac:dyDescent="0.25">
      <c r="A274" s="36" t="s">
        <v>303</v>
      </c>
      <c r="B274" s="37">
        <v>903</v>
      </c>
      <c r="C274" s="20" t="s">
        <v>271</v>
      </c>
      <c r="D274" s="20" t="s">
        <v>226</v>
      </c>
      <c r="E274" s="20" t="s">
        <v>304</v>
      </c>
      <c r="F274" s="20"/>
      <c r="G274" s="26">
        <f>G275</f>
        <v>0</v>
      </c>
      <c r="H274" s="175"/>
    </row>
    <row r="275" spans="1:12" ht="15.75" hidden="1" x14ac:dyDescent="0.25">
      <c r="A275" s="25" t="s">
        <v>142</v>
      </c>
      <c r="B275" s="16">
        <v>903</v>
      </c>
      <c r="C275" s="20" t="s">
        <v>271</v>
      </c>
      <c r="D275" s="20" t="s">
        <v>226</v>
      </c>
      <c r="E275" s="20" t="s">
        <v>304</v>
      </c>
      <c r="F275" s="20" t="s">
        <v>152</v>
      </c>
      <c r="G275" s="26">
        <f>G276</f>
        <v>0</v>
      </c>
      <c r="H275" s="175"/>
    </row>
    <row r="276" spans="1:12" ht="63" hidden="1" x14ac:dyDescent="0.25">
      <c r="A276" s="25" t="s">
        <v>191</v>
      </c>
      <c r="B276" s="16">
        <v>903</v>
      </c>
      <c r="C276" s="20" t="s">
        <v>271</v>
      </c>
      <c r="D276" s="20" t="s">
        <v>226</v>
      </c>
      <c r="E276" s="20" t="s">
        <v>304</v>
      </c>
      <c r="F276" s="20" t="s">
        <v>167</v>
      </c>
      <c r="G276" s="26"/>
      <c r="H276" s="175"/>
    </row>
    <row r="277" spans="1:12" ht="15.75" x14ac:dyDescent="0.25">
      <c r="A277" s="23" t="s">
        <v>305</v>
      </c>
      <c r="B277" s="19">
        <v>903</v>
      </c>
      <c r="C277" s="24" t="s">
        <v>306</v>
      </c>
      <c r="D277" s="24"/>
      <c r="E277" s="24"/>
      <c r="F277" s="24"/>
      <c r="G277" s="21">
        <f>G278+G358</f>
        <v>61699.8</v>
      </c>
      <c r="H277" s="175"/>
    </row>
    <row r="278" spans="1:12" ht="15.75" x14ac:dyDescent="0.25">
      <c r="A278" s="23" t="s">
        <v>307</v>
      </c>
      <c r="B278" s="19">
        <v>903</v>
      </c>
      <c r="C278" s="24" t="s">
        <v>306</v>
      </c>
      <c r="D278" s="24" t="s">
        <v>125</v>
      </c>
      <c r="E278" s="24"/>
      <c r="F278" s="24"/>
      <c r="G278" s="21">
        <f>G279+G337+G333</f>
        <v>44421.000000000007</v>
      </c>
      <c r="H278" s="175"/>
    </row>
    <row r="279" spans="1:12" ht="47.25" x14ac:dyDescent="0.25">
      <c r="A279" s="25" t="s">
        <v>273</v>
      </c>
      <c r="B279" s="16">
        <v>903</v>
      </c>
      <c r="C279" s="20" t="s">
        <v>306</v>
      </c>
      <c r="D279" s="20" t="s">
        <v>125</v>
      </c>
      <c r="E279" s="20" t="s">
        <v>274</v>
      </c>
      <c r="F279" s="20"/>
      <c r="G279" s="26">
        <f>G280+G306</f>
        <v>42083.100000000006</v>
      </c>
      <c r="H279" s="175"/>
    </row>
    <row r="280" spans="1:12" ht="63" x14ac:dyDescent="0.25">
      <c r="A280" s="25" t="s">
        <v>308</v>
      </c>
      <c r="B280" s="16">
        <v>903</v>
      </c>
      <c r="C280" s="20" t="s">
        <v>306</v>
      </c>
      <c r="D280" s="20" t="s">
        <v>125</v>
      </c>
      <c r="E280" s="20" t="s">
        <v>309</v>
      </c>
      <c r="F280" s="20"/>
      <c r="G280" s="26">
        <f>G281+G299+G284+G287+G290+G293+G296</f>
        <v>25422.5</v>
      </c>
      <c r="H280" s="175"/>
    </row>
    <row r="281" spans="1:12" ht="52.5" customHeight="1" x14ac:dyDescent="0.25">
      <c r="A281" s="25" t="s">
        <v>310</v>
      </c>
      <c r="B281" s="16">
        <v>903</v>
      </c>
      <c r="C281" s="20" t="s">
        <v>306</v>
      </c>
      <c r="D281" s="20" t="s">
        <v>125</v>
      </c>
      <c r="E281" s="20" t="s">
        <v>311</v>
      </c>
      <c r="F281" s="20"/>
      <c r="G281" s="26">
        <f>G282</f>
        <v>23654.800000000003</v>
      </c>
      <c r="H281" s="175"/>
    </row>
    <row r="282" spans="1:12" ht="47.25" x14ac:dyDescent="0.25">
      <c r="A282" s="25" t="s">
        <v>279</v>
      </c>
      <c r="B282" s="16">
        <v>903</v>
      </c>
      <c r="C282" s="20" t="s">
        <v>306</v>
      </c>
      <c r="D282" s="20" t="s">
        <v>125</v>
      </c>
      <c r="E282" s="20" t="s">
        <v>311</v>
      </c>
      <c r="F282" s="20" t="s">
        <v>280</v>
      </c>
      <c r="G282" s="26">
        <f>G283</f>
        <v>23654.800000000003</v>
      </c>
      <c r="H282" s="175"/>
    </row>
    <row r="283" spans="1:12" ht="15.75" x14ac:dyDescent="0.25">
      <c r="A283" s="25" t="s">
        <v>281</v>
      </c>
      <c r="B283" s="16">
        <v>903</v>
      </c>
      <c r="C283" s="20" t="s">
        <v>306</v>
      </c>
      <c r="D283" s="20" t="s">
        <v>125</v>
      </c>
      <c r="E283" s="20" t="s">
        <v>311</v>
      </c>
      <c r="F283" s="20" t="s">
        <v>282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713</v>
      </c>
      <c r="B284" s="16">
        <v>903</v>
      </c>
      <c r="C284" s="20" t="s">
        <v>306</v>
      </c>
      <c r="D284" s="20" t="s">
        <v>125</v>
      </c>
      <c r="E284" s="20" t="s">
        <v>312</v>
      </c>
      <c r="F284" s="20"/>
      <c r="G284" s="26">
        <f>G285</f>
        <v>96.1</v>
      </c>
      <c r="H284" s="175"/>
      <c r="L284" s="116"/>
    </row>
    <row r="285" spans="1:12" ht="47.25" x14ac:dyDescent="0.25">
      <c r="A285" s="25" t="s">
        <v>279</v>
      </c>
      <c r="B285" s="16">
        <v>903</v>
      </c>
      <c r="C285" s="20" t="s">
        <v>306</v>
      </c>
      <c r="D285" s="20" t="s">
        <v>125</v>
      </c>
      <c r="E285" s="20" t="s">
        <v>312</v>
      </c>
      <c r="F285" s="20" t="s">
        <v>280</v>
      </c>
      <c r="G285" s="26">
        <f>G286</f>
        <v>96.1</v>
      </c>
      <c r="H285" s="175"/>
    </row>
    <row r="286" spans="1:12" ht="15.75" x14ac:dyDescent="0.25">
      <c r="A286" s="25" t="s">
        <v>281</v>
      </c>
      <c r="B286" s="16">
        <v>903</v>
      </c>
      <c r="C286" s="20" t="s">
        <v>306</v>
      </c>
      <c r="D286" s="20" t="s">
        <v>125</v>
      </c>
      <c r="E286" s="20" t="s">
        <v>312</v>
      </c>
      <c r="F286" s="20" t="s">
        <v>282</v>
      </c>
      <c r="G286" s="26">
        <v>96.1</v>
      </c>
      <c r="H286" s="105"/>
    </row>
    <row r="287" spans="1:12" ht="47.25" x14ac:dyDescent="0.25">
      <c r="A287" s="25" t="s">
        <v>285</v>
      </c>
      <c r="B287" s="16">
        <v>903</v>
      </c>
      <c r="C287" s="20" t="s">
        <v>306</v>
      </c>
      <c r="D287" s="20" t="s">
        <v>125</v>
      </c>
      <c r="E287" s="20" t="s">
        <v>313</v>
      </c>
      <c r="F287" s="20"/>
      <c r="G287" s="26">
        <f>G288</f>
        <v>142.1</v>
      </c>
      <c r="H287" s="175"/>
    </row>
    <row r="288" spans="1:12" ht="47.25" x14ac:dyDescent="0.25">
      <c r="A288" s="25" t="s">
        <v>279</v>
      </c>
      <c r="B288" s="16">
        <v>903</v>
      </c>
      <c r="C288" s="20" t="s">
        <v>306</v>
      </c>
      <c r="D288" s="20" t="s">
        <v>125</v>
      </c>
      <c r="E288" s="20" t="s">
        <v>313</v>
      </c>
      <c r="F288" s="20" t="s">
        <v>280</v>
      </c>
      <c r="G288" s="26">
        <f>G289</f>
        <v>142.1</v>
      </c>
      <c r="H288" s="175"/>
    </row>
    <row r="289" spans="1:10" ht="15.75" x14ac:dyDescent="0.25">
      <c r="A289" s="25" t="s">
        <v>281</v>
      </c>
      <c r="B289" s="16">
        <v>903</v>
      </c>
      <c r="C289" s="20" t="s">
        <v>306</v>
      </c>
      <c r="D289" s="20" t="s">
        <v>125</v>
      </c>
      <c r="E289" s="20" t="s">
        <v>313</v>
      </c>
      <c r="F289" s="20" t="s">
        <v>282</v>
      </c>
      <c r="G289" s="26">
        <v>142.1</v>
      </c>
      <c r="H289" s="175"/>
      <c r="I289" s="114"/>
    </row>
    <row r="290" spans="1:10" ht="15.75" x14ac:dyDescent="0.25">
      <c r="A290" s="25" t="s">
        <v>314</v>
      </c>
      <c r="B290" s="16">
        <v>903</v>
      </c>
      <c r="C290" s="20" t="s">
        <v>306</v>
      </c>
      <c r="D290" s="20" t="s">
        <v>125</v>
      </c>
      <c r="E290" s="20" t="s">
        <v>315</v>
      </c>
      <c r="F290" s="20"/>
      <c r="G290" s="26">
        <f>G291</f>
        <v>1529.5</v>
      </c>
      <c r="H290" s="175"/>
    </row>
    <row r="291" spans="1:10" ht="47.25" x14ac:dyDescent="0.25">
      <c r="A291" s="25" t="s">
        <v>279</v>
      </c>
      <c r="B291" s="16">
        <v>903</v>
      </c>
      <c r="C291" s="20" t="s">
        <v>306</v>
      </c>
      <c r="D291" s="20" t="s">
        <v>125</v>
      </c>
      <c r="E291" s="20" t="s">
        <v>315</v>
      </c>
      <c r="F291" s="20" t="s">
        <v>280</v>
      </c>
      <c r="G291" s="26">
        <f>G292</f>
        <v>1529.5</v>
      </c>
      <c r="H291" s="175"/>
    </row>
    <row r="292" spans="1:10" ht="15.75" x14ac:dyDescent="0.25">
      <c r="A292" s="25" t="s">
        <v>281</v>
      </c>
      <c r="B292" s="16">
        <v>903</v>
      </c>
      <c r="C292" s="20" t="s">
        <v>306</v>
      </c>
      <c r="D292" s="20" t="s">
        <v>125</v>
      </c>
      <c r="E292" s="20" t="s">
        <v>315</v>
      </c>
      <c r="F292" s="20" t="s">
        <v>282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291</v>
      </c>
      <c r="B293" s="16">
        <v>903</v>
      </c>
      <c r="C293" s="20" t="s">
        <v>306</v>
      </c>
      <c r="D293" s="20" t="s">
        <v>125</v>
      </c>
      <c r="E293" s="20" t="s">
        <v>292</v>
      </c>
      <c r="F293" s="20"/>
      <c r="G293" s="26">
        <f>G294</f>
        <v>0</v>
      </c>
      <c r="H293" s="175"/>
    </row>
    <row r="294" spans="1:10" ht="47.25" hidden="1" x14ac:dyDescent="0.25">
      <c r="A294" s="25" t="s">
        <v>279</v>
      </c>
      <c r="B294" s="16">
        <v>903</v>
      </c>
      <c r="C294" s="20" t="s">
        <v>306</v>
      </c>
      <c r="D294" s="20" t="s">
        <v>125</v>
      </c>
      <c r="E294" s="20" t="s">
        <v>292</v>
      </c>
      <c r="F294" s="20" t="s">
        <v>280</v>
      </c>
      <c r="G294" s="26">
        <f>G295</f>
        <v>0</v>
      </c>
      <c r="H294" s="175"/>
    </row>
    <row r="295" spans="1:10" ht="15.75" hidden="1" x14ac:dyDescent="0.25">
      <c r="A295" s="25" t="s">
        <v>281</v>
      </c>
      <c r="B295" s="16">
        <v>903</v>
      </c>
      <c r="C295" s="20" t="s">
        <v>306</v>
      </c>
      <c r="D295" s="20" t="s">
        <v>125</v>
      </c>
      <c r="E295" s="20" t="s">
        <v>292</v>
      </c>
      <c r="F295" s="20" t="s">
        <v>282</v>
      </c>
      <c r="G295" s="26">
        <v>0</v>
      </c>
      <c r="H295" s="175"/>
    </row>
    <row r="296" spans="1:10" ht="47.25" hidden="1" x14ac:dyDescent="0.25">
      <c r="A296" s="35" t="s">
        <v>294</v>
      </c>
      <c r="B296" s="16">
        <v>903</v>
      </c>
      <c r="C296" s="20" t="s">
        <v>306</v>
      </c>
      <c r="D296" s="20" t="s">
        <v>125</v>
      </c>
      <c r="E296" s="20" t="s">
        <v>316</v>
      </c>
      <c r="F296" s="20"/>
      <c r="G296" s="26">
        <f>G297</f>
        <v>0</v>
      </c>
      <c r="H296" s="175"/>
    </row>
    <row r="297" spans="1:10" ht="47.25" hidden="1" x14ac:dyDescent="0.25">
      <c r="A297" s="25" t="s">
        <v>279</v>
      </c>
      <c r="B297" s="16">
        <v>903</v>
      </c>
      <c r="C297" s="20" t="s">
        <v>306</v>
      </c>
      <c r="D297" s="20" t="s">
        <v>125</v>
      </c>
      <c r="E297" s="20" t="s">
        <v>316</v>
      </c>
      <c r="F297" s="20" t="s">
        <v>280</v>
      </c>
      <c r="G297" s="26">
        <f>G298</f>
        <v>0</v>
      </c>
      <c r="H297" s="175"/>
    </row>
    <row r="298" spans="1:10" ht="15.75" hidden="1" x14ac:dyDescent="0.25">
      <c r="A298" s="25" t="s">
        <v>281</v>
      </c>
      <c r="B298" s="16">
        <v>903</v>
      </c>
      <c r="C298" s="20" t="s">
        <v>306</v>
      </c>
      <c r="D298" s="20" t="s">
        <v>125</v>
      </c>
      <c r="E298" s="20" t="s">
        <v>316</v>
      </c>
      <c r="F298" s="20" t="s">
        <v>282</v>
      </c>
      <c r="G298" s="26">
        <v>0</v>
      </c>
      <c r="H298" s="175"/>
    </row>
    <row r="299" spans="1:10" ht="47.25" hidden="1" customHeight="1" x14ac:dyDescent="0.25">
      <c r="A299" s="25" t="s">
        <v>317</v>
      </c>
      <c r="B299" s="16">
        <v>903</v>
      </c>
      <c r="C299" s="20" t="s">
        <v>306</v>
      </c>
      <c r="D299" s="20" t="s">
        <v>125</v>
      </c>
      <c r="E299" s="20" t="s">
        <v>318</v>
      </c>
      <c r="F299" s="20"/>
      <c r="G299" s="26">
        <f>G300+G302+G304</f>
        <v>0</v>
      </c>
      <c r="H299" s="175"/>
    </row>
    <row r="300" spans="1:10" ht="94.5" hidden="1" x14ac:dyDescent="0.25">
      <c r="A300" s="25" t="s">
        <v>134</v>
      </c>
      <c r="B300" s="16">
        <v>903</v>
      </c>
      <c r="C300" s="20" t="s">
        <v>306</v>
      </c>
      <c r="D300" s="20" t="s">
        <v>125</v>
      </c>
      <c r="E300" s="20" t="s">
        <v>318</v>
      </c>
      <c r="F300" s="20" t="s">
        <v>135</v>
      </c>
      <c r="G300" s="26">
        <f>G301</f>
        <v>0</v>
      </c>
      <c r="H300" s="175"/>
    </row>
    <row r="301" spans="1:10" ht="31.5" hidden="1" x14ac:dyDescent="0.25">
      <c r="A301" s="25" t="s">
        <v>215</v>
      </c>
      <c r="B301" s="16">
        <v>903</v>
      </c>
      <c r="C301" s="20" t="s">
        <v>306</v>
      </c>
      <c r="D301" s="20" t="s">
        <v>125</v>
      </c>
      <c r="E301" s="20" t="s">
        <v>318</v>
      </c>
      <c r="F301" s="20" t="s">
        <v>216</v>
      </c>
      <c r="G301" s="27">
        <v>0</v>
      </c>
      <c r="H301" s="175"/>
    </row>
    <row r="302" spans="1:10" ht="31.5" hidden="1" x14ac:dyDescent="0.25">
      <c r="A302" s="25" t="s">
        <v>138</v>
      </c>
      <c r="B302" s="16">
        <v>903</v>
      </c>
      <c r="C302" s="20" t="s">
        <v>306</v>
      </c>
      <c r="D302" s="20" t="s">
        <v>125</v>
      </c>
      <c r="E302" s="20" t="s">
        <v>318</v>
      </c>
      <c r="F302" s="20" t="s">
        <v>139</v>
      </c>
      <c r="G302" s="26">
        <f>G303</f>
        <v>0</v>
      </c>
      <c r="H302" s="175"/>
    </row>
    <row r="303" spans="1:10" ht="47.25" hidden="1" x14ac:dyDescent="0.25">
      <c r="A303" s="25" t="s">
        <v>140</v>
      </c>
      <c r="B303" s="16">
        <v>903</v>
      </c>
      <c r="C303" s="20" t="s">
        <v>306</v>
      </c>
      <c r="D303" s="20" t="s">
        <v>125</v>
      </c>
      <c r="E303" s="20" t="s">
        <v>318</v>
      </c>
      <c r="F303" s="20" t="s">
        <v>141</v>
      </c>
      <c r="G303" s="27">
        <v>0</v>
      </c>
      <c r="H303" s="175"/>
    </row>
    <row r="304" spans="1:10" ht="15.75" hidden="1" x14ac:dyDescent="0.25">
      <c r="A304" s="25" t="s">
        <v>142</v>
      </c>
      <c r="B304" s="16">
        <v>903</v>
      </c>
      <c r="C304" s="20" t="s">
        <v>306</v>
      </c>
      <c r="D304" s="20" t="s">
        <v>125</v>
      </c>
      <c r="E304" s="20" t="s">
        <v>318</v>
      </c>
      <c r="F304" s="20" t="s">
        <v>152</v>
      </c>
      <c r="G304" s="26">
        <f>G305</f>
        <v>0</v>
      </c>
      <c r="H304" s="175"/>
    </row>
    <row r="305" spans="1:9" ht="15.75" hidden="1" x14ac:dyDescent="0.25">
      <c r="A305" s="25" t="s">
        <v>144</v>
      </c>
      <c r="B305" s="16">
        <v>903</v>
      </c>
      <c r="C305" s="20" t="s">
        <v>306</v>
      </c>
      <c r="D305" s="20" t="s">
        <v>125</v>
      </c>
      <c r="E305" s="20" t="s">
        <v>318</v>
      </c>
      <c r="F305" s="20" t="s">
        <v>145</v>
      </c>
      <c r="G305" s="26">
        <v>0</v>
      </c>
      <c r="H305" s="175"/>
    </row>
    <row r="306" spans="1:9" ht="47.25" x14ac:dyDescent="0.25">
      <c r="A306" s="25" t="s">
        <v>319</v>
      </c>
      <c r="B306" s="16">
        <v>903</v>
      </c>
      <c r="C306" s="20" t="s">
        <v>306</v>
      </c>
      <c r="D306" s="20" t="s">
        <v>125</v>
      </c>
      <c r="E306" s="20" t="s">
        <v>320</v>
      </c>
      <c r="F306" s="20"/>
      <c r="G306" s="26">
        <f>G307+G330+G318+G321+G324+G327+G310+G315</f>
        <v>16660.600000000002</v>
      </c>
      <c r="H306" s="175"/>
    </row>
    <row r="307" spans="1:9" ht="51" customHeight="1" x14ac:dyDescent="0.25">
      <c r="A307" s="25" t="s">
        <v>310</v>
      </c>
      <c r="B307" s="16">
        <v>903</v>
      </c>
      <c r="C307" s="20" t="s">
        <v>306</v>
      </c>
      <c r="D307" s="20" t="s">
        <v>125</v>
      </c>
      <c r="E307" s="20" t="s">
        <v>321</v>
      </c>
      <c r="F307" s="20"/>
      <c r="G307" s="26">
        <f>G308</f>
        <v>16655.2</v>
      </c>
      <c r="H307" s="175"/>
    </row>
    <row r="308" spans="1:9" ht="47.25" x14ac:dyDescent="0.25">
      <c r="A308" s="25" t="s">
        <v>279</v>
      </c>
      <c r="B308" s="16">
        <v>903</v>
      </c>
      <c r="C308" s="20" t="s">
        <v>306</v>
      </c>
      <c r="D308" s="20" t="s">
        <v>125</v>
      </c>
      <c r="E308" s="20" t="s">
        <v>321</v>
      </c>
      <c r="F308" s="20" t="s">
        <v>280</v>
      </c>
      <c r="G308" s="26">
        <f>G309</f>
        <v>16655.2</v>
      </c>
      <c r="H308" s="175"/>
    </row>
    <row r="309" spans="1:9" ht="15.75" x14ac:dyDescent="0.25">
      <c r="A309" s="25" t="s">
        <v>281</v>
      </c>
      <c r="B309" s="16">
        <v>903</v>
      </c>
      <c r="C309" s="20" t="s">
        <v>306</v>
      </c>
      <c r="D309" s="20" t="s">
        <v>125</v>
      </c>
      <c r="E309" s="20" t="s">
        <v>321</v>
      </c>
      <c r="F309" s="20" t="s">
        <v>282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322</v>
      </c>
      <c r="B310" s="16">
        <v>903</v>
      </c>
      <c r="C310" s="20" t="s">
        <v>306</v>
      </c>
      <c r="D310" s="20" t="s">
        <v>125</v>
      </c>
      <c r="E310" s="20" t="s">
        <v>323</v>
      </c>
      <c r="F310" s="20"/>
      <c r="G310" s="27">
        <f>G311+G313</f>
        <v>5</v>
      </c>
      <c r="H310" s="175"/>
    </row>
    <row r="311" spans="1:9" ht="31.5" hidden="1" x14ac:dyDescent="0.25">
      <c r="A311" s="25" t="s">
        <v>138</v>
      </c>
      <c r="B311" s="16">
        <v>903</v>
      </c>
      <c r="C311" s="20" t="s">
        <v>306</v>
      </c>
      <c r="D311" s="20" t="s">
        <v>125</v>
      </c>
      <c r="E311" s="20" t="s">
        <v>323</v>
      </c>
      <c r="F311" s="20" t="s">
        <v>139</v>
      </c>
      <c r="G311" s="27">
        <f>G312</f>
        <v>0</v>
      </c>
      <c r="H311" s="175"/>
    </row>
    <row r="312" spans="1:9" ht="47.25" hidden="1" x14ac:dyDescent="0.25">
      <c r="A312" s="25" t="s">
        <v>140</v>
      </c>
      <c r="B312" s="16">
        <v>903</v>
      </c>
      <c r="C312" s="20" t="s">
        <v>306</v>
      </c>
      <c r="D312" s="20" t="s">
        <v>125</v>
      </c>
      <c r="E312" s="20" t="s">
        <v>323</v>
      </c>
      <c r="F312" s="20" t="s">
        <v>141</v>
      </c>
      <c r="G312" s="27">
        <v>0</v>
      </c>
      <c r="H312" s="175"/>
    </row>
    <row r="313" spans="1:9" ht="47.25" x14ac:dyDescent="0.25">
      <c r="A313" s="25" t="s">
        <v>279</v>
      </c>
      <c r="B313" s="16">
        <v>903</v>
      </c>
      <c r="C313" s="20" t="s">
        <v>306</v>
      </c>
      <c r="D313" s="20" t="s">
        <v>125</v>
      </c>
      <c r="E313" s="20" t="s">
        <v>323</v>
      </c>
      <c r="F313" s="20" t="s">
        <v>280</v>
      </c>
      <c r="G313" s="27">
        <f>G314</f>
        <v>5</v>
      </c>
      <c r="H313" s="175"/>
    </row>
    <row r="314" spans="1:9" ht="15.75" x14ac:dyDescent="0.25">
      <c r="A314" s="25" t="s">
        <v>281</v>
      </c>
      <c r="B314" s="16">
        <v>903</v>
      </c>
      <c r="C314" s="20" t="s">
        <v>306</v>
      </c>
      <c r="D314" s="20" t="s">
        <v>125</v>
      </c>
      <c r="E314" s="20" t="s">
        <v>323</v>
      </c>
      <c r="F314" s="20" t="s">
        <v>282</v>
      </c>
      <c r="G314" s="27">
        <v>5</v>
      </c>
      <c r="H314" s="175"/>
    </row>
    <row r="315" spans="1:9" ht="15.75" x14ac:dyDescent="0.25">
      <c r="A315" s="25" t="s">
        <v>691</v>
      </c>
      <c r="B315" s="16">
        <v>903</v>
      </c>
      <c r="C315" s="20" t="s">
        <v>306</v>
      </c>
      <c r="D315" s="20" t="s">
        <v>125</v>
      </c>
      <c r="E315" s="20" t="s">
        <v>692</v>
      </c>
      <c r="F315" s="20"/>
      <c r="G315" s="27">
        <f>G316</f>
        <v>0.4</v>
      </c>
      <c r="H315" s="175"/>
    </row>
    <row r="316" spans="1:9" ht="47.25" x14ac:dyDescent="0.25">
      <c r="A316" s="25" t="s">
        <v>279</v>
      </c>
      <c r="B316" s="16">
        <v>903</v>
      </c>
      <c r="C316" s="20" t="s">
        <v>306</v>
      </c>
      <c r="D316" s="20" t="s">
        <v>125</v>
      </c>
      <c r="E316" s="20" t="s">
        <v>692</v>
      </c>
      <c r="F316" s="20" t="s">
        <v>280</v>
      </c>
      <c r="G316" s="27">
        <f>G317</f>
        <v>0.4</v>
      </c>
      <c r="H316" s="175"/>
    </row>
    <row r="317" spans="1:9" ht="15.75" x14ac:dyDescent="0.25">
      <c r="A317" s="25" t="s">
        <v>281</v>
      </c>
      <c r="B317" s="16">
        <v>903</v>
      </c>
      <c r="C317" s="20" t="s">
        <v>306</v>
      </c>
      <c r="D317" s="20" t="s">
        <v>125</v>
      </c>
      <c r="E317" s="20" t="s">
        <v>692</v>
      </c>
      <c r="F317" s="20" t="s">
        <v>282</v>
      </c>
      <c r="G317" s="27">
        <v>0.4</v>
      </c>
      <c r="H317" s="105"/>
    </row>
    <row r="318" spans="1:9" ht="47.25" hidden="1" x14ac:dyDescent="0.25">
      <c r="A318" s="25" t="s">
        <v>283</v>
      </c>
      <c r="B318" s="16">
        <v>903</v>
      </c>
      <c r="C318" s="20" t="s">
        <v>306</v>
      </c>
      <c r="D318" s="20" t="s">
        <v>125</v>
      </c>
      <c r="E318" s="20" t="s">
        <v>324</v>
      </c>
      <c r="F318" s="20"/>
      <c r="G318" s="26">
        <f>G319</f>
        <v>0</v>
      </c>
      <c r="H318" s="175"/>
    </row>
    <row r="319" spans="1:9" ht="47.25" hidden="1" x14ac:dyDescent="0.25">
      <c r="A319" s="25" t="s">
        <v>279</v>
      </c>
      <c r="B319" s="16">
        <v>903</v>
      </c>
      <c r="C319" s="20" t="s">
        <v>306</v>
      </c>
      <c r="D319" s="20" t="s">
        <v>125</v>
      </c>
      <c r="E319" s="20" t="s">
        <v>324</v>
      </c>
      <c r="F319" s="20" t="s">
        <v>280</v>
      </c>
      <c r="G319" s="26">
        <f>G320</f>
        <v>0</v>
      </c>
      <c r="H319" s="175"/>
    </row>
    <row r="320" spans="1:9" ht="15.75" hidden="1" x14ac:dyDescent="0.25">
      <c r="A320" s="25" t="s">
        <v>281</v>
      </c>
      <c r="B320" s="16">
        <v>903</v>
      </c>
      <c r="C320" s="20" t="s">
        <v>306</v>
      </c>
      <c r="D320" s="20" t="s">
        <v>125</v>
      </c>
      <c r="E320" s="20" t="s">
        <v>324</v>
      </c>
      <c r="F320" s="20" t="s">
        <v>282</v>
      </c>
      <c r="G320" s="26">
        <v>0</v>
      </c>
      <c r="H320" s="175"/>
    </row>
    <row r="321" spans="1:8" ht="47.25" hidden="1" x14ac:dyDescent="0.25">
      <c r="A321" s="25" t="s">
        <v>285</v>
      </c>
      <c r="B321" s="16">
        <v>903</v>
      </c>
      <c r="C321" s="20" t="s">
        <v>306</v>
      </c>
      <c r="D321" s="20" t="s">
        <v>125</v>
      </c>
      <c r="E321" s="20" t="s">
        <v>325</v>
      </c>
      <c r="F321" s="20"/>
      <c r="G321" s="26">
        <f>G322</f>
        <v>0</v>
      </c>
      <c r="H321" s="175"/>
    </row>
    <row r="322" spans="1:8" ht="47.25" hidden="1" x14ac:dyDescent="0.25">
      <c r="A322" s="25" t="s">
        <v>279</v>
      </c>
      <c r="B322" s="16">
        <v>903</v>
      </c>
      <c r="C322" s="20" t="s">
        <v>306</v>
      </c>
      <c r="D322" s="20" t="s">
        <v>125</v>
      </c>
      <c r="E322" s="20" t="s">
        <v>325</v>
      </c>
      <c r="F322" s="20" t="s">
        <v>280</v>
      </c>
      <c r="G322" s="26">
        <f>G323</f>
        <v>0</v>
      </c>
      <c r="H322" s="175"/>
    </row>
    <row r="323" spans="1:8" ht="15.75" hidden="1" x14ac:dyDescent="0.25">
      <c r="A323" s="25" t="s">
        <v>281</v>
      </c>
      <c r="B323" s="16">
        <v>903</v>
      </c>
      <c r="C323" s="20" t="s">
        <v>306</v>
      </c>
      <c r="D323" s="20" t="s">
        <v>125</v>
      </c>
      <c r="E323" s="20" t="s">
        <v>325</v>
      </c>
      <c r="F323" s="20" t="s">
        <v>282</v>
      </c>
      <c r="G323" s="26">
        <v>0</v>
      </c>
      <c r="H323" s="175"/>
    </row>
    <row r="324" spans="1:8" ht="31.5" hidden="1" x14ac:dyDescent="0.25">
      <c r="A324" s="25" t="s">
        <v>287</v>
      </c>
      <c r="B324" s="16">
        <v>903</v>
      </c>
      <c r="C324" s="20" t="s">
        <v>306</v>
      </c>
      <c r="D324" s="20" t="s">
        <v>125</v>
      </c>
      <c r="E324" s="20" t="s">
        <v>326</v>
      </c>
      <c r="F324" s="20"/>
      <c r="G324" s="26">
        <f>G325</f>
        <v>0</v>
      </c>
      <c r="H324" s="175"/>
    </row>
    <row r="325" spans="1:8" ht="47.25" hidden="1" x14ac:dyDescent="0.25">
      <c r="A325" s="25" t="s">
        <v>279</v>
      </c>
      <c r="B325" s="16">
        <v>903</v>
      </c>
      <c r="C325" s="20" t="s">
        <v>306</v>
      </c>
      <c r="D325" s="20" t="s">
        <v>125</v>
      </c>
      <c r="E325" s="20" t="s">
        <v>326</v>
      </c>
      <c r="F325" s="20" t="s">
        <v>280</v>
      </c>
      <c r="G325" s="26">
        <f>G326</f>
        <v>0</v>
      </c>
      <c r="H325" s="175"/>
    </row>
    <row r="326" spans="1:8" ht="15.75" hidden="1" x14ac:dyDescent="0.25">
      <c r="A326" s="25" t="s">
        <v>281</v>
      </c>
      <c r="B326" s="16">
        <v>903</v>
      </c>
      <c r="C326" s="20" t="s">
        <v>306</v>
      </c>
      <c r="D326" s="20" t="s">
        <v>125</v>
      </c>
      <c r="E326" s="20" t="s">
        <v>326</v>
      </c>
      <c r="F326" s="20" t="s">
        <v>282</v>
      </c>
      <c r="G326" s="26">
        <v>0</v>
      </c>
      <c r="H326" s="175"/>
    </row>
    <row r="327" spans="1:8" ht="31.5" hidden="1" x14ac:dyDescent="0.25">
      <c r="A327" s="25" t="s">
        <v>291</v>
      </c>
      <c r="B327" s="16">
        <v>903</v>
      </c>
      <c r="C327" s="20" t="s">
        <v>306</v>
      </c>
      <c r="D327" s="20" t="s">
        <v>125</v>
      </c>
      <c r="E327" s="20" t="s">
        <v>327</v>
      </c>
      <c r="F327" s="20"/>
      <c r="G327" s="26">
        <f>G328</f>
        <v>0</v>
      </c>
      <c r="H327" s="175"/>
    </row>
    <row r="328" spans="1:8" ht="47.25" hidden="1" x14ac:dyDescent="0.25">
      <c r="A328" s="25" t="s">
        <v>279</v>
      </c>
      <c r="B328" s="16">
        <v>903</v>
      </c>
      <c r="C328" s="20" t="s">
        <v>306</v>
      </c>
      <c r="D328" s="20" t="s">
        <v>125</v>
      </c>
      <c r="E328" s="20" t="s">
        <v>327</v>
      </c>
      <c r="F328" s="20" t="s">
        <v>280</v>
      </c>
      <c r="G328" s="26">
        <f>G329</f>
        <v>0</v>
      </c>
      <c r="H328" s="175"/>
    </row>
    <row r="329" spans="1:8" ht="15.75" hidden="1" x14ac:dyDescent="0.25">
      <c r="A329" s="25" t="s">
        <v>281</v>
      </c>
      <c r="B329" s="16">
        <v>903</v>
      </c>
      <c r="C329" s="20" t="s">
        <v>306</v>
      </c>
      <c r="D329" s="20" t="s">
        <v>125</v>
      </c>
      <c r="E329" s="20" t="s">
        <v>327</v>
      </c>
      <c r="F329" s="20" t="s">
        <v>282</v>
      </c>
      <c r="G329" s="26">
        <v>0</v>
      </c>
      <c r="H329" s="175"/>
    </row>
    <row r="330" spans="1:8" ht="47.25" hidden="1" x14ac:dyDescent="0.25">
      <c r="A330" s="35" t="s">
        <v>328</v>
      </c>
      <c r="B330" s="16">
        <v>903</v>
      </c>
      <c r="C330" s="20" t="s">
        <v>306</v>
      </c>
      <c r="D330" s="20" t="s">
        <v>125</v>
      </c>
      <c r="E330" s="20" t="s">
        <v>329</v>
      </c>
      <c r="F330" s="20"/>
      <c r="G330" s="26">
        <f>G331</f>
        <v>0</v>
      </c>
      <c r="H330" s="175"/>
    </row>
    <row r="331" spans="1:8" ht="47.25" hidden="1" x14ac:dyDescent="0.25">
      <c r="A331" s="25" t="s">
        <v>279</v>
      </c>
      <c r="B331" s="16">
        <v>903</v>
      </c>
      <c r="C331" s="20" t="s">
        <v>306</v>
      </c>
      <c r="D331" s="20" t="s">
        <v>125</v>
      </c>
      <c r="E331" s="20" t="s">
        <v>329</v>
      </c>
      <c r="F331" s="20" t="s">
        <v>280</v>
      </c>
      <c r="G331" s="26">
        <f>G332</f>
        <v>0</v>
      </c>
      <c r="H331" s="175"/>
    </row>
    <row r="332" spans="1:8" ht="15.75" hidden="1" x14ac:dyDescent="0.25">
      <c r="A332" s="25" t="s">
        <v>281</v>
      </c>
      <c r="B332" s="16">
        <v>903</v>
      </c>
      <c r="C332" s="20" t="s">
        <v>306</v>
      </c>
      <c r="D332" s="20" t="s">
        <v>125</v>
      </c>
      <c r="E332" s="20" t="s">
        <v>329</v>
      </c>
      <c r="F332" s="20" t="s">
        <v>282</v>
      </c>
      <c r="G332" s="26">
        <v>0</v>
      </c>
      <c r="H332" s="175"/>
    </row>
    <row r="333" spans="1:8" ht="78.75" x14ac:dyDescent="0.25">
      <c r="A333" s="29" t="s">
        <v>330</v>
      </c>
      <c r="B333" s="16">
        <v>903</v>
      </c>
      <c r="C333" s="20" t="s">
        <v>306</v>
      </c>
      <c r="D333" s="20" t="s">
        <v>125</v>
      </c>
      <c r="E333" s="40" t="s">
        <v>331</v>
      </c>
      <c r="F333" s="20"/>
      <c r="G333" s="26">
        <f>G334</f>
        <v>200</v>
      </c>
      <c r="H333" s="175"/>
    </row>
    <row r="334" spans="1:8" ht="47.25" x14ac:dyDescent="0.25">
      <c r="A334" s="25" t="s">
        <v>332</v>
      </c>
      <c r="B334" s="16">
        <v>903</v>
      </c>
      <c r="C334" s="20" t="s">
        <v>306</v>
      </c>
      <c r="D334" s="20" t="s">
        <v>125</v>
      </c>
      <c r="E334" s="40" t="s">
        <v>333</v>
      </c>
      <c r="F334" s="20"/>
      <c r="G334" s="26">
        <f>G335</f>
        <v>200</v>
      </c>
      <c r="H334" s="175"/>
    </row>
    <row r="335" spans="1:8" ht="47.25" x14ac:dyDescent="0.25">
      <c r="A335" s="25" t="s">
        <v>279</v>
      </c>
      <c r="B335" s="16">
        <v>903</v>
      </c>
      <c r="C335" s="20" t="s">
        <v>306</v>
      </c>
      <c r="D335" s="20" t="s">
        <v>125</v>
      </c>
      <c r="E335" s="40" t="s">
        <v>333</v>
      </c>
      <c r="F335" s="20" t="s">
        <v>280</v>
      </c>
      <c r="G335" s="26">
        <f>G336</f>
        <v>200</v>
      </c>
      <c r="H335" s="175"/>
    </row>
    <row r="336" spans="1:8" ht="15.75" x14ac:dyDescent="0.25">
      <c r="A336" s="25" t="s">
        <v>281</v>
      </c>
      <c r="B336" s="16">
        <v>903</v>
      </c>
      <c r="C336" s="20" t="s">
        <v>306</v>
      </c>
      <c r="D336" s="20" t="s">
        <v>125</v>
      </c>
      <c r="E336" s="40" t="s">
        <v>333</v>
      </c>
      <c r="F336" s="20" t="s">
        <v>282</v>
      </c>
      <c r="G336" s="26">
        <v>200</v>
      </c>
      <c r="H336" s="175"/>
    </row>
    <row r="337" spans="1:9" ht="15.75" x14ac:dyDescent="0.25">
      <c r="A337" s="25" t="s">
        <v>128</v>
      </c>
      <c r="B337" s="16">
        <v>903</v>
      </c>
      <c r="C337" s="20" t="s">
        <v>306</v>
      </c>
      <c r="D337" s="20" t="s">
        <v>125</v>
      </c>
      <c r="E337" s="20" t="s">
        <v>129</v>
      </c>
      <c r="F337" s="20"/>
      <c r="G337" s="26">
        <f>G338</f>
        <v>2137.9</v>
      </c>
      <c r="H337" s="175"/>
    </row>
    <row r="338" spans="1:9" ht="31.5" x14ac:dyDescent="0.25">
      <c r="A338" s="25" t="s">
        <v>192</v>
      </c>
      <c r="B338" s="16">
        <v>903</v>
      </c>
      <c r="C338" s="20" t="s">
        <v>306</v>
      </c>
      <c r="D338" s="20" t="s">
        <v>125</v>
      </c>
      <c r="E338" s="20" t="s">
        <v>193</v>
      </c>
      <c r="F338" s="20"/>
      <c r="G338" s="26">
        <f>G339+G344+G349+G352+G355</f>
        <v>2137.9</v>
      </c>
      <c r="H338" s="175"/>
    </row>
    <row r="339" spans="1:9" ht="31.5" hidden="1" x14ac:dyDescent="0.25">
      <c r="A339" s="36" t="s">
        <v>334</v>
      </c>
      <c r="B339" s="37">
        <v>903</v>
      </c>
      <c r="C339" s="20" t="s">
        <v>306</v>
      </c>
      <c r="D339" s="20" t="s">
        <v>125</v>
      </c>
      <c r="E339" s="20" t="s">
        <v>335</v>
      </c>
      <c r="F339" s="20"/>
      <c r="G339" s="26">
        <f>G340+G342</f>
        <v>0</v>
      </c>
      <c r="H339" s="175"/>
    </row>
    <row r="340" spans="1:9" ht="31.5" hidden="1" x14ac:dyDescent="0.25">
      <c r="A340" s="25" t="s">
        <v>138</v>
      </c>
      <c r="B340" s="37">
        <v>903</v>
      </c>
      <c r="C340" s="20" t="s">
        <v>306</v>
      </c>
      <c r="D340" s="20" t="s">
        <v>125</v>
      </c>
      <c r="E340" s="20" t="s">
        <v>335</v>
      </c>
      <c r="F340" s="20" t="s">
        <v>139</v>
      </c>
      <c r="G340" s="26">
        <f>G341</f>
        <v>0</v>
      </c>
      <c r="H340" s="175"/>
    </row>
    <row r="341" spans="1:9" ht="47.25" hidden="1" x14ac:dyDescent="0.25">
      <c r="A341" s="25" t="s">
        <v>140</v>
      </c>
      <c r="B341" s="16">
        <v>903</v>
      </c>
      <c r="C341" s="20" t="s">
        <v>306</v>
      </c>
      <c r="D341" s="20" t="s">
        <v>125</v>
      </c>
      <c r="E341" s="20" t="s">
        <v>335</v>
      </c>
      <c r="F341" s="20" t="s">
        <v>141</v>
      </c>
      <c r="G341" s="26">
        <f>1.4-1.4</f>
        <v>0</v>
      </c>
      <c r="H341" s="175"/>
      <c r="I341" s="114"/>
    </row>
    <row r="342" spans="1:9" ht="47.25" hidden="1" x14ac:dyDescent="0.25">
      <c r="A342" s="25" t="s">
        <v>279</v>
      </c>
      <c r="B342" s="16">
        <v>903</v>
      </c>
      <c r="C342" s="20" t="s">
        <v>306</v>
      </c>
      <c r="D342" s="20" t="s">
        <v>125</v>
      </c>
      <c r="E342" s="20" t="s">
        <v>335</v>
      </c>
      <c r="F342" s="20" t="s">
        <v>280</v>
      </c>
      <c r="G342" s="26">
        <f>G343</f>
        <v>0</v>
      </c>
      <c r="H342" s="175"/>
    </row>
    <row r="343" spans="1:9" ht="15.75" hidden="1" x14ac:dyDescent="0.25">
      <c r="A343" s="25" t="s">
        <v>281</v>
      </c>
      <c r="B343" s="16">
        <v>903</v>
      </c>
      <c r="C343" s="20" t="s">
        <v>306</v>
      </c>
      <c r="D343" s="20" t="s">
        <v>125</v>
      </c>
      <c r="E343" s="20" t="s">
        <v>335</v>
      </c>
      <c r="F343" s="20" t="s">
        <v>282</v>
      </c>
      <c r="G343" s="26">
        <f>2.9-2.9</f>
        <v>0</v>
      </c>
      <c r="H343" s="175"/>
      <c r="I343" s="114"/>
    </row>
    <row r="344" spans="1:9" ht="31.5" x14ac:dyDescent="0.25">
      <c r="A344" s="25" t="s">
        <v>336</v>
      </c>
      <c r="B344" s="16">
        <v>903</v>
      </c>
      <c r="C344" s="20" t="s">
        <v>306</v>
      </c>
      <c r="D344" s="20" t="s">
        <v>125</v>
      </c>
      <c r="E344" s="20" t="s">
        <v>337</v>
      </c>
      <c r="F344" s="20"/>
      <c r="G344" s="26">
        <f>G345+G347</f>
        <v>177.3</v>
      </c>
      <c r="H344" s="175"/>
    </row>
    <row r="345" spans="1:9" ht="31.5" hidden="1" x14ac:dyDescent="0.25">
      <c r="A345" s="25" t="s">
        <v>138</v>
      </c>
      <c r="B345" s="16">
        <v>903</v>
      </c>
      <c r="C345" s="20" t="s">
        <v>306</v>
      </c>
      <c r="D345" s="20" t="s">
        <v>125</v>
      </c>
      <c r="E345" s="20" t="s">
        <v>337</v>
      </c>
      <c r="F345" s="20" t="s">
        <v>139</v>
      </c>
      <c r="G345" s="26">
        <f>G346</f>
        <v>0</v>
      </c>
      <c r="H345" s="175"/>
    </row>
    <row r="346" spans="1:9" ht="47.25" hidden="1" x14ac:dyDescent="0.25">
      <c r="A346" s="25" t="s">
        <v>140</v>
      </c>
      <c r="B346" s="16">
        <v>903</v>
      </c>
      <c r="C346" s="20" t="s">
        <v>306</v>
      </c>
      <c r="D346" s="20" t="s">
        <v>125</v>
      </c>
      <c r="E346" s="20" t="s">
        <v>337</v>
      </c>
      <c r="F346" s="38">
        <v>240</v>
      </c>
      <c r="G346" s="26">
        <v>0</v>
      </c>
      <c r="H346" s="175"/>
    </row>
    <row r="347" spans="1:9" ht="47.25" x14ac:dyDescent="0.25">
      <c r="A347" s="25" t="s">
        <v>279</v>
      </c>
      <c r="B347" s="16">
        <v>903</v>
      </c>
      <c r="C347" s="20" t="s">
        <v>306</v>
      </c>
      <c r="D347" s="20" t="s">
        <v>125</v>
      </c>
      <c r="E347" s="20" t="s">
        <v>337</v>
      </c>
      <c r="F347" s="20" t="s">
        <v>280</v>
      </c>
      <c r="G347" s="26">
        <f>G348</f>
        <v>177.3</v>
      </c>
      <c r="H347" s="175"/>
    </row>
    <row r="348" spans="1:9" ht="15.75" x14ac:dyDescent="0.25">
      <c r="A348" s="25" t="s">
        <v>281</v>
      </c>
      <c r="B348" s="16">
        <v>903</v>
      </c>
      <c r="C348" s="20" t="s">
        <v>306</v>
      </c>
      <c r="D348" s="20" t="s">
        <v>125</v>
      </c>
      <c r="E348" s="20" t="s">
        <v>337</v>
      </c>
      <c r="F348" s="20" t="s">
        <v>282</v>
      </c>
      <c r="G348" s="26">
        <f>274.5-97.2</f>
        <v>177.3</v>
      </c>
      <c r="H348" s="175"/>
      <c r="I348" s="114"/>
    </row>
    <row r="349" spans="1:9" ht="78.75" x14ac:dyDescent="0.25">
      <c r="A349" s="25" t="s">
        <v>338</v>
      </c>
      <c r="B349" s="16">
        <v>903</v>
      </c>
      <c r="C349" s="20" t="s">
        <v>306</v>
      </c>
      <c r="D349" s="20" t="s">
        <v>125</v>
      </c>
      <c r="E349" s="20" t="s">
        <v>339</v>
      </c>
      <c r="F349" s="20"/>
      <c r="G349" s="26">
        <f>G350</f>
        <v>263.3</v>
      </c>
      <c r="H349" s="175"/>
    </row>
    <row r="350" spans="1:9" ht="47.25" x14ac:dyDescent="0.25">
      <c r="A350" s="25" t="s">
        <v>279</v>
      </c>
      <c r="B350" s="16">
        <v>903</v>
      </c>
      <c r="C350" s="20" t="s">
        <v>306</v>
      </c>
      <c r="D350" s="20" t="s">
        <v>125</v>
      </c>
      <c r="E350" s="20" t="s">
        <v>339</v>
      </c>
      <c r="F350" s="20" t="s">
        <v>280</v>
      </c>
      <c r="G350" s="26">
        <f>G351</f>
        <v>263.3</v>
      </c>
      <c r="H350" s="175"/>
    </row>
    <row r="351" spans="1:9" ht="15.75" x14ac:dyDescent="0.25">
      <c r="A351" s="25" t="s">
        <v>281</v>
      </c>
      <c r="B351" s="16">
        <v>903</v>
      </c>
      <c r="C351" s="20" t="s">
        <v>306</v>
      </c>
      <c r="D351" s="20" t="s">
        <v>125</v>
      </c>
      <c r="E351" s="20" t="s">
        <v>339</v>
      </c>
      <c r="F351" s="20" t="s">
        <v>282</v>
      </c>
      <c r="G351" s="26">
        <f>247.6+15.7</f>
        <v>263.3</v>
      </c>
      <c r="H351" s="175"/>
      <c r="I351" s="114"/>
    </row>
    <row r="352" spans="1:9" ht="110.25" x14ac:dyDescent="0.25">
      <c r="A352" s="31" t="s">
        <v>300</v>
      </c>
      <c r="B352" s="16">
        <v>903</v>
      </c>
      <c r="C352" s="20" t="s">
        <v>306</v>
      </c>
      <c r="D352" s="20" t="s">
        <v>125</v>
      </c>
      <c r="E352" s="20" t="s">
        <v>301</v>
      </c>
      <c r="F352" s="20"/>
      <c r="G352" s="26">
        <f>G353</f>
        <v>1693.3000000000002</v>
      </c>
      <c r="H352" s="175"/>
    </row>
    <row r="353" spans="1:9" ht="47.25" x14ac:dyDescent="0.25">
      <c r="A353" s="25" t="s">
        <v>279</v>
      </c>
      <c r="B353" s="16">
        <v>903</v>
      </c>
      <c r="C353" s="20" t="s">
        <v>306</v>
      </c>
      <c r="D353" s="20" t="s">
        <v>125</v>
      </c>
      <c r="E353" s="20" t="s">
        <v>301</v>
      </c>
      <c r="F353" s="20" t="s">
        <v>280</v>
      </c>
      <c r="G353" s="26">
        <f>G354</f>
        <v>1693.3000000000002</v>
      </c>
      <c r="H353" s="175"/>
    </row>
    <row r="354" spans="1:9" ht="15.75" x14ac:dyDescent="0.25">
      <c r="A354" s="25" t="s">
        <v>281</v>
      </c>
      <c r="B354" s="16">
        <v>903</v>
      </c>
      <c r="C354" s="20" t="s">
        <v>306</v>
      </c>
      <c r="D354" s="20" t="s">
        <v>125</v>
      </c>
      <c r="E354" s="20" t="s">
        <v>301</v>
      </c>
      <c r="F354" s="20" t="s">
        <v>282</v>
      </c>
      <c r="G354" s="26">
        <f>1929.4-236.1</f>
        <v>1693.3000000000002</v>
      </c>
      <c r="H354" s="175"/>
    </row>
    <row r="355" spans="1:9" ht="15.75" x14ac:dyDescent="0.25">
      <c r="A355" s="31" t="s">
        <v>693</v>
      </c>
      <c r="B355" s="16">
        <v>903</v>
      </c>
      <c r="C355" s="20" t="s">
        <v>306</v>
      </c>
      <c r="D355" s="20" t="s">
        <v>125</v>
      </c>
      <c r="E355" s="20" t="s">
        <v>694</v>
      </c>
      <c r="F355" s="20"/>
      <c r="G355" s="26">
        <f>G356</f>
        <v>4</v>
      </c>
      <c r="H355" s="175"/>
    </row>
    <row r="356" spans="1:9" ht="47.25" x14ac:dyDescent="0.25">
      <c r="A356" s="25" t="s">
        <v>279</v>
      </c>
      <c r="B356" s="16">
        <v>903</v>
      </c>
      <c r="C356" s="20" t="s">
        <v>306</v>
      </c>
      <c r="D356" s="20" t="s">
        <v>125</v>
      </c>
      <c r="E356" s="20" t="s">
        <v>694</v>
      </c>
      <c r="F356" s="20" t="s">
        <v>280</v>
      </c>
      <c r="G356" s="26">
        <f>G357</f>
        <v>4</v>
      </c>
      <c r="H356" s="175"/>
    </row>
    <row r="357" spans="1:9" ht="15.75" x14ac:dyDescent="0.25">
      <c r="A357" s="25" t="s">
        <v>281</v>
      </c>
      <c r="B357" s="16">
        <v>903</v>
      </c>
      <c r="C357" s="20" t="s">
        <v>306</v>
      </c>
      <c r="D357" s="20" t="s">
        <v>125</v>
      </c>
      <c r="E357" s="20" t="s">
        <v>694</v>
      </c>
      <c r="F357" s="20" t="s">
        <v>282</v>
      </c>
      <c r="G357" s="26">
        <v>4</v>
      </c>
      <c r="H357" s="105"/>
    </row>
    <row r="358" spans="1:9" ht="31.5" x14ac:dyDescent="0.25">
      <c r="A358" s="23" t="s">
        <v>340</v>
      </c>
      <c r="B358" s="19">
        <v>903</v>
      </c>
      <c r="C358" s="24" t="s">
        <v>306</v>
      </c>
      <c r="D358" s="24" t="s">
        <v>157</v>
      </c>
      <c r="E358" s="24"/>
      <c r="F358" s="24"/>
      <c r="G358" s="21">
        <f>G359+G373+G369</f>
        <v>17278.8</v>
      </c>
      <c r="H358" s="175"/>
    </row>
    <row r="359" spans="1:9" ht="47.25" x14ac:dyDescent="0.25">
      <c r="A359" s="25" t="s">
        <v>341</v>
      </c>
      <c r="B359" s="16">
        <v>903</v>
      </c>
      <c r="C359" s="20" t="s">
        <v>306</v>
      </c>
      <c r="D359" s="20" t="s">
        <v>157</v>
      </c>
      <c r="E359" s="20" t="s">
        <v>342</v>
      </c>
      <c r="F359" s="20"/>
      <c r="G359" s="26">
        <f>G360+G363+G366</f>
        <v>125</v>
      </c>
      <c r="H359" s="175"/>
      <c r="I359" s="114"/>
    </row>
    <row r="360" spans="1:9" ht="31.5" hidden="1" x14ac:dyDescent="0.25">
      <c r="A360" s="25" t="s">
        <v>343</v>
      </c>
      <c r="B360" s="16">
        <v>903</v>
      </c>
      <c r="C360" s="20" t="s">
        <v>306</v>
      </c>
      <c r="D360" s="20" t="s">
        <v>157</v>
      </c>
      <c r="E360" s="20" t="s">
        <v>344</v>
      </c>
      <c r="F360" s="20"/>
      <c r="G360" s="26">
        <f>G361</f>
        <v>0</v>
      </c>
      <c r="H360" s="175"/>
    </row>
    <row r="361" spans="1:9" ht="31.5" hidden="1" x14ac:dyDescent="0.25">
      <c r="A361" s="25" t="s">
        <v>138</v>
      </c>
      <c r="B361" s="16">
        <v>903</v>
      </c>
      <c r="C361" s="20" t="s">
        <v>306</v>
      </c>
      <c r="D361" s="20" t="s">
        <v>157</v>
      </c>
      <c r="E361" s="20" t="s">
        <v>344</v>
      </c>
      <c r="F361" s="20" t="s">
        <v>139</v>
      </c>
      <c r="G361" s="26">
        <f>G362</f>
        <v>0</v>
      </c>
      <c r="H361" s="175"/>
    </row>
    <row r="362" spans="1:9" ht="47.25" hidden="1" x14ac:dyDescent="0.25">
      <c r="A362" s="25" t="s">
        <v>140</v>
      </c>
      <c r="B362" s="16">
        <v>903</v>
      </c>
      <c r="C362" s="20" t="s">
        <v>306</v>
      </c>
      <c r="D362" s="20" t="s">
        <v>157</v>
      </c>
      <c r="E362" s="20" t="s">
        <v>344</v>
      </c>
      <c r="F362" s="20" t="s">
        <v>141</v>
      </c>
      <c r="G362" s="26">
        <v>0</v>
      </c>
      <c r="H362" s="175"/>
    </row>
    <row r="363" spans="1:9" ht="31.5" x14ac:dyDescent="0.25">
      <c r="A363" s="25" t="s">
        <v>345</v>
      </c>
      <c r="B363" s="16">
        <v>903</v>
      </c>
      <c r="C363" s="20" t="s">
        <v>306</v>
      </c>
      <c r="D363" s="20" t="s">
        <v>157</v>
      </c>
      <c r="E363" s="20" t="s">
        <v>346</v>
      </c>
      <c r="F363" s="20"/>
      <c r="G363" s="26">
        <f>G364</f>
        <v>20</v>
      </c>
      <c r="H363" s="175"/>
    </row>
    <row r="364" spans="1:9" ht="31.5" x14ac:dyDescent="0.25">
      <c r="A364" s="25" t="s">
        <v>138</v>
      </c>
      <c r="B364" s="16">
        <v>903</v>
      </c>
      <c r="C364" s="20" t="s">
        <v>306</v>
      </c>
      <c r="D364" s="20" t="s">
        <v>157</v>
      </c>
      <c r="E364" s="20" t="s">
        <v>346</v>
      </c>
      <c r="F364" s="20" t="s">
        <v>139</v>
      </c>
      <c r="G364" s="26">
        <f>G365</f>
        <v>20</v>
      </c>
      <c r="H364" s="175"/>
    </row>
    <row r="365" spans="1:9" ht="47.25" x14ac:dyDescent="0.25">
      <c r="A365" s="25" t="s">
        <v>140</v>
      </c>
      <c r="B365" s="16">
        <v>903</v>
      </c>
      <c r="C365" s="20" t="s">
        <v>306</v>
      </c>
      <c r="D365" s="20" t="s">
        <v>157</v>
      </c>
      <c r="E365" s="20" t="s">
        <v>346</v>
      </c>
      <c r="F365" s="20" t="s">
        <v>141</v>
      </c>
      <c r="G365" s="26">
        <v>20</v>
      </c>
      <c r="H365" s="175"/>
    </row>
    <row r="366" spans="1:9" ht="63" x14ac:dyDescent="0.25">
      <c r="A366" s="25" t="s">
        <v>718</v>
      </c>
      <c r="B366" s="16">
        <v>903</v>
      </c>
      <c r="C366" s="20" t="s">
        <v>306</v>
      </c>
      <c r="D366" s="20" t="s">
        <v>157</v>
      </c>
      <c r="E366" s="20" t="s">
        <v>688</v>
      </c>
      <c r="F366" s="20"/>
      <c r="G366" s="26">
        <f>G367</f>
        <v>105</v>
      </c>
      <c r="H366" s="175"/>
    </row>
    <row r="367" spans="1:9" ht="39.75" customHeight="1" x14ac:dyDescent="0.25">
      <c r="A367" s="25" t="s">
        <v>138</v>
      </c>
      <c r="B367" s="16">
        <v>903</v>
      </c>
      <c r="C367" s="20" t="s">
        <v>306</v>
      </c>
      <c r="D367" s="20" t="s">
        <v>157</v>
      </c>
      <c r="E367" s="20" t="s">
        <v>688</v>
      </c>
      <c r="F367" s="20" t="s">
        <v>139</v>
      </c>
      <c r="G367" s="26">
        <f>G368</f>
        <v>105</v>
      </c>
      <c r="H367" s="175"/>
    </row>
    <row r="368" spans="1:9" ht="47.25" x14ac:dyDescent="0.25">
      <c r="A368" s="25" t="s">
        <v>140</v>
      </c>
      <c r="B368" s="16">
        <v>903</v>
      </c>
      <c r="C368" s="20" t="s">
        <v>306</v>
      </c>
      <c r="D368" s="20" t="s">
        <v>157</v>
      </c>
      <c r="E368" s="20" t="s">
        <v>688</v>
      </c>
      <c r="F368" s="20" t="s">
        <v>141</v>
      </c>
      <c r="G368" s="26">
        <f>55+50</f>
        <v>105</v>
      </c>
      <c r="H368" s="105"/>
      <c r="I368" s="123"/>
    </row>
    <row r="369" spans="1:11" ht="63" x14ac:dyDescent="0.25">
      <c r="A369" s="29" t="s">
        <v>717</v>
      </c>
      <c r="B369" s="16">
        <v>903</v>
      </c>
      <c r="C369" s="20" t="s">
        <v>306</v>
      </c>
      <c r="D369" s="20" t="s">
        <v>157</v>
      </c>
      <c r="E369" s="20" t="s">
        <v>715</v>
      </c>
      <c r="F369" s="20"/>
      <c r="G369" s="26">
        <f>G370</f>
        <v>5</v>
      </c>
      <c r="H369" s="175"/>
    </row>
    <row r="370" spans="1:11" ht="31.5" x14ac:dyDescent="0.25">
      <c r="A370" s="25" t="s">
        <v>376</v>
      </c>
      <c r="B370" s="16">
        <v>903</v>
      </c>
      <c r="C370" s="20" t="s">
        <v>306</v>
      </c>
      <c r="D370" s="20" t="s">
        <v>157</v>
      </c>
      <c r="E370" s="20" t="s">
        <v>723</v>
      </c>
      <c r="F370" s="20"/>
      <c r="G370" s="26">
        <f>G371</f>
        <v>5</v>
      </c>
      <c r="H370" s="175"/>
    </row>
    <row r="371" spans="1:11" ht="31.5" x14ac:dyDescent="0.25">
      <c r="A371" s="25" t="s">
        <v>138</v>
      </c>
      <c r="B371" s="16">
        <v>903</v>
      </c>
      <c r="C371" s="20" t="s">
        <v>306</v>
      </c>
      <c r="D371" s="20" t="s">
        <v>157</v>
      </c>
      <c r="E371" s="20" t="s">
        <v>723</v>
      </c>
      <c r="F371" s="20" t="s">
        <v>139</v>
      </c>
      <c r="G371" s="26">
        <f>G372</f>
        <v>5</v>
      </c>
      <c r="H371" s="175"/>
    </row>
    <row r="372" spans="1:11" ht="47.25" x14ac:dyDescent="0.25">
      <c r="A372" s="25" t="s">
        <v>140</v>
      </c>
      <c r="B372" s="16">
        <v>903</v>
      </c>
      <c r="C372" s="20" t="s">
        <v>306</v>
      </c>
      <c r="D372" s="20" t="s">
        <v>157</v>
      </c>
      <c r="E372" s="20" t="s">
        <v>723</v>
      </c>
      <c r="F372" s="20" t="s">
        <v>141</v>
      </c>
      <c r="G372" s="26">
        <v>5</v>
      </c>
      <c r="H372" s="105"/>
      <c r="I372" s="123"/>
    </row>
    <row r="373" spans="1:11" ht="15.75" x14ac:dyDescent="0.25">
      <c r="A373" s="25" t="s">
        <v>128</v>
      </c>
      <c r="B373" s="16">
        <v>903</v>
      </c>
      <c r="C373" s="20" t="s">
        <v>306</v>
      </c>
      <c r="D373" s="20" t="s">
        <v>157</v>
      </c>
      <c r="E373" s="20" t="s">
        <v>129</v>
      </c>
      <c r="F373" s="20"/>
      <c r="G373" s="26">
        <f>G374+G380</f>
        <v>17148.8</v>
      </c>
      <c r="H373" s="175"/>
    </row>
    <row r="374" spans="1:11" ht="31.5" x14ac:dyDescent="0.25">
      <c r="A374" s="25" t="s">
        <v>130</v>
      </c>
      <c r="B374" s="16">
        <v>903</v>
      </c>
      <c r="C374" s="20" t="s">
        <v>306</v>
      </c>
      <c r="D374" s="20" t="s">
        <v>157</v>
      </c>
      <c r="E374" s="20" t="s">
        <v>131</v>
      </c>
      <c r="F374" s="20"/>
      <c r="G374" s="26">
        <f>G375</f>
        <v>6754.9</v>
      </c>
      <c r="H374" s="175"/>
    </row>
    <row r="375" spans="1:11" ht="47.25" x14ac:dyDescent="0.25">
      <c r="A375" s="25" t="s">
        <v>132</v>
      </c>
      <c r="B375" s="16">
        <v>903</v>
      </c>
      <c r="C375" s="20" t="s">
        <v>306</v>
      </c>
      <c r="D375" s="20" t="s">
        <v>157</v>
      </c>
      <c r="E375" s="20" t="s">
        <v>133</v>
      </c>
      <c r="F375" s="20"/>
      <c r="G375" s="26">
        <f>G376+G378</f>
        <v>6754.9</v>
      </c>
      <c r="H375" s="175"/>
    </row>
    <row r="376" spans="1:11" ht="94.5" x14ac:dyDescent="0.25">
      <c r="A376" s="25" t="s">
        <v>134</v>
      </c>
      <c r="B376" s="16">
        <v>903</v>
      </c>
      <c r="C376" s="20" t="s">
        <v>306</v>
      </c>
      <c r="D376" s="20" t="s">
        <v>157</v>
      </c>
      <c r="E376" s="20" t="s">
        <v>133</v>
      </c>
      <c r="F376" s="20" t="s">
        <v>135</v>
      </c>
      <c r="G376" s="26">
        <f>G377</f>
        <v>6754.9</v>
      </c>
      <c r="H376" s="175"/>
    </row>
    <row r="377" spans="1:11" ht="31.5" x14ac:dyDescent="0.25">
      <c r="A377" s="25" t="s">
        <v>136</v>
      </c>
      <c r="B377" s="16">
        <v>903</v>
      </c>
      <c r="C377" s="20" t="s">
        <v>306</v>
      </c>
      <c r="D377" s="20" t="s">
        <v>157</v>
      </c>
      <c r="E377" s="20" t="s">
        <v>133</v>
      </c>
      <c r="F377" s="20" t="s">
        <v>137</v>
      </c>
      <c r="G377" s="27">
        <v>6754.9</v>
      </c>
      <c r="H377" s="175"/>
    </row>
    <row r="378" spans="1:11" ht="31.5" hidden="1" x14ac:dyDescent="0.25">
      <c r="A378" s="25" t="s">
        <v>138</v>
      </c>
      <c r="B378" s="16">
        <v>903</v>
      </c>
      <c r="C378" s="20" t="s">
        <v>306</v>
      </c>
      <c r="D378" s="20" t="s">
        <v>157</v>
      </c>
      <c r="E378" s="20" t="s">
        <v>133</v>
      </c>
      <c r="F378" s="20" t="s">
        <v>139</v>
      </c>
      <c r="G378" s="26">
        <f>G379</f>
        <v>0</v>
      </c>
      <c r="H378" s="175"/>
    </row>
    <row r="379" spans="1:11" ht="47.25" hidden="1" x14ac:dyDescent="0.25">
      <c r="A379" s="25" t="s">
        <v>140</v>
      </c>
      <c r="B379" s="16">
        <v>903</v>
      </c>
      <c r="C379" s="20" t="s">
        <v>306</v>
      </c>
      <c r="D379" s="20" t="s">
        <v>157</v>
      </c>
      <c r="E379" s="20" t="s">
        <v>133</v>
      </c>
      <c r="F379" s="20" t="s">
        <v>141</v>
      </c>
      <c r="G379" s="26"/>
      <c r="H379" s="175"/>
    </row>
    <row r="380" spans="1:11" ht="15.75" x14ac:dyDescent="0.25">
      <c r="A380" s="25" t="s">
        <v>148</v>
      </c>
      <c r="B380" s="16">
        <v>903</v>
      </c>
      <c r="C380" s="20" t="s">
        <v>306</v>
      </c>
      <c r="D380" s="20" t="s">
        <v>157</v>
      </c>
      <c r="E380" s="20" t="s">
        <v>149</v>
      </c>
      <c r="F380" s="20"/>
      <c r="G380" s="26">
        <f>G381</f>
        <v>10393.9</v>
      </c>
      <c r="H380" s="175"/>
    </row>
    <row r="381" spans="1:11" ht="31.5" x14ac:dyDescent="0.25">
      <c r="A381" s="25" t="s">
        <v>347</v>
      </c>
      <c r="B381" s="16">
        <v>903</v>
      </c>
      <c r="C381" s="20" t="s">
        <v>306</v>
      </c>
      <c r="D381" s="20" t="s">
        <v>157</v>
      </c>
      <c r="E381" s="20" t="s">
        <v>348</v>
      </c>
      <c r="F381" s="20"/>
      <c r="G381" s="26">
        <f>G382+G384+G386</f>
        <v>10393.9</v>
      </c>
      <c r="H381" s="175"/>
      <c r="J381" s="472"/>
      <c r="K381" s="472"/>
    </row>
    <row r="382" spans="1:11" ht="94.5" x14ac:dyDescent="0.25">
      <c r="A382" s="25" t="s">
        <v>134</v>
      </c>
      <c r="B382" s="16">
        <v>903</v>
      </c>
      <c r="C382" s="20" t="s">
        <v>306</v>
      </c>
      <c r="D382" s="20" t="s">
        <v>157</v>
      </c>
      <c r="E382" s="20" t="s">
        <v>348</v>
      </c>
      <c r="F382" s="20" t="s">
        <v>135</v>
      </c>
      <c r="G382" s="26">
        <f>G383</f>
        <v>8721.4</v>
      </c>
      <c r="H382" s="175"/>
      <c r="J382" s="472"/>
      <c r="K382" s="472"/>
    </row>
    <row r="383" spans="1:11" ht="31.5" x14ac:dyDescent="0.25">
      <c r="A383" s="25" t="s">
        <v>349</v>
      </c>
      <c r="B383" s="16">
        <v>903</v>
      </c>
      <c r="C383" s="20" t="s">
        <v>306</v>
      </c>
      <c r="D383" s="20" t="s">
        <v>157</v>
      </c>
      <c r="E383" s="20" t="s">
        <v>348</v>
      </c>
      <c r="F383" s="20" t="s">
        <v>216</v>
      </c>
      <c r="G383" s="27">
        <f>8596.3-84.9+210</f>
        <v>8721.4</v>
      </c>
      <c r="H383" s="105"/>
      <c r="I383" s="123"/>
      <c r="J383" s="472"/>
      <c r="K383" s="472"/>
    </row>
    <row r="384" spans="1:11" ht="31.5" x14ac:dyDescent="0.25">
      <c r="A384" s="25" t="s">
        <v>138</v>
      </c>
      <c r="B384" s="16">
        <v>903</v>
      </c>
      <c r="C384" s="20" t="s">
        <v>306</v>
      </c>
      <c r="D384" s="20" t="s">
        <v>157</v>
      </c>
      <c r="E384" s="20" t="s">
        <v>348</v>
      </c>
      <c r="F384" s="20" t="s">
        <v>139</v>
      </c>
      <c r="G384" s="26">
        <f>G385</f>
        <v>1652.5</v>
      </c>
      <c r="H384" s="175"/>
      <c r="J384" s="472"/>
      <c r="K384" s="472"/>
    </row>
    <row r="385" spans="1:11" ht="47.25" x14ac:dyDescent="0.25">
      <c r="A385" s="25" t="s">
        <v>140</v>
      </c>
      <c r="B385" s="16">
        <v>903</v>
      </c>
      <c r="C385" s="20" t="s">
        <v>306</v>
      </c>
      <c r="D385" s="20" t="s">
        <v>157</v>
      </c>
      <c r="E385" s="20" t="s">
        <v>348</v>
      </c>
      <c r="F385" s="20" t="s">
        <v>141</v>
      </c>
      <c r="G385" s="27">
        <f>1663.9+135.6-147</f>
        <v>1652.5</v>
      </c>
      <c r="H385" s="105"/>
      <c r="I385" s="124"/>
      <c r="J385" s="472"/>
      <c r="K385" s="472"/>
    </row>
    <row r="386" spans="1:11" ht="15.75" x14ac:dyDescent="0.25">
      <c r="A386" s="25" t="s">
        <v>142</v>
      </c>
      <c r="B386" s="16">
        <v>903</v>
      </c>
      <c r="C386" s="20" t="s">
        <v>306</v>
      </c>
      <c r="D386" s="20" t="s">
        <v>157</v>
      </c>
      <c r="E386" s="20" t="s">
        <v>348</v>
      </c>
      <c r="F386" s="20" t="s">
        <v>152</v>
      </c>
      <c r="G386" s="26">
        <f>G387</f>
        <v>20</v>
      </c>
      <c r="H386" s="175"/>
      <c r="J386" s="472"/>
      <c r="K386" s="472"/>
    </row>
    <row r="387" spans="1:11" ht="15.75" x14ac:dyDescent="0.25">
      <c r="A387" s="25" t="s">
        <v>575</v>
      </c>
      <c r="B387" s="16">
        <v>903</v>
      </c>
      <c r="C387" s="20" t="s">
        <v>306</v>
      </c>
      <c r="D387" s="20" t="s">
        <v>157</v>
      </c>
      <c r="E387" s="20" t="s">
        <v>348</v>
      </c>
      <c r="F387" s="20" t="s">
        <v>145</v>
      </c>
      <c r="G387" s="26">
        <v>20</v>
      </c>
      <c r="H387" s="175"/>
      <c r="J387" s="472"/>
      <c r="K387" s="472"/>
    </row>
    <row r="388" spans="1:11" ht="15.75" x14ac:dyDescent="0.25">
      <c r="A388" s="23" t="s">
        <v>250</v>
      </c>
      <c r="B388" s="19">
        <v>903</v>
      </c>
      <c r="C388" s="24" t="s">
        <v>251</v>
      </c>
      <c r="D388" s="24"/>
      <c r="E388" s="24"/>
      <c r="F388" s="24"/>
      <c r="G388" s="21">
        <f>G389</f>
        <v>4625</v>
      </c>
      <c r="H388" s="175"/>
    </row>
    <row r="389" spans="1:11" ht="15.75" x14ac:dyDescent="0.25">
      <c r="A389" s="23" t="s">
        <v>259</v>
      </c>
      <c r="B389" s="19">
        <v>903</v>
      </c>
      <c r="C389" s="24" t="s">
        <v>251</v>
      </c>
      <c r="D389" s="24" t="s">
        <v>222</v>
      </c>
      <c r="E389" s="24"/>
      <c r="F389" s="24"/>
      <c r="G389" s="21">
        <f>G390+G443</f>
        <v>4625</v>
      </c>
      <c r="H389" s="175"/>
    </row>
    <row r="390" spans="1:11" ht="47.25" x14ac:dyDescent="0.25">
      <c r="A390" s="25" t="s">
        <v>350</v>
      </c>
      <c r="B390" s="16">
        <v>903</v>
      </c>
      <c r="C390" s="20" t="s">
        <v>251</v>
      </c>
      <c r="D390" s="20" t="s">
        <v>222</v>
      </c>
      <c r="E390" s="20" t="s">
        <v>351</v>
      </c>
      <c r="F390" s="20"/>
      <c r="G390" s="26">
        <f>G391+G399+G403+G407+G413+G417+G421+G439</f>
        <v>3693</v>
      </c>
      <c r="H390" s="175"/>
    </row>
    <row r="391" spans="1:11" ht="31.5" x14ac:dyDescent="0.25">
      <c r="A391" s="25" t="s">
        <v>352</v>
      </c>
      <c r="B391" s="16">
        <v>903</v>
      </c>
      <c r="C391" s="20" t="s">
        <v>251</v>
      </c>
      <c r="D391" s="20" t="s">
        <v>222</v>
      </c>
      <c r="E391" s="20" t="s">
        <v>353</v>
      </c>
      <c r="F391" s="20"/>
      <c r="G391" s="26">
        <f>G392+G396</f>
        <v>935</v>
      </c>
      <c r="H391" s="175"/>
    </row>
    <row r="392" spans="1:11" ht="31.5" x14ac:dyDescent="0.25">
      <c r="A392" s="25" t="s">
        <v>138</v>
      </c>
      <c r="B392" s="16">
        <v>903</v>
      </c>
      <c r="C392" s="20" t="s">
        <v>251</v>
      </c>
      <c r="D392" s="20" t="s">
        <v>222</v>
      </c>
      <c r="E392" s="20" t="s">
        <v>354</v>
      </c>
      <c r="F392" s="20" t="s">
        <v>139</v>
      </c>
      <c r="G392" s="26">
        <f>G393</f>
        <v>666.4</v>
      </c>
      <c r="H392" s="175"/>
    </row>
    <row r="393" spans="1:11" ht="47.25" x14ac:dyDescent="0.25">
      <c r="A393" s="25" t="s">
        <v>140</v>
      </c>
      <c r="B393" s="16">
        <v>903</v>
      </c>
      <c r="C393" s="20" t="s">
        <v>251</v>
      </c>
      <c r="D393" s="20" t="s">
        <v>222</v>
      </c>
      <c r="E393" s="20" t="s">
        <v>354</v>
      </c>
      <c r="F393" s="20" t="s">
        <v>141</v>
      </c>
      <c r="G393" s="26">
        <f>669.4-3</f>
        <v>666.4</v>
      </c>
      <c r="H393" s="175"/>
    </row>
    <row r="394" spans="1:11" ht="31.5" hidden="1" x14ac:dyDescent="0.25">
      <c r="A394" s="25" t="s">
        <v>255</v>
      </c>
      <c r="B394" s="16">
        <v>903</v>
      </c>
      <c r="C394" s="20" t="s">
        <v>251</v>
      </c>
      <c r="D394" s="20" t="s">
        <v>222</v>
      </c>
      <c r="E394" s="20" t="s">
        <v>354</v>
      </c>
      <c r="F394" s="20" t="s">
        <v>256</v>
      </c>
      <c r="G394" s="26">
        <f>G395</f>
        <v>0</v>
      </c>
      <c r="H394" s="175"/>
    </row>
    <row r="395" spans="1:11" ht="31.5" hidden="1" x14ac:dyDescent="0.25">
      <c r="A395" s="25" t="s">
        <v>355</v>
      </c>
      <c r="B395" s="16">
        <v>903</v>
      </c>
      <c r="C395" s="20" t="s">
        <v>251</v>
      </c>
      <c r="D395" s="20" t="s">
        <v>222</v>
      </c>
      <c r="E395" s="20" t="s">
        <v>354</v>
      </c>
      <c r="F395" s="20" t="s">
        <v>356</v>
      </c>
      <c r="G395" s="26">
        <v>0</v>
      </c>
      <c r="H395" s="175"/>
    </row>
    <row r="396" spans="1:11" ht="31.5" x14ac:dyDescent="0.25">
      <c r="A396" s="25" t="s">
        <v>357</v>
      </c>
      <c r="B396" s="16">
        <v>903</v>
      </c>
      <c r="C396" s="20" t="s">
        <v>251</v>
      </c>
      <c r="D396" s="20" t="s">
        <v>222</v>
      </c>
      <c r="E396" s="20" t="s">
        <v>358</v>
      </c>
      <c r="F396" s="20"/>
      <c r="G396" s="26">
        <f>G397</f>
        <v>268.60000000000002</v>
      </c>
      <c r="H396" s="175"/>
    </row>
    <row r="397" spans="1:11" ht="47.25" x14ac:dyDescent="0.25">
      <c r="A397" s="25" t="s">
        <v>279</v>
      </c>
      <c r="B397" s="16">
        <v>903</v>
      </c>
      <c r="C397" s="20" t="s">
        <v>251</v>
      </c>
      <c r="D397" s="20" t="s">
        <v>222</v>
      </c>
      <c r="E397" s="20" t="s">
        <v>358</v>
      </c>
      <c r="F397" s="20" t="s">
        <v>280</v>
      </c>
      <c r="G397" s="26">
        <f>G398</f>
        <v>268.60000000000002</v>
      </c>
      <c r="H397" s="175"/>
    </row>
    <row r="398" spans="1:11" ht="15.75" x14ac:dyDescent="0.25">
      <c r="A398" s="25" t="s">
        <v>281</v>
      </c>
      <c r="B398" s="16">
        <v>903</v>
      </c>
      <c r="C398" s="20" t="s">
        <v>251</v>
      </c>
      <c r="D398" s="20" t="s">
        <v>222</v>
      </c>
      <c r="E398" s="20" t="s">
        <v>358</v>
      </c>
      <c r="F398" s="20" t="s">
        <v>282</v>
      </c>
      <c r="G398" s="26">
        <f>160.5+108.1</f>
        <v>268.60000000000002</v>
      </c>
      <c r="H398" s="105"/>
    </row>
    <row r="399" spans="1:11" ht="31.5" x14ac:dyDescent="0.25">
      <c r="A399" s="25" t="s">
        <v>359</v>
      </c>
      <c r="B399" s="16">
        <v>903</v>
      </c>
      <c r="C399" s="20" t="s">
        <v>251</v>
      </c>
      <c r="D399" s="20" t="s">
        <v>222</v>
      </c>
      <c r="E399" s="20" t="s">
        <v>360</v>
      </c>
      <c r="F399" s="20"/>
      <c r="G399" s="26">
        <f>G400</f>
        <v>63</v>
      </c>
      <c r="H399" s="175"/>
    </row>
    <row r="400" spans="1:11" ht="31.5" x14ac:dyDescent="0.25">
      <c r="A400" s="25" t="s">
        <v>164</v>
      </c>
      <c r="B400" s="16">
        <v>903</v>
      </c>
      <c r="C400" s="20" t="s">
        <v>251</v>
      </c>
      <c r="D400" s="20" t="s">
        <v>222</v>
      </c>
      <c r="E400" s="20" t="s">
        <v>361</v>
      </c>
      <c r="F400" s="20"/>
      <c r="G400" s="26">
        <f>G401</f>
        <v>63</v>
      </c>
      <c r="H400" s="175"/>
    </row>
    <row r="401" spans="1:8" ht="31.5" x14ac:dyDescent="0.25">
      <c r="A401" s="25" t="s">
        <v>255</v>
      </c>
      <c r="B401" s="16">
        <v>903</v>
      </c>
      <c r="C401" s="20" t="s">
        <v>251</v>
      </c>
      <c r="D401" s="20" t="s">
        <v>222</v>
      </c>
      <c r="E401" s="20" t="s">
        <v>361</v>
      </c>
      <c r="F401" s="20" t="s">
        <v>256</v>
      </c>
      <c r="G401" s="26">
        <f>G402</f>
        <v>63</v>
      </c>
      <c r="H401" s="175"/>
    </row>
    <row r="402" spans="1:8" ht="31.5" x14ac:dyDescent="0.25">
      <c r="A402" s="25" t="s">
        <v>257</v>
      </c>
      <c r="B402" s="16">
        <v>903</v>
      </c>
      <c r="C402" s="20" t="s">
        <v>251</v>
      </c>
      <c r="D402" s="20" t="s">
        <v>222</v>
      </c>
      <c r="E402" s="20" t="s">
        <v>361</v>
      </c>
      <c r="F402" s="20" t="s">
        <v>258</v>
      </c>
      <c r="G402" s="26">
        <f>60+3</f>
        <v>63</v>
      </c>
      <c r="H402" s="175"/>
    </row>
    <row r="403" spans="1:8" ht="31.5" x14ac:dyDescent="0.25">
      <c r="A403" s="25" t="s">
        <v>362</v>
      </c>
      <c r="B403" s="16">
        <v>903</v>
      </c>
      <c r="C403" s="16">
        <v>10</v>
      </c>
      <c r="D403" s="20" t="s">
        <v>222</v>
      </c>
      <c r="E403" s="20" t="s">
        <v>363</v>
      </c>
      <c r="F403" s="20"/>
      <c r="G403" s="26">
        <f>G404</f>
        <v>420</v>
      </c>
      <c r="H403" s="175"/>
    </row>
    <row r="404" spans="1:8" ht="31.5" x14ac:dyDescent="0.25">
      <c r="A404" s="25" t="s">
        <v>164</v>
      </c>
      <c r="B404" s="16">
        <v>903</v>
      </c>
      <c r="C404" s="20" t="s">
        <v>251</v>
      </c>
      <c r="D404" s="20" t="s">
        <v>222</v>
      </c>
      <c r="E404" s="20" t="s">
        <v>364</v>
      </c>
      <c r="F404" s="20"/>
      <c r="G404" s="26">
        <f>G405</f>
        <v>420</v>
      </c>
      <c r="H404" s="175"/>
    </row>
    <row r="405" spans="1:8" ht="31.5" x14ac:dyDescent="0.25">
      <c r="A405" s="25" t="s">
        <v>255</v>
      </c>
      <c r="B405" s="16">
        <v>903</v>
      </c>
      <c r="C405" s="20" t="s">
        <v>251</v>
      </c>
      <c r="D405" s="20" t="s">
        <v>222</v>
      </c>
      <c r="E405" s="20" t="s">
        <v>364</v>
      </c>
      <c r="F405" s="20" t="s">
        <v>256</v>
      </c>
      <c r="G405" s="26">
        <f>G406</f>
        <v>420</v>
      </c>
      <c r="H405" s="175"/>
    </row>
    <row r="406" spans="1:8" ht="31.5" x14ac:dyDescent="0.25">
      <c r="A406" s="25" t="s">
        <v>355</v>
      </c>
      <c r="B406" s="16">
        <v>903</v>
      </c>
      <c r="C406" s="20" t="s">
        <v>251</v>
      </c>
      <c r="D406" s="20" t="s">
        <v>222</v>
      </c>
      <c r="E406" s="20" t="s">
        <v>364</v>
      </c>
      <c r="F406" s="20" t="s">
        <v>356</v>
      </c>
      <c r="G406" s="26">
        <v>420</v>
      </c>
      <c r="H406" s="175"/>
    </row>
    <row r="407" spans="1:8" ht="15.75" x14ac:dyDescent="0.25">
      <c r="A407" s="25" t="s">
        <v>365</v>
      </c>
      <c r="B407" s="16">
        <v>903</v>
      </c>
      <c r="C407" s="16">
        <v>10</v>
      </c>
      <c r="D407" s="20" t="s">
        <v>222</v>
      </c>
      <c r="E407" s="20" t="s">
        <v>366</v>
      </c>
      <c r="F407" s="20"/>
      <c r="G407" s="26">
        <f>G408</f>
        <v>1595</v>
      </c>
      <c r="H407" s="175"/>
    </row>
    <row r="408" spans="1:8" ht="31.5" x14ac:dyDescent="0.25">
      <c r="A408" s="25" t="s">
        <v>164</v>
      </c>
      <c r="B408" s="16">
        <v>903</v>
      </c>
      <c r="C408" s="20" t="s">
        <v>251</v>
      </c>
      <c r="D408" s="20" t="s">
        <v>222</v>
      </c>
      <c r="E408" s="20" t="s">
        <v>367</v>
      </c>
      <c r="F408" s="20"/>
      <c r="G408" s="26">
        <f>G409+G411</f>
        <v>1595</v>
      </c>
      <c r="H408" s="175"/>
    </row>
    <row r="409" spans="1:8" ht="31.5" x14ac:dyDescent="0.25">
      <c r="A409" s="25" t="s">
        <v>138</v>
      </c>
      <c r="B409" s="16">
        <v>903</v>
      </c>
      <c r="C409" s="20" t="s">
        <v>251</v>
      </c>
      <c r="D409" s="20" t="s">
        <v>222</v>
      </c>
      <c r="E409" s="20" t="s">
        <v>367</v>
      </c>
      <c r="F409" s="20" t="s">
        <v>139</v>
      </c>
      <c r="G409" s="26">
        <f>G410</f>
        <v>547</v>
      </c>
      <c r="H409" s="175"/>
    </row>
    <row r="410" spans="1:8" ht="47.25" x14ac:dyDescent="0.25">
      <c r="A410" s="25" t="s">
        <v>140</v>
      </c>
      <c r="B410" s="16">
        <v>903</v>
      </c>
      <c r="C410" s="20" t="s">
        <v>251</v>
      </c>
      <c r="D410" s="20" t="s">
        <v>222</v>
      </c>
      <c r="E410" s="20" t="s">
        <v>367</v>
      </c>
      <c r="F410" s="20" t="s">
        <v>141</v>
      </c>
      <c r="G410" s="161">
        <f>552-50+45</f>
        <v>547</v>
      </c>
      <c r="H410" s="156" t="s">
        <v>758</v>
      </c>
    </row>
    <row r="411" spans="1:8" ht="31.5" x14ac:dyDescent="0.25">
      <c r="A411" s="25" t="s">
        <v>255</v>
      </c>
      <c r="B411" s="16">
        <v>903</v>
      </c>
      <c r="C411" s="20" t="s">
        <v>251</v>
      </c>
      <c r="D411" s="20" t="s">
        <v>222</v>
      </c>
      <c r="E411" s="20" t="s">
        <v>367</v>
      </c>
      <c r="F411" s="20" t="s">
        <v>256</v>
      </c>
      <c r="G411" s="26">
        <f>G412</f>
        <v>1048</v>
      </c>
      <c r="H411" s="175"/>
    </row>
    <row r="412" spans="1:8" ht="31.5" x14ac:dyDescent="0.25">
      <c r="A412" s="25" t="s">
        <v>355</v>
      </c>
      <c r="B412" s="16">
        <v>903</v>
      </c>
      <c r="C412" s="20" t="s">
        <v>251</v>
      </c>
      <c r="D412" s="20" t="s">
        <v>222</v>
      </c>
      <c r="E412" s="20" t="s">
        <v>367</v>
      </c>
      <c r="F412" s="20" t="s">
        <v>356</v>
      </c>
      <c r="G412" s="26">
        <v>1048</v>
      </c>
      <c r="H412" s="175"/>
    </row>
    <row r="413" spans="1:8" ht="47.25" x14ac:dyDescent="0.25">
      <c r="A413" s="25" t="s">
        <v>368</v>
      </c>
      <c r="B413" s="16">
        <v>903</v>
      </c>
      <c r="C413" s="20" t="s">
        <v>251</v>
      </c>
      <c r="D413" s="20" t="s">
        <v>222</v>
      </c>
      <c r="E413" s="20" t="s">
        <v>369</v>
      </c>
      <c r="F413" s="20"/>
      <c r="G413" s="26">
        <f>G414</f>
        <v>335</v>
      </c>
      <c r="H413" s="175"/>
    </row>
    <row r="414" spans="1:8" ht="31.5" x14ac:dyDescent="0.25">
      <c r="A414" s="25" t="s">
        <v>164</v>
      </c>
      <c r="B414" s="16">
        <v>903</v>
      </c>
      <c r="C414" s="20" t="s">
        <v>251</v>
      </c>
      <c r="D414" s="20" t="s">
        <v>222</v>
      </c>
      <c r="E414" s="20" t="s">
        <v>370</v>
      </c>
      <c r="F414" s="20"/>
      <c r="G414" s="26">
        <f>G415</f>
        <v>335</v>
      </c>
      <c r="H414" s="175"/>
    </row>
    <row r="415" spans="1:8" ht="31.5" x14ac:dyDescent="0.25">
      <c r="A415" s="25" t="s">
        <v>255</v>
      </c>
      <c r="B415" s="16">
        <v>903</v>
      </c>
      <c r="C415" s="20" t="s">
        <v>251</v>
      </c>
      <c r="D415" s="20" t="s">
        <v>222</v>
      </c>
      <c r="E415" s="20" t="s">
        <v>370</v>
      </c>
      <c r="F415" s="20" t="s">
        <v>256</v>
      </c>
      <c r="G415" s="26">
        <f>G416</f>
        <v>335</v>
      </c>
      <c r="H415" s="175"/>
    </row>
    <row r="416" spans="1:8" ht="31.5" x14ac:dyDescent="0.25">
      <c r="A416" s="25" t="s">
        <v>355</v>
      </c>
      <c r="B416" s="16">
        <v>903</v>
      </c>
      <c r="C416" s="20" t="s">
        <v>251</v>
      </c>
      <c r="D416" s="20" t="s">
        <v>222</v>
      </c>
      <c r="E416" s="20" t="s">
        <v>370</v>
      </c>
      <c r="F416" s="20" t="s">
        <v>356</v>
      </c>
      <c r="G416" s="26">
        <f>400-65</f>
        <v>335</v>
      </c>
      <c r="H416" s="175"/>
    </row>
    <row r="417" spans="1:8" ht="63" x14ac:dyDescent="0.25">
      <c r="A417" s="25" t="s">
        <v>371</v>
      </c>
      <c r="B417" s="16">
        <v>903</v>
      </c>
      <c r="C417" s="20" t="s">
        <v>251</v>
      </c>
      <c r="D417" s="20" t="s">
        <v>222</v>
      </c>
      <c r="E417" s="20" t="s">
        <v>372</v>
      </c>
      <c r="F417" s="20"/>
      <c r="G417" s="26">
        <f>G418</f>
        <v>210</v>
      </c>
      <c r="H417" s="175"/>
    </row>
    <row r="418" spans="1:8" ht="31.5" x14ac:dyDescent="0.25">
      <c r="A418" s="25" t="s">
        <v>164</v>
      </c>
      <c r="B418" s="16">
        <v>903</v>
      </c>
      <c r="C418" s="20" t="s">
        <v>251</v>
      </c>
      <c r="D418" s="20" t="s">
        <v>222</v>
      </c>
      <c r="E418" s="20" t="s">
        <v>373</v>
      </c>
      <c r="F418" s="20"/>
      <c r="G418" s="26">
        <f>G419</f>
        <v>210</v>
      </c>
      <c r="H418" s="175"/>
    </row>
    <row r="419" spans="1:8" ht="31.5" x14ac:dyDescent="0.25">
      <c r="A419" s="25" t="s">
        <v>138</v>
      </c>
      <c r="B419" s="16">
        <v>903</v>
      </c>
      <c r="C419" s="20" t="s">
        <v>251</v>
      </c>
      <c r="D419" s="20" t="s">
        <v>222</v>
      </c>
      <c r="E419" s="20" t="s">
        <v>373</v>
      </c>
      <c r="F419" s="20" t="s">
        <v>139</v>
      </c>
      <c r="G419" s="26">
        <f>G420</f>
        <v>210</v>
      </c>
      <c r="H419" s="175"/>
    </row>
    <row r="420" spans="1:8" ht="47.25" x14ac:dyDescent="0.25">
      <c r="A420" s="25" t="s">
        <v>140</v>
      </c>
      <c r="B420" s="16">
        <v>903</v>
      </c>
      <c r="C420" s="20" t="s">
        <v>251</v>
      </c>
      <c r="D420" s="20" t="s">
        <v>222</v>
      </c>
      <c r="E420" s="20" t="s">
        <v>373</v>
      </c>
      <c r="F420" s="20" t="s">
        <v>141</v>
      </c>
      <c r="G420" s="26">
        <f>150+60</f>
        <v>210</v>
      </c>
      <c r="H420" s="175"/>
    </row>
    <row r="421" spans="1:8" ht="63" x14ac:dyDescent="0.25">
      <c r="A421" s="25" t="s">
        <v>374</v>
      </c>
      <c r="B421" s="16">
        <v>903</v>
      </c>
      <c r="C421" s="20" t="s">
        <v>251</v>
      </c>
      <c r="D421" s="20" t="s">
        <v>222</v>
      </c>
      <c r="E421" s="20" t="s">
        <v>375</v>
      </c>
      <c r="F421" s="20"/>
      <c r="G421" s="26">
        <f>G422+G434+G428+G431</f>
        <v>30</v>
      </c>
      <c r="H421" s="175"/>
    </row>
    <row r="422" spans="1:8" ht="47.25" customHeight="1" x14ac:dyDescent="0.25">
      <c r="A422" s="25" t="s">
        <v>376</v>
      </c>
      <c r="B422" s="16">
        <v>903</v>
      </c>
      <c r="C422" s="20" t="s">
        <v>251</v>
      </c>
      <c r="D422" s="20" t="s">
        <v>222</v>
      </c>
      <c r="E422" s="20" t="s">
        <v>377</v>
      </c>
      <c r="F422" s="20"/>
      <c r="G422" s="26">
        <f>G423</f>
        <v>20</v>
      </c>
      <c r="H422" s="175"/>
    </row>
    <row r="423" spans="1:8" ht="47.25" x14ac:dyDescent="0.25">
      <c r="A423" s="25" t="s">
        <v>279</v>
      </c>
      <c r="B423" s="16">
        <v>903</v>
      </c>
      <c r="C423" s="20" t="s">
        <v>251</v>
      </c>
      <c r="D423" s="20" t="s">
        <v>222</v>
      </c>
      <c r="E423" s="20" t="s">
        <v>377</v>
      </c>
      <c r="F423" s="20" t="s">
        <v>280</v>
      </c>
      <c r="G423" s="26">
        <f>G424</f>
        <v>20</v>
      </c>
      <c r="H423" s="175"/>
    </row>
    <row r="424" spans="1:8" ht="63" x14ac:dyDescent="0.25">
      <c r="A424" s="39" t="s">
        <v>378</v>
      </c>
      <c r="B424" s="16">
        <v>903</v>
      </c>
      <c r="C424" s="20" t="s">
        <v>251</v>
      </c>
      <c r="D424" s="20" t="s">
        <v>222</v>
      </c>
      <c r="E424" s="20" t="s">
        <v>377</v>
      </c>
      <c r="F424" s="20" t="s">
        <v>379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380</v>
      </c>
      <c r="B428" s="16">
        <v>903</v>
      </c>
      <c r="C428" s="20" t="s">
        <v>251</v>
      </c>
      <c r="D428" s="20" t="s">
        <v>222</v>
      </c>
      <c r="E428" s="20" t="s">
        <v>381</v>
      </c>
      <c r="F428" s="20"/>
      <c r="G428" s="26">
        <f>G429</f>
        <v>0</v>
      </c>
      <c r="H428" s="175"/>
    </row>
    <row r="429" spans="1:8" ht="15.75" hidden="1" x14ac:dyDescent="0.25">
      <c r="A429" s="25" t="s">
        <v>142</v>
      </c>
      <c r="B429" s="16">
        <v>903</v>
      </c>
      <c r="C429" s="20" t="s">
        <v>251</v>
      </c>
      <c r="D429" s="20" t="s">
        <v>222</v>
      </c>
      <c r="E429" s="20" t="s">
        <v>381</v>
      </c>
      <c r="F429" s="20" t="s">
        <v>152</v>
      </c>
      <c r="G429" s="26">
        <f>G430</f>
        <v>0</v>
      </c>
      <c r="H429" s="175"/>
    </row>
    <row r="430" spans="1:8" ht="63" hidden="1" x14ac:dyDescent="0.25">
      <c r="A430" s="25" t="s">
        <v>191</v>
      </c>
      <c r="B430" s="16">
        <v>903</v>
      </c>
      <c r="C430" s="20" t="s">
        <v>251</v>
      </c>
      <c r="D430" s="20" t="s">
        <v>222</v>
      </c>
      <c r="E430" s="20" t="s">
        <v>381</v>
      </c>
      <c r="F430" s="20" t="s">
        <v>167</v>
      </c>
      <c r="G430" s="26">
        <v>0</v>
      </c>
      <c r="H430" s="175"/>
    </row>
    <row r="431" spans="1:8" ht="63" x14ac:dyDescent="0.25">
      <c r="A431" s="25" t="s">
        <v>382</v>
      </c>
      <c r="B431" s="16">
        <v>903</v>
      </c>
      <c r="C431" s="20" t="s">
        <v>251</v>
      </c>
      <c r="D431" s="20" t="s">
        <v>222</v>
      </c>
      <c r="E431" s="20" t="s">
        <v>383</v>
      </c>
      <c r="F431" s="20"/>
      <c r="G431" s="26">
        <f>G432</f>
        <v>10</v>
      </c>
      <c r="H431" s="175"/>
    </row>
    <row r="432" spans="1:8" ht="31.5" x14ac:dyDescent="0.25">
      <c r="A432" s="25" t="s">
        <v>255</v>
      </c>
      <c r="B432" s="16">
        <v>903</v>
      </c>
      <c r="C432" s="20" t="s">
        <v>251</v>
      </c>
      <c r="D432" s="20" t="s">
        <v>222</v>
      </c>
      <c r="E432" s="20" t="s">
        <v>383</v>
      </c>
      <c r="F432" s="20" t="s">
        <v>256</v>
      </c>
      <c r="G432" s="26">
        <f>G433</f>
        <v>10</v>
      </c>
      <c r="H432" s="175"/>
    </row>
    <row r="433" spans="1:10" ht="31.5" x14ac:dyDescent="0.25">
      <c r="A433" s="25" t="s">
        <v>257</v>
      </c>
      <c r="B433" s="16">
        <v>903</v>
      </c>
      <c r="C433" s="20" t="s">
        <v>251</v>
      </c>
      <c r="D433" s="20" t="s">
        <v>222</v>
      </c>
      <c r="E433" s="20" t="s">
        <v>383</v>
      </c>
      <c r="F433" s="20" t="s">
        <v>258</v>
      </c>
      <c r="G433" s="26">
        <v>10</v>
      </c>
      <c r="H433" s="105"/>
    </row>
    <row r="434" spans="1:10" ht="31.5" hidden="1" x14ac:dyDescent="0.25">
      <c r="A434" s="25" t="s">
        <v>384</v>
      </c>
      <c r="B434" s="16">
        <v>903</v>
      </c>
      <c r="C434" s="20" t="s">
        <v>251</v>
      </c>
      <c r="D434" s="20" t="s">
        <v>222</v>
      </c>
      <c r="E434" s="20" t="s">
        <v>385</v>
      </c>
      <c r="F434" s="20"/>
      <c r="G434" s="26">
        <f>G435+G437</f>
        <v>0</v>
      </c>
      <c r="H434" s="175"/>
    </row>
    <row r="435" spans="1:10" ht="31.5" hidden="1" x14ac:dyDescent="0.25">
      <c r="A435" s="25" t="s">
        <v>138</v>
      </c>
      <c r="B435" s="16">
        <v>903</v>
      </c>
      <c r="C435" s="20" t="s">
        <v>251</v>
      </c>
      <c r="D435" s="20" t="s">
        <v>222</v>
      </c>
      <c r="E435" s="20" t="s">
        <v>385</v>
      </c>
      <c r="F435" s="20" t="s">
        <v>139</v>
      </c>
      <c r="G435" s="26">
        <f>G436</f>
        <v>0</v>
      </c>
      <c r="H435" s="175"/>
    </row>
    <row r="436" spans="1:10" ht="47.25" hidden="1" x14ac:dyDescent="0.25">
      <c r="A436" s="25" t="s">
        <v>140</v>
      </c>
      <c r="B436" s="16">
        <v>903</v>
      </c>
      <c r="C436" s="20" t="s">
        <v>251</v>
      </c>
      <c r="D436" s="20" t="s">
        <v>222</v>
      </c>
      <c r="E436" s="20" t="s">
        <v>385</v>
      </c>
      <c r="F436" s="20" t="s">
        <v>141</v>
      </c>
      <c r="G436" s="26">
        <v>0</v>
      </c>
      <c r="H436" s="175"/>
    </row>
    <row r="437" spans="1:10" ht="15.75" hidden="1" x14ac:dyDescent="0.25">
      <c r="A437" s="25" t="s">
        <v>142</v>
      </c>
      <c r="B437" s="16">
        <v>903</v>
      </c>
      <c r="C437" s="20" t="s">
        <v>251</v>
      </c>
      <c r="D437" s="20" t="s">
        <v>222</v>
      </c>
      <c r="E437" s="20" t="s">
        <v>386</v>
      </c>
      <c r="F437" s="20" t="s">
        <v>152</v>
      </c>
      <c r="G437" s="26">
        <f>G438</f>
        <v>0</v>
      </c>
      <c r="H437" s="175"/>
    </row>
    <row r="438" spans="1:10" ht="63" hidden="1" x14ac:dyDescent="0.25">
      <c r="A438" s="25" t="s">
        <v>191</v>
      </c>
      <c r="B438" s="16">
        <v>903</v>
      </c>
      <c r="C438" s="20" t="s">
        <v>251</v>
      </c>
      <c r="D438" s="20" t="s">
        <v>222</v>
      </c>
      <c r="E438" s="20" t="s">
        <v>386</v>
      </c>
      <c r="F438" s="20" t="s">
        <v>167</v>
      </c>
      <c r="G438" s="26">
        <v>0</v>
      </c>
      <c r="H438" s="175"/>
    </row>
    <row r="439" spans="1:10" ht="94.5" x14ac:dyDescent="0.25">
      <c r="A439" s="29" t="s">
        <v>387</v>
      </c>
      <c r="B439" s="16">
        <v>903</v>
      </c>
      <c r="C439" s="40" t="s">
        <v>251</v>
      </c>
      <c r="D439" s="40" t="s">
        <v>222</v>
      </c>
      <c r="E439" s="40" t="s">
        <v>388</v>
      </c>
      <c r="F439" s="40"/>
      <c r="G439" s="26">
        <f>G440</f>
        <v>105</v>
      </c>
      <c r="H439" s="175"/>
    </row>
    <row r="440" spans="1:10" ht="31.5" x14ac:dyDescent="0.25">
      <c r="A440" s="29" t="s">
        <v>164</v>
      </c>
      <c r="B440" s="16">
        <v>903</v>
      </c>
      <c r="C440" s="40" t="s">
        <v>251</v>
      </c>
      <c r="D440" s="40" t="s">
        <v>222</v>
      </c>
      <c r="E440" s="40" t="s">
        <v>389</v>
      </c>
      <c r="F440" s="40"/>
      <c r="G440" s="26">
        <f>G441</f>
        <v>105</v>
      </c>
      <c r="H440" s="175"/>
    </row>
    <row r="441" spans="1:10" ht="31.5" x14ac:dyDescent="0.25">
      <c r="A441" s="29" t="s">
        <v>138</v>
      </c>
      <c r="B441" s="16">
        <v>903</v>
      </c>
      <c r="C441" s="40" t="s">
        <v>251</v>
      </c>
      <c r="D441" s="40" t="s">
        <v>222</v>
      </c>
      <c r="E441" s="40" t="s">
        <v>389</v>
      </c>
      <c r="F441" s="40" t="s">
        <v>139</v>
      </c>
      <c r="G441" s="26">
        <f>G442</f>
        <v>105</v>
      </c>
      <c r="H441" s="175"/>
    </row>
    <row r="442" spans="1:10" ht="47.25" x14ac:dyDescent="0.25">
      <c r="A442" s="29" t="s">
        <v>140</v>
      </c>
      <c r="B442" s="16">
        <v>903</v>
      </c>
      <c r="C442" s="40" t="s">
        <v>251</v>
      </c>
      <c r="D442" s="40" t="s">
        <v>222</v>
      </c>
      <c r="E442" s="40" t="s">
        <v>389</v>
      </c>
      <c r="F442" s="40" t="s">
        <v>141</v>
      </c>
      <c r="G442" s="26">
        <f>50+55</f>
        <v>105</v>
      </c>
      <c r="H442" s="175"/>
    </row>
    <row r="443" spans="1:10" ht="15.75" x14ac:dyDescent="0.25">
      <c r="A443" s="25" t="s">
        <v>128</v>
      </c>
      <c r="B443" s="16">
        <v>903</v>
      </c>
      <c r="C443" s="20" t="s">
        <v>251</v>
      </c>
      <c r="D443" s="20" t="s">
        <v>222</v>
      </c>
      <c r="E443" s="20" t="s">
        <v>129</v>
      </c>
      <c r="F443" s="20"/>
      <c r="G443" s="26">
        <f>G444+G455</f>
        <v>932</v>
      </c>
      <c r="H443" s="175"/>
    </row>
    <row r="444" spans="1:10" ht="31.5" x14ac:dyDescent="0.25">
      <c r="A444" s="25" t="s">
        <v>192</v>
      </c>
      <c r="B444" s="16">
        <v>903</v>
      </c>
      <c r="C444" s="20" t="s">
        <v>251</v>
      </c>
      <c r="D444" s="20" t="s">
        <v>222</v>
      </c>
      <c r="E444" s="20" t="s">
        <v>193</v>
      </c>
      <c r="F444" s="20"/>
      <c r="G444" s="26">
        <f>G451+G445+G448</f>
        <v>932</v>
      </c>
      <c r="H444" s="175"/>
    </row>
    <row r="445" spans="1:10" ht="15.75" x14ac:dyDescent="0.25">
      <c r="A445" s="25" t="s">
        <v>390</v>
      </c>
      <c r="B445" s="16">
        <v>903</v>
      </c>
      <c r="C445" s="20" t="s">
        <v>251</v>
      </c>
      <c r="D445" s="20" t="s">
        <v>222</v>
      </c>
      <c r="E445" s="20" t="s">
        <v>391</v>
      </c>
      <c r="F445" s="20"/>
      <c r="G445" s="26">
        <f>G446</f>
        <v>372.6</v>
      </c>
      <c r="H445" s="175"/>
    </row>
    <row r="446" spans="1:10" ht="31.5" x14ac:dyDescent="0.25">
      <c r="A446" s="25" t="s">
        <v>255</v>
      </c>
      <c r="B446" s="16">
        <v>903</v>
      </c>
      <c r="C446" s="20" t="s">
        <v>251</v>
      </c>
      <c r="D446" s="20" t="s">
        <v>222</v>
      </c>
      <c r="E446" s="20" t="s">
        <v>391</v>
      </c>
      <c r="F446" s="20" t="s">
        <v>256</v>
      </c>
      <c r="G446" s="26">
        <f>G447</f>
        <v>372.6</v>
      </c>
      <c r="H446" s="175"/>
    </row>
    <row r="447" spans="1:10" ht="31.5" x14ac:dyDescent="0.25">
      <c r="A447" s="25" t="s">
        <v>257</v>
      </c>
      <c r="B447" s="16">
        <v>903</v>
      </c>
      <c r="C447" s="20" t="s">
        <v>251</v>
      </c>
      <c r="D447" s="20" t="s">
        <v>222</v>
      </c>
      <c r="E447" s="20" t="s">
        <v>391</v>
      </c>
      <c r="F447" s="20" t="s">
        <v>258</v>
      </c>
      <c r="G447" s="26">
        <v>372.6</v>
      </c>
      <c r="H447" s="105"/>
      <c r="I447" s="123"/>
    </row>
    <row r="448" spans="1:10" ht="63" x14ac:dyDescent="0.25">
      <c r="A448" s="25" t="s">
        <v>382</v>
      </c>
      <c r="B448" s="16">
        <v>903</v>
      </c>
      <c r="C448" s="20" t="s">
        <v>251</v>
      </c>
      <c r="D448" s="20" t="s">
        <v>222</v>
      </c>
      <c r="E448" s="20" t="s">
        <v>392</v>
      </c>
      <c r="F448" s="20"/>
      <c r="G448" s="26">
        <f>G449</f>
        <v>500</v>
      </c>
      <c r="H448" s="175"/>
      <c r="J448" s="108"/>
    </row>
    <row r="449" spans="1:10" ht="31.5" x14ac:dyDescent="0.25">
      <c r="A449" s="25" t="s">
        <v>255</v>
      </c>
      <c r="B449" s="16">
        <v>903</v>
      </c>
      <c r="C449" s="20" t="s">
        <v>251</v>
      </c>
      <c r="D449" s="20" t="s">
        <v>222</v>
      </c>
      <c r="E449" s="20" t="s">
        <v>392</v>
      </c>
      <c r="F449" s="20" t="s">
        <v>256</v>
      </c>
      <c r="G449" s="26">
        <f>G450</f>
        <v>500</v>
      </c>
      <c r="H449" s="175"/>
      <c r="J449" s="108"/>
    </row>
    <row r="450" spans="1:10" ht="31.5" x14ac:dyDescent="0.25">
      <c r="A450" s="25" t="s">
        <v>257</v>
      </c>
      <c r="B450" s="16">
        <v>903</v>
      </c>
      <c r="C450" s="20" t="s">
        <v>251</v>
      </c>
      <c r="D450" s="20" t="s">
        <v>222</v>
      </c>
      <c r="E450" s="20" t="s">
        <v>392</v>
      </c>
      <c r="F450" s="20" t="s">
        <v>258</v>
      </c>
      <c r="G450" s="26">
        <v>500</v>
      </c>
      <c r="H450" s="105"/>
      <c r="J450" s="108"/>
    </row>
    <row r="451" spans="1:10" ht="54" customHeight="1" x14ac:dyDescent="0.25">
      <c r="A451" s="163" t="s">
        <v>746</v>
      </c>
      <c r="B451" s="16">
        <v>903</v>
      </c>
      <c r="C451" s="20" t="s">
        <v>251</v>
      </c>
      <c r="D451" s="20" t="s">
        <v>222</v>
      </c>
      <c r="E451" s="20" t="s">
        <v>393</v>
      </c>
      <c r="F451" s="20"/>
      <c r="G451" s="26">
        <f>G452</f>
        <v>59.4</v>
      </c>
      <c r="H451" s="175"/>
      <c r="J451" s="108"/>
    </row>
    <row r="452" spans="1:10" ht="31.5" x14ac:dyDescent="0.25">
      <c r="A452" s="25" t="s">
        <v>255</v>
      </c>
      <c r="B452" s="16">
        <v>903</v>
      </c>
      <c r="C452" s="20" t="s">
        <v>251</v>
      </c>
      <c r="D452" s="20" t="s">
        <v>222</v>
      </c>
      <c r="E452" s="20" t="s">
        <v>393</v>
      </c>
      <c r="F452" s="20" t="s">
        <v>256</v>
      </c>
      <c r="G452" s="26">
        <f>G453+G454</f>
        <v>59.4</v>
      </c>
      <c r="H452" s="175"/>
      <c r="J452" s="108"/>
    </row>
    <row r="453" spans="1:10" ht="31.5" x14ac:dyDescent="0.25">
      <c r="A453" s="25" t="s">
        <v>355</v>
      </c>
      <c r="B453" s="16">
        <v>903</v>
      </c>
      <c r="C453" s="20" t="s">
        <v>251</v>
      </c>
      <c r="D453" s="20" t="s">
        <v>222</v>
      </c>
      <c r="E453" s="20" t="s">
        <v>393</v>
      </c>
      <c r="F453" s="20" t="s">
        <v>356</v>
      </c>
      <c r="G453" s="161">
        <v>59.4</v>
      </c>
      <c r="H453" s="156" t="s">
        <v>736</v>
      </c>
      <c r="J453" s="108"/>
    </row>
    <row r="454" spans="1:10" ht="31.5" x14ac:dyDescent="0.25">
      <c r="A454" s="25" t="s">
        <v>257</v>
      </c>
      <c r="B454" s="16">
        <v>903</v>
      </c>
      <c r="C454" s="20" t="s">
        <v>251</v>
      </c>
      <c r="D454" s="20" t="s">
        <v>222</v>
      </c>
      <c r="E454" s="20" t="s">
        <v>393</v>
      </c>
      <c r="F454" s="20" t="s">
        <v>258</v>
      </c>
      <c r="G454" s="26"/>
      <c r="H454" s="175"/>
    </row>
    <row r="455" spans="1:10" ht="15.75" x14ac:dyDescent="0.25">
      <c r="A455" s="25" t="s">
        <v>148</v>
      </c>
      <c r="B455" s="16">
        <v>903</v>
      </c>
      <c r="C455" s="20" t="s">
        <v>251</v>
      </c>
      <c r="D455" s="20" t="s">
        <v>222</v>
      </c>
      <c r="E455" s="20" t="s">
        <v>149</v>
      </c>
      <c r="F455" s="20"/>
      <c r="G455" s="26">
        <f>G456</f>
        <v>0</v>
      </c>
      <c r="H455" s="175"/>
    </row>
    <row r="456" spans="1:10" ht="15.75" x14ac:dyDescent="0.25">
      <c r="A456" s="25" t="s">
        <v>208</v>
      </c>
      <c r="B456" s="16">
        <v>903</v>
      </c>
      <c r="C456" s="20" t="s">
        <v>251</v>
      </c>
      <c r="D456" s="20" t="s">
        <v>222</v>
      </c>
      <c r="E456" s="20" t="s">
        <v>209</v>
      </c>
      <c r="F456" s="20"/>
      <c r="G456" s="26">
        <f>G457</f>
        <v>0</v>
      </c>
      <c r="H456" s="175"/>
    </row>
    <row r="457" spans="1:10" ht="31.5" x14ac:dyDescent="0.25">
      <c r="A457" s="25" t="s">
        <v>255</v>
      </c>
      <c r="B457" s="16">
        <v>903</v>
      </c>
      <c r="C457" s="20" t="s">
        <v>251</v>
      </c>
      <c r="D457" s="20" t="s">
        <v>222</v>
      </c>
      <c r="E457" s="20" t="s">
        <v>209</v>
      </c>
      <c r="F457" s="20" t="s">
        <v>256</v>
      </c>
      <c r="G457" s="26">
        <f>G458</f>
        <v>0</v>
      </c>
      <c r="H457" s="175"/>
    </row>
    <row r="458" spans="1:10" ht="31.5" x14ac:dyDescent="0.25">
      <c r="A458" s="25" t="s">
        <v>355</v>
      </c>
      <c r="B458" s="16">
        <v>903</v>
      </c>
      <c r="C458" s="20" t="s">
        <v>251</v>
      </c>
      <c r="D458" s="20" t="s">
        <v>222</v>
      </c>
      <c r="E458" s="20" t="s">
        <v>209</v>
      </c>
      <c r="F458" s="20" t="s">
        <v>356</v>
      </c>
      <c r="G458" s="26">
        <v>0</v>
      </c>
      <c r="H458" s="175"/>
    </row>
    <row r="459" spans="1:10" ht="47.25" x14ac:dyDescent="0.25">
      <c r="A459" s="19" t="s">
        <v>394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5"/>
    </row>
    <row r="460" spans="1:10" ht="15.75" x14ac:dyDescent="0.25">
      <c r="A460" s="23" t="s">
        <v>124</v>
      </c>
      <c r="B460" s="19">
        <v>905</v>
      </c>
      <c r="C460" s="24" t="s">
        <v>125</v>
      </c>
      <c r="D460" s="20"/>
      <c r="E460" s="20"/>
      <c r="F460" s="20"/>
      <c r="G460" s="21">
        <f>G461+G471</f>
        <v>14701.94</v>
      </c>
      <c r="H460" s="175"/>
    </row>
    <row r="461" spans="1:10" ht="78.75" x14ac:dyDescent="0.25">
      <c r="A461" s="23" t="s">
        <v>156</v>
      </c>
      <c r="B461" s="19">
        <v>905</v>
      </c>
      <c r="C461" s="24" t="s">
        <v>125</v>
      </c>
      <c r="D461" s="24" t="s">
        <v>157</v>
      </c>
      <c r="E461" s="24"/>
      <c r="F461" s="24"/>
      <c r="G461" s="21">
        <f>G462</f>
        <v>11089</v>
      </c>
      <c r="H461" s="175"/>
    </row>
    <row r="462" spans="1:10" ht="15.75" x14ac:dyDescent="0.25">
      <c r="A462" s="25" t="s">
        <v>128</v>
      </c>
      <c r="B462" s="16">
        <v>905</v>
      </c>
      <c r="C462" s="20" t="s">
        <v>125</v>
      </c>
      <c r="D462" s="20" t="s">
        <v>157</v>
      </c>
      <c r="E462" s="20" t="s">
        <v>129</v>
      </c>
      <c r="F462" s="20"/>
      <c r="G462" s="26">
        <f>G463</f>
        <v>11089</v>
      </c>
      <c r="H462" s="175"/>
    </row>
    <row r="463" spans="1:10" ht="31.5" x14ac:dyDescent="0.25">
      <c r="A463" s="25" t="s">
        <v>130</v>
      </c>
      <c r="B463" s="16">
        <v>905</v>
      </c>
      <c r="C463" s="20" t="s">
        <v>125</v>
      </c>
      <c r="D463" s="20" t="s">
        <v>157</v>
      </c>
      <c r="E463" s="20" t="s">
        <v>131</v>
      </c>
      <c r="F463" s="20"/>
      <c r="G463" s="26">
        <f>G464</f>
        <v>11089</v>
      </c>
      <c r="H463" s="175"/>
    </row>
    <row r="464" spans="1:10" ht="47.25" x14ac:dyDescent="0.25">
      <c r="A464" s="25" t="s">
        <v>132</v>
      </c>
      <c r="B464" s="16">
        <v>905</v>
      </c>
      <c r="C464" s="20" t="s">
        <v>125</v>
      </c>
      <c r="D464" s="20" t="s">
        <v>157</v>
      </c>
      <c r="E464" s="20" t="s">
        <v>133</v>
      </c>
      <c r="F464" s="20"/>
      <c r="G464" s="26">
        <f>G465+G467+G469</f>
        <v>11089</v>
      </c>
      <c r="H464" s="175"/>
    </row>
    <row r="465" spans="1:9" ht="94.5" x14ac:dyDescent="0.25">
      <c r="A465" s="25" t="s">
        <v>134</v>
      </c>
      <c r="B465" s="16">
        <v>905</v>
      </c>
      <c r="C465" s="20" t="s">
        <v>125</v>
      </c>
      <c r="D465" s="20" t="s">
        <v>157</v>
      </c>
      <c r="E465" s="20" t="s">
        <v>133</v>
      </c>
      <c r="F465" s="20" t="s">
        <v>135</v>
      </c>
      <c r="G465" s="26">
        <f>G466</f>
        <v>10200.700000000001</v>
      </c>
      <c r="H465" s="175"/>
    </row>
    <row r="466" spans="1:9" ht="31.5" x14ac:dyDescent="0.25">
      <c r="A466" s="25" t="s">
        <v>136</v>
      </c>
      <c r="B466" s="16">
        <v>905</v>
      </c>
      <c r="C466" s="20" t="s">
        <v>125</v>
      </c>
      <c r="D466" s="20" t="s">
        <v>157</v>
      </c>
      <c r="E466" s="20" t="s">
        <v>133</v>
      </c>
      <c r="F466" s="20" t="s">
        <v>137</v>
      </c>
      <c r="G466" s="27">
        <v>10200.700000000001</v>
      </c>
      <c r="H466" s="175"/>
    </row>
    <row r="467" spans="1:9" ht="31.5" x14ac:dyDescent="0.25">
      <c r="A467" s="25" t="s">
        <v>138</v>
      </c>
      <c r="B467" s="16">
        <v>905</v>
      </c>
      <c r="C467" s="20" t="s">
        <v>125</v>
      </c>
      <c r="D467" s="20" t="s">
        <v>157</v>
      </c>
      <c r="E467" s="20" t="s">
        <v>133</v>
      </c>
      <c r="F467" s="20" t="s">
        <v>139</v>
      </c>
      <c r="G467" s="26">
        <f>G468</f>
        <v>811.8</v>
      </c>
      <c r="H467" s="175"/>
    </row>
    <row r="468" spans="1:9" ht="47.25" x14ac:dyDescent="0.25">
      <c r="A468" s="25" t="s">
        <v>140</v>
      </c>
      <c r="B468" s="16">
        <v>905</v>
      </c>
      <c r="C468" s="20" t="s">
        <v>125</v>
      </c>
      <c r="D468" s="20" t="s">
        <v>157</v>
      </c>
      <c r="E468" s="20" t="s">
        <v>133</v>
      </c>
      <c r="F468" s="20" t="s">
        <v>141</v>
      </c>
      <c r="G468" s="155">
        <f>885.8-74</f>
        <v>811.8</v>
      </c>
      <c r="H468" s="156" t="s">
        <v>731</v>
      </c>
    </row>
    <row r="469" spans="1:9" ht="15.75" x14ac:dyDescent="0.25">
      <c r="A469" s="25" t="s">
        <v>142</v>
      </c>
      <c r="B469" s="16">
        <v>905</v>
      </c>
      <c r="C469" s="20" t="s">
        <v>125</v>
      </c>
      <c r="D469" s="20" t="s">
        <v>157</v>
      </c>
      <c r="E469" s="20" t="s">
        <v>133</v>
      </c>
      <c r="F469" s="20" t="s">
        <v>152</v>
      </c>
      <c r="G469" s="26">
        <f>G470</f>
        <v>76.5</v>
      </c>
      <c r="H469" s="175"/>
    </row>
    <row r="470" spans="1:9" ht="15.75" x14ac:dyDescent="0.25">
      <c r="A470" s="25" t="s">
        <v>575</v>
      </c>
      <c r="B470" s="16">
        <v>905</v>
      </c>
      <c r="C470" s="20" t="s">
        <v>125</v>
      </c>
      <c r="D470" s="20" t="s">
        <v>157</v>
      </c>
      <c r="E470" s="20" t="s">
        <v>133</v>
      </c>
      <c r="F470" s="20" t="s">
        <v>145</v>
      </c>
      <c r="G470" s="157">
        <f>2.5+74</f>
        <v>76.5</v>
      </c>
      <c r="H470" s="156" t="s">
        <v>732</v>
      </c>
    </row>
    <row r="471" spans="1:9" ht="15.75" x14ac:dyDescent="0.25">
      <c r="A471" s="23" t="s">
        <v>146</v>
      </c>
      <c r="B471" s="19">
        <v>905</v>
      </c>
      <c r="C471" s="24" t="s">
        <v>125</v>
      </c>
      <c r="D471" s="24" t="s">
        <v>147</v>
      </c>
      <c r="E471" s="24"/>
      <c r="F471" s="24"/>
      <c r="G471" s="21">
        <f>G472</f>
        <v>3612.94</v>
      </c>
      <c r="H471" s="175"/>
    </row>
    <row r="472" spans="1:9" ht="15.75" x14ac:dyDescent="0.25">
      <c r="A472" s="25" t="s">
        <v>128</v>
      </c>
      <c r="B472" s="16">
        <v>905</v>
      </c>
      <c r="C472" s="20" t="s">
        <v>125</v>
      </c>
      <c r="D472" s="20" t="s">
        <v>147</v>
      </c>
      <c r="E472" s="20" t="s">
        <v>129</v>
      </c>
      <c r="F472" s="20"/>
      <c r="G472" s="26">
        <f>G473</f>
        <v>3612.94</v>
      </c>
      <c r="H472" s="175"/>
    </row>
    <row r="473" spans="1:9" ht="15.75" x14ac:dyDescent="0.25">
      <c r="A473" s="25" t="s">
        <v>148</v>
      </c>
      <c r="B473" s="16">
        <v>905</v>
      </c>
      <c r="C473" s="20" t="s">
        <v>125</v>
      </c>
      <c r="D473" s="20" t="s">
        <v>147</v>
      </c>
      <c r="E473" s="20" t="s">
        <v>149</v>
      </c>
      <c r="F473" s="20"/>
      <c r="G473" s="26">
        <f>G474</f>
        <v>3612.94</v>
      </c>
      <c r="H473" s="175"/>
    </row>
    <row r="474" spans="1:9" ht="47.25" x14ac:dyDescent="0.25">
      <c r="A474" s="25" t="s">
        <v>395</v>
      </c>
      <c r="B474" s="16">
        <v>905</v>
      </c>
      <c r="C474" s="20" t="s">
        <v>125</v>
      </c>
      <c r="D474" s="20" t="s">
        <v>147</v>
      </c>
      <c r="E474" s="20" t="s">
        <v>396</v>
      </c>
      <c r="F474" s="20"/>
      <c r="G474" s="26">
        <f>G475</f>
        <v>3612.94</v>
      </c>
      <c r="H474" s="175"/>
    </row>
    <row r="475" spans="1:9" ht="31.5" x14ac:dyDescent="0.25">
      <c r="A475" s="25" t="s">
        <v>138</v>
      </c>
      <c r="B475" s="16">
        <v>905</v>
      </c>
      <c r="C475" s="20" t="s">
        <v>125</v>
      </c>
      <c r="D475" s="20" t="s">
        <v>147</v>
      </c>
      <c r="E475" s="20" t="s">
        <v>396</v>
      </c>
      <c r="F475" s="20" t="s">
        <v>139</v>
      </c>
      <c r="G475" s="26">
        <f>G476</f>
        <v>3612.94</v>
      </c>
      <c r="H475" s="175"/>
    </row>
    <row r="476" spans="1:9" ht="47.25" x14ac:dyDescent="0.25">
      <c r="A476" s="25" t="s">
        <v>140</v>
      </c>
      <c r="B476" s="16">
        <v>905</v>
      </c>
      <c r="C476" s="20" t="s">
        <v>125</v>
      </c>
      <c r="D476" s="20" t="s">
        <v>147</v>
      </c>
      <c r="E476" s="20" t="s">
        <v>396</v>
      </c>
      <c r="F476" s="20" t="s">
        <v>141</v>
      </c>
      <c r="G476" s="161">
        <f>1961.14+1251.8+400</f>
        <v>3612.94</v>
      </c>
      <c r="H476" s="105" t="s">
        <v>749</v>
      </c>
      <c r="I476" s="123"/>
    </row>
    <row r="477" spans="1:9" ht="15.75" x14ac:dyDescent="0.25">
      <c r="A477" s="41" t="s">
        <v>397</v>
      </c>
      <c r="B477" s="19">
        <v>905</v>
      </c>
      <c r="C477" s="24" t="s">
        <v>241</v>
      </c>
      <c r="D477" s="24"/>
      <c r="E477" s="24"/>
      <c r="F477" s="24"/>
      <c r="G477" s="21">
        <f>G478</f>
        <v>1099.8</v>
      </c>
      <c r="H477" s="175"/>
    </row>
    <row r="478" spans="1:9" ht="15.75" x14ac:dyDescent="0.25">
      <c r="A478" s="41" t="s">
        <v>398</v>
      </c>
      <c r="B478" s="19">
        <v>905</v>
      </c>
      <c r="C478" s="24" t="s">
        <v>241</v>
      </c>
      <c r="D478" s="24" t="s">
        <v>125</v>
      </c>
      <c r="E478" s="24"/>
      <c r="F478" s="24"/>
      <c r="G478" s="26">
        <f>G479</f>
        <v>1099.8</v>
      </c>
      <c r="H478" s="175"/>
    </row>
    <row r="479" spans="1:9" ht="15.75" x14ac:dyDescent="0.25">
      <c r="A479" s="29" t="s">
        <v>128</v>
      </c>
      <c r="B479" s="16">
        <v>905</v>
      </c>
      <c r="C479" s="20" t="s">
        <v>241</v>
      </c>
      <c r="D479" s="20" t="s">
        <v>125</v>
      </c>
      <c r="E479" s="20" t="s">
        <v>129</v>
      </c>
      <c r="F479" s="20"/>
      <c r="G479" s="26">
        <f>G485+G480</f>
        <v>1099.8</v>
      </c>
      <c r="H479" s="175"/>
    </row>
    <row r="480" spans="1:9" ht="31.5" hidden="1" x14ac:dyDescent="0.25">
      <c r="A480" s="25" t="s">
        <v>192</v>
      </c>
      <c r="B480" s="37">
        <v>905</v>
      </c>
      <c r="C480" s="20" t="s">
        <v>241</v>
      </c>
      <c r="D480" s="20" t="s">
        <v>125</v>
      </c>
      <c r="E480" s="20" t="s">
        <v>193</v>
      </c>
      <c r="F480" s="20"/>
      <c r="G480" s="26">
        <f>G481</f>
        <v>0</v>
      </c>
      <c r="H480" s="175"/>
    </row>
    <row r="481" spans="1:9" ht="47.25" hidden="1" x14ac:dyDescent="0.25">
      <c r="A481" s="36" t="s">
        <v>399</v>
      </c>
      <c r="B481" s="37">
        <v>905</v>
      </c>
      <c r="C481" s="20" t="s">
        <v>241</v>
      </c>
      <c r="D481" s="20" t="s">
        <v>125</v>
      </c>
      <c r="E481" s="20" t="s">
        <v>400</v>
      </c>
      <c r="F481" s="20"/>
      <c r="G481" s="26">
        <f>G482</f>
        <v>0</v>
      </c>
      <c r="H481" s="175"/>
    </row>
    <row r="482" spans="1:9" ht="31.5" hidden="1" x14ac:dyDescent="0.25">
      <c r="A482" s="42" t="s">
        <v>401</v>
      </c>
      <c r="B482" s="37">
        <v>905</v>
      </c>
      <c r="C482" s="20" t="s">
        <v>241</v>
      </c>
      <c r="D482" s="20" t="s">
        <v>125</v>
      </c>
      <c r="E482" s="20" t="s">
        <v>402</v>
      </c>
      <c r="F482" s="20"/>
      <c r="G482" s="26">
        <f>G483</f>
        <v>0</v>
      </c>
      <c r="H482" s="175"/>
    </row>
    <row r="483" spans="1:9" ht="31.5" hidden="1" x14ac:dyDescent="0.25">
      <c r="A483" s="25" t="s">
        <v>138</v>
      </c>
      <c r="B483" s="16">
        <v>905</v>
      </c>
      <c r="C483" s="20" t="s">
        <v>241</v>
      </c>
      <c r="D483" s="20" t="s">
        <v>125</v>
      </c>
      <c r="E483" s="20" t="s">
        <v>402</v>
      </c>
      <c r="F483" s="20" t="s">
        <v>139</v>
      </c>
      <c r="G483" s="26">
        <f>G484</f>
        <v>0</v>
      </c>
      <c r="H483" s="175"/>
    </row>
    <row r="484" spans="1:9" ht="47.25" hidden="1" x14ac:dyDescent="0.25">
      <c r="A484" s="25" t="s">
        <v>140</v>
      </c>
      <c r="B484" s="16">
        <v>905</v>
      </c>
      <c r="C484" s="20" t="s">
        <v>241</v>
      </c>
      <c r="D484" s="20" t="s">
        <v>125</v>
      </c>
      <c r="E484" s="20" t="s">
        <v>402</v>
      </c>
      <c r="F484" s="20" t="s">
        <v>141</v>
      </c>
      <c r="G484" s="26"/>
      <c r="H484" s="175"/>
    </row>
    <row r="485" spans="1:9" ht="15.75" x14ac:dyDescent="0.25">
      <c r="A485" s="29" t="s">
        <v>148</v>
      </c>
      <c r="B485" s="16">
        <v>905</v>
      </c>
      <c r="C485" s="20" t="s">
        <v>241</v>
      </c>
      <c r="D485" s="20" t="s">
        <v>125</v>
      </c>
      <c r="E485" s="20" t="s">
        <v>149</v>
      </c>
      <c r="F485" s="20"/>
      <c r="G485" s="26">
        <f>G486+G489</f>
        <v>1099.8</v>
      </c>
      <c r="H485" s="175"/>
    </row>
    <row r="486" spans="1:9" ht="31.5" x14ac:dyDescent="0.25">
      <c r="A486" s="29" t="s">
        <v>405</v>
      </c>
      <c r="B486" s="16">
        <v>905</v>
      </c>
      <c r="C486" s="20" t="s">
        <v>241</v>
      </c>
      <c r="D486" s="20" t="s">
        <v>125</v>
      </c>
      <c r="E486" s="20" t="s">
        <v>406</v>
      </c>
      <c r="F486" s="20"/>
      <c r="G486" s="26">
        <f>G487</f>
        <v>260.8</v>
      </c>
      <c r="H486" s="175"/>
    </row>
    <row r="487" spans="1:9" ht="31.5" x14ac:dyDescent="0.25">
      <c r="A487" s="25" t="s">
        <v>138</v>
      </c>
      <c r="B487" s="16">
        <v>905</v>
      </c>
      <c r="C487" s="20" t="s">
        <v>241</v>
      </c>
      <c r="D487" s="20" t="s">
        <v>125</v>
      </c>
      <c r="E487" s="20" t="s">
        <v>406</v>
      </c>
      <c r="F487" s="20" t="s">
        <v>139</v>
      </c>
      <c r="G487" s="26">
        <f>G488</f>
        <v>260.8</v>
      </c>
      <c r="H487" s="175"/>
    </row>
    <row r="488" spans="1:9" ht="47.25" x14ac:dyDescent="0.25">
      <c r="A488" s="25" t="s">
        <v>140</v>
      </c>
      <c r="B488" s="16">
        <v>905</v>
      </c>
      <c r="C488" s="20" t="s">
        <v>241</v>
      </c>
      <c r="D488" s="20" t="s">
        <v>125</v>
      </c>
      <c r="E488" s="20" t="s">
        <v>406</v>
      </c>
      <c r="F488" s="20" t="s">
        <v>141</v>
      </c>
      <c r="G488" s="26">
        <v>260.8</v>
      </c>
      <c r="H488" s="175"/>
    </row>
    <row r="489" spans="1:9" ht="15.75" x14ac:dyDescent="0.25">
      <c r="A489" s="29" t="s">
        <v>403</v>
      </c>
      <c r="B489" s="16">
        <v>905</v>
      </c>
      <c r="C489" s="20" t="s">
        <v>241</v>
      </c>
      <c r="D489" s="20" t="s">
        <v>125</v>
      </c>
      <c r="E489" s="20" t="s">
        <v>404</v>
      </c>
      <c r="F489" s="20"/>
      <c r="G489" s="26">
        <f>G490</f>
        <v>839</v>
      </c>
      <c r="H489" s="175"/>
    </row>
    <row r="490" spans="1:9" ht="31.5" x14ac:dyDescent="0.25">
      <c r="A490" s="25" t="s">
        <v>138</v>
      </c>
      <c r="B490" s="16">
        <v>905</v>
      </c>
      <c r="C490" s="20" t="s">
        <v>241</v>
      </c>
      <c r="D490" s="20" t="s">
        <v>125</v>
      </c>
      <c r="E490" s="20" t="s">
        <v>404</v>
      </c>
      <c r="F490" s="20" t="s">
        <v>139</v>
      </c>
      <c r="G490" s="26">
        <f>G491</f>
        <v>839</v>
      </c>
      <c r="H490" s="175"/>
    </row>
    <row r="491" spans="1:9" ht="47.25" x14ac:dyDescent="0.25">
      <c r="A491" s="25" t="s">
        <v>140</v>
      </c>
      <c r="B491" s="16">
        <v>905</v>
      </c>
      <c r="C491" s="20" t="s">
        <v>241</v>
      </c>
      <c r="D491" s="20" t="s">
        <v>125</v>
      </c>
      <c r="E491" s="20" t="s">
        <v>404</v>
      </c>
      <c r="F491" s="20" t="s">
        <v>141</v>
      </c>
      <c r="G491" s="26">
        <v>839</v>
      </c>
      <c r="H491" s="175"/>
      <c r="I491" s="114"/>
    </row>
    <row r="492" spans="1:9" ht="15.75" hidden="1" x14ac:dyDescent="0.25">
      <c r="A492" s="43" t="s">
        <v>250</v>
      </c>
      <c r="B492" s="19">
        <v>905</v>
      </c>
      <c r="C492" s="24" t="s">
        <v>251</v>
      </c>
      <c r="D492" s="24"/>
      <c r="E492" s="24"/>
      <c r="F492" s="24"/>
      <c r="G492" s="21">
        <f>G493</f>
        <v>0</v>
      </c>
      <c r="H492" s="175"/>
    </row>
    <row r="493" spans="1:9" ht="15.75" hidden="1" x14ac:dyDescent="0.25">
      <c r="A493" s="23" t="s">
        <v>407</v>
      </c>
      <c r="B493" s="19">
        <v>905</v>
      </c>
      <c r="C493" s="24" t="s">
        <v>251</v>
      </c>
      <c r="D493" s="24" t="s">
        <v>157</v>
      </c>
      <c r="E493" s="24"/>
      <c r="F493" s="24"/>
      <c r="G493" s="21">
        <f>G494</f>
        <v>0</v>
      </c>
      <c r="H493" s="175"/>
    </row>
    <row r="494" spans="1:9" ht="31.5" hidden="1" x14ac:dyDescent="0.25">
      <c r="A494" s="25" t="s">
        <v>192</v>
      </c>
      <c r="B494" s="16">
        <v>905</v>
      </c>
      <c r="C494" s="20" t="s">
        <v>251</v>
      </c>
      <c r="D494" s="20" t="s">
        <v>157</v>
      </c>
      <c r="E494" s="20" t="s">
        <v>193</v>
      </c>
      <c r="F494" s="20"/>
      <c r="G494" s="26">
        <f>G495</f>
        <v>0</v>
      </c>
      <c r="H494" s="175"/>
    </row>
    <row r="495" spans="1:9" ht="47.25" hidden="1" x14ac:dyDescent="0.25">
      <c r="A495" s="31" t="s">
        <v>408</v>
      </c>
      <c r="B495" s="16">
        <v>905</v>
      </c>
      <c r="C495" s="20" t="s">
        <v>251</v>
      </c>
      <c r="D495" s="20" t="s">
        <v>157</v>
      </c>
      <c r="E495" s="20" t="s">
        <v>409</v>
      </c>
      <c r="F495" s="20"/>
      <c r="G495" s="26">
        <f>G496</f>
        <v>0</v>
      </c>
      <c r="H495" s="175"/>
    </row>
    <row r="496" spans="1:9" ht="31.5" hidden="1" x14ac:dyDescent="0.25">
      <c r="A496" s="25" t="s">
        <v>138</v>
      </c>
      <c r="B496" s="16">
        <v>905</v>
      </c>
      <c r="C496" s="20" t="s">
        <v>251</v>
      </c>
      <c r="D496" s="20" t="s">
        <v>157</v>
      </c>
      <c r="E496" s="20" t="s">
        <v>409</v>
      </c>
      <c r="F496" s="20" t="s">
        <v>139</v>
      </c>
      <c r="G496" s="26">
        <f>G497</f>
        <v>0</v>
      </c>
      <c r="H496" s="175"/>
    </row>
    <row r="497" spans="1:12" ht="47.25" hidden="1" x14ac:dyDescent="0.25">
      <c r="A497" s="25" t="s">
        <v>140</v>
      </c>
      <c r="B497" s="16">
        <v>905</v>
      </c>
      <c r="C497" s="20" t="s">
        <v>251</v>
      </c>
      <c r="D497" s="20" t="s">
        <v>157</v>
      </c>
      <c r="E497" s="20" t="s">
        <v>409</v>
      </c>
      <c r="F497" s="20" t="s">
        <v>141</v>
      </c>
      <c r="G497" s="26">
        <f>1330-1330</f>
        <v>0</v>
      </c>
      <c r="H497" s="175"/>
      <c r="I497" s="114"/>
    </row>
    <row r="498" spans="1:12" ht="31.5" x14ac:dyDescent="0.25">
      <c r="A498" s="19" t="s">
        <v>410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5"/>
      <c r="L498" s="115"/>
    </row>
    <row r="499" spans="1:12" ht="15.75" x14ac:dyDescent="0.25">
      <c r="A499" s="23" t="s">
        <v>124</v>
      </c>
      <c r="B499" s="19">
        <v>906</v>
      </c>
      <c r="C499" s="24" t="s">
        <v>125</v>
      </c>
      <c r="D499" s="24"/>
      <c r="E499" s="24"/>
      <c r="F499" s="24"/>
      <c r="G499" s="21">
        <f t="shared" ref="G499:G504" si="2">G500</f>
        <v>5</v>
      </c>
      <c r="H499" s="175"/>
    </row>
    <row r="500" spans="1:12" ht="15.75" x14ac:dyDescent="0.25">
      <c r="A500" s="34" t="s">
        <v>146</v>
      </c>
      <c r="B500" s="19">
        <v>906</v>
      </c>
      <c r="C500" s="24" t="s">
        <v>125</v>
      </c>
      <c r="D500" s="24" t="s">
        <v>147</v>
      </c>
      <c r="E500" s="24"/>
      <c r="F500" s="24"/>
      <c r="G500" s="21">
        <f t="shared" si="2"/>
        <v>5</v>
      </c>
      <c r="H500" s="175"/>
    </row>
    <row r="501" spans="1:12" ht="18" customHeight="1" x14ac:dyDescent="0.25">
      <c r="A501" s="31" t="s">
        <v>128</v>
      </c>
      <c r="B501" s="16">
        <v>906</v>
      </c>
      <c r="C501" s="20" t="s">
        <v>125</v>
      </c>
      <c r="D501" s="20" t="s">
        <v>147</v>
      </c>
      <c r="E501" s="20" t="s">
        <v>129</v>
      </c>
      <c r="F501" s="20"/>
      <c r="G501" s="26">
        <f t="shared" si="2"/>
        <v>5</v>
      </c>
      <c r="H501" s="175"/>
    </row>
    <row r="502" spans="1:12" ht="15.75" x14ac:dyDescent="0.25">
      <c r="A502" s="31" t="s">
        <v>148</v>
      </c>
      <c r="B502" s="16">
        <v>906</v>
      </c>
      <c r="C502" s="20" t="s">
        <v>125</v>
      </c>
      <c r="D502" s="20" t="s">
        <v>147</v>
      </c>
      <c r="E502" s="20" t="s">
        <v>149</v>
      </c>
      <c r="F502" s="20"/>
      <c r="G502" s="26">
        <f t="shared" si="2"/>
        <v>5</v>
      </c>
      <c r="H502" s="175"/>
    </row>
    <row r="503" spans="1:12" ht="15.75" x14ac:dyDescent="0.25">
      <c r="A503" s="25" t="s">
        <v>186</v>
      </c>
      <c r="B503" s="16">
        <v>906</v>
      </c>
      <c r="C503" s="20" t="s">
        <v>125</v>
      </c>
      <c r="D503" s="20" t="s">
        <v>147</v>
      </c>
      <c r="E503" s="20" t="s">
        <v>212</v>
      </c>
      <c r="F503" s="20"/>
      <c r="G503" s="26">
        <f t="shared" si="2"/>
        <v>5</v>
      </c>
      <c r="H503" s="175"/>
    </row>
    <row r="504" spans="1:12" ht="31.5" x14ac:dyDescent="0.25">
      <c r="A504" s="25" t="s">
        <v>138</v>
      </c>
      <c r="B504" s="16">
        <v>906</v>
      </c>
      <c r="C504" s="20" t="s">
        <v>125</v>
      </c>
      <c r="D504" s="20" t="s">
        <v>147</v>
      </c>
      <c r="E504" s="20" t="s">
        <v>212</v>
      </c>
      <c r="F504" s="20" t="s">
        <v>139</v>
      </c>
      <c r="G504" s="26">
        <f t="shared" si="2"/>
        <v>5</v>
      </c>
      <c r="H504" s="175"/>
    </row>
    <row r="505" spans="1:12" ht="47.25" x14ac:dyDescent="0.25">
      <c r="A505" s="25" t="s">
        <v>140</v>
      </c>
      <c r="B505" s="16">
        <v>906</v>
      </c>
      <c r="C505" s="20" t="s">
        <v>125</v>
      </c>
      <c r="D505" s="20" t="s">
        <v>147</v>
      </c>
      <c r="E505" s="20" t="s">
        <v>212</v>
      </c>
      <c r="F505" s="20" t="s">
        <v>141</v>
      </c>
      <c r="G505" s="26">
        <v>5</v>
      </c>
      <c r="H505" s="175"/>
    </row>
    <row r="506" spans="1:12" ht="15.75" x14ac:dyDescent="0.25">
      <c r="A506" s="23" t="s">
        <v>270</v>
      </c>
      <c r="B506" s="19">
        <v>906</v>
      </c>
      <c r="C506" s="24" t="s">
        <v>271</v>
      </c>
      <c r="D506" s="24"/>
      <c r="E506" s="24"/>
      <c r="F506" s="24"/>
      <c r="G506" s="21">
        <f>G507+G546+G633+G645+G612</f>
        <v>261516.80000000002</v>
      </c>
      <c r="H506" s="175"/>
    </row>
    <row r="507" spans="1:12" ht="15.75" x14ac:dyDescent="0.25">
      <c r="A507" s="23" t="s">
        <v>411</v>
      </c>
      <c r="B507" s="19">
        <v>906</v>
      </c>
      <c r="C507" s="24" t="s">
        <v>271</v>
      </c>
      <c r="D507" s="24" t="s">
        <v>125</v>
      </c>
      <c r="E507" s="24"/>
      <c r="F507" s="24"/>
      <c r="G507" s="21">
        <f>G508+G526</f>
        <v>84659.4</v>
      </c>
      <c r="H507" s="175"/>
    </row>
    <row r="508" spans="1:12" ht="47.25" x14ac:dyDescent="0.25">
      <c r="A508" s="25" t="s">
        <v>412</v>
      </c>
      <c r="B508" s="16">
        <v>906</v>
      </c>
      <c r="C508" s="20" t="s">
        <v>271</v>
      </c>
      <c r="D508" s="20" t="s">
        <v>125</v>
      </c>
      <c r="E508" s="20" t="s">
        <v>413</v>
      </c>
      <c r="F508" s="20"/>
      <c r="G508" s="26">
        <f>G509+G513</f>
        <v>23453.4</v>
      </c>
      <c r="H508" s="175"/>
    </row>
    <row r="509" spans="1:12" ht="47.25" x14ac:dyDescent="0.25">
      <c r="A509" s="25" t="s">
        <v>414</v>
      </c>
      <c r="B509" s="16">
        <v>906</v>
      </c>
      <c r="C509" s="20" t="s">
        <v>271</v>
      </c>
      <c r="D509" s="20" t="s">
        <v>125</v>
      </c>
      <c r="E509" s="20" t="s">
        <v>415</v>
      </c>
      <c r="F509" s="20"/>
      <c r="G509" s="26">
        <f>G510</f>
        <v>15578.400000000001</v>
      </c>
      <c r="H509" s="175"/>
    </row>
    <row r="510" spans="1:12" ht="47.25" x14ac:dyDescent="0.25">
      <c r="A510" s="25" t="s">
        <v>416</v>
      </c>
      <c r="B510" s="16">
        <v>906</v>
      </c>
      <c r="C510" s="20" t="s">
        <v>271</v>
      </c>
      <c r="D510" s="20" t="s">
        <v>125</v>
      </c>
      <c r="E510" s="20" t="s">
        <v>417</v>
      </c>
      <c r="F510" s="20"/>
      <c r="G510" s="26">
        <f>G511</f>
        <v>15578.400000000001</v>
      </c>
      <c r="H510" s="175"/>
    </row>
    <row r="511" spans="1:12" ht="47.25" x14ac:dyDescent="0.25">
      <c r="A511" s="25" t="s">
        <v>279</v>
      </c>
      <c r="B511" s="16">
        <v>906</v>
      </c>
      <c r="C511" s="20" t="s">
        <v>271</v>
      </c>
      <c r="D511" s="20" t="s">
        <v>125</v>
      </c>
      <c r="E511" s="20" t="s">
        <v>417</v>
      </c>
      <c r="F511" s="20" t="s">
        <v>280</v>
      </c>
      <c r="G511" s="26">
        <f>G512</f>
        <v>15578.400000000001</v>
      </c>
      <c r="H511" s="175"/>
    </row>
    <row r="512" spans="1:12" ht="15.75" x14ac:dyDescent="0.25">
      <c r="A512" s="25" t="s">
        <v>281</v>
      </c>
      <c r="B512" s="16">
        <v>906</v>
      </c>
      <c r="C512" s="20" t="s">
        <v>271</v>
      </c>
      <c r="D512" s="20" t="s">
        <v>125</v>
      </c>
      <c r="E512" s="20" t="s">
        <v>417</v>
      </c>
      <c r="F512" s="20" t="s">
        <v>282</v>
      </c>
      <c r="G512" s="27">
        <f>17368.2+6858.7-6314-1360.2-974.3</f>
        <v>15578.400000000001</v>
      </c>
      <c r="H512" s="177"/>
      <c r="I512" s="124"/>
    </row>
    <row r="513" spans="1:8" ht="47.25" x14ac:dyDescent="0.25">
      <c r="A513" s="25" t="s">
        <v>418</v>
      </c>
      <c r="B513" s="16">
        <v>906</v>
      </c>
      <c r="C513" s="20" t="s">
        <v>271</v>
      </c>
      <c r="D513" s="20" t="s">
        <v>125</v>
      </c>
      <c r="E513" s="20" t="s">
        <v>419</v>
      </c>
      <c r="F513" s="20"/>
      <c r="G513" s="26">
        <f>G514+G517+G520+G523</f>
        <v>7875</v>
      </c>
      <c r="H513" s="175"/>
    </row>
    <row r="514" spans="1:8" ht="47.25" hidden="1" x14ac:dyDescent="0.25">
      <c r="A514" s="25" t="s">
        <v>285</v>
      </c>
      <c r="B514" s="16">
        <v>906</v>
      </c>
      <c r="C514" s="20" t="s">
        <v>271</v>
      </c>
      <c r="D514" s="20" t="s">
        <v>125</v>
      </c>
      <c r="E514" s="20" t="s">
        <v>420</v>
      </c>
      <c r="F514" s="20"/>
      <c r="G514" s="26">
        <f>G515</f>
        <v>0</v>
      </c>
      <c r="H514" s="175"/>
    </row>
    <row r="515" spans="1:8" ht="47.25" hidden="1" x14ac:dyDescent="0.25">
      <c r="A515" s="25" t="s">
        <v>279</v>
      </c>
      <c r="B515" s="16">
        <v>906</v>
      </c>
      <c r="C515" s="20" t="s">
        <v>271</v>
      </c>
      <c r="D515" s="20" t="s">
        <v>125</v>
      </c>
      <c r="E515" s="20" t="s">
        <v>420</v>
      </c>
      <c r="F515" s="20" t="s">
        <v>280</v>
      </c>
      <c r="G515" s="26">
        <f>G516</f>
        <v>0</v>
      </c>
      <c r="H515" s="175"/>
    </row>
    <row r="516" spans="1:8" ht="15.75" hidden="1" x14ac:dyDescent="0.25">
      <c r="A516" s="25" t="s">
        <v>281</v>
      </c>
      <c r="B516" s="16">
        <v>906</v>
      </c>
      <c r="C516" s="20" t="s">
        <v>271</v>
      </c>
      <c r="D516" s="20" t="s">
        <v>125</v>
      </c>
      <c r="E516" s="20" t="s">
        <v>420</v>
      </c>
      <c r="F516" s="20" t="s">
        <v>282</v>
      </c>
      <c r="G516" s="26">
        <v>0</v>
      </c>
      <c r="H516" s="175"/>
    </row>
    <row r="517" spans="1:8" ht="31.5" x14ac:dyDescent="0.25">
      <c r="A517" s="25" t="s">
        <v>287</v>
      </c>
      <c r="B517" s="16">
        <v>906</v>
      </c>
      <c r="C517" s="20" t="s">
        <v>271</v>
      </c>
      <c r="D517" s="20" t="s">
        <v>125</v>
      </c>
      <c r="E517" s="20" t="s">
        <v>421</v>
      </c>
      <c r="F517" s="20"/>
      <c r="G517" s="26">
        <f>G518</f>
        <v>1145</v>
      </c>
      <c r="H517" s="175"/>
    </row>
    <row r="518" spans="1:8" ht="47.25" x14ac:dyDescent="0.25">
      <c r="A518" s="25" t="s">
        <v>279</v>
      </c>
      <c r="B518" s="16">
        <v>906</v>
      </c>
      <c r="C518" s="20" t="s">
        <v>271</v>
      </c>
      <c r="D518" s="20" t="s">
        <v>125</v>
      </c>
      <c r="E518" s="20" t="s">
        <v>421</v>
      </c>
      <c r="F518" s="20" t="s">
        <v>280</v>
      </c>
      <c r="G518" s="26">
        <f>G519</f>
        <v>1145</v>
      </c>
      <c r="H518" s="175"/>
    </row>
    <row r="519" spans="1:8" ht="15.75" x14ac:dyDescent="0.25">
      <c r="A519" s="25" t="s">
        <v>281</v>
      </c>
      <c r="B519" s="16">
        <v>906</v>
      </c>
      <c r="C519" s="20" t="s">
        <v>271</v>
      </c>
      <c r="D519" s="20" t="s">
        <v>125</v>
      </c>
      <c r="E519" s="20" t="s">
        <v>421</v>
      </c>
      <c r="F519" s="20" t="s">
        <v>282</v>
      </c>
      <c r="G519" s="157">
        <f>800+300+45</f>
        <v>1145</v>
      </c>
      <c r="H519" s="164" t="s">
        <v>751</v>
      </c>
    </row>
    <row r="520" spans="1:8" ht="47.25" x14ac:dyDescent="0.25">
      <c r="A520" s="25" t="s">
        <v>422</v>
      </c>
      <c r="B520" s="16">
        <v>906</v>
      </c>
      <c r="C520" s="20" t="s">
        <v>271</v>
      </c>
      <c r="D520" s="20" t="s">
        <v>125</v>
      </c>
      <c r="E520" s="20" t="s">
        <v>423</v>
      </c>
      <c r="F520" s="20"/>
      <c r="G520" s="26">
        <f>G521</f>
        <v>6730</v>
      </c>
      <c r="H520" s="175"/>
    </row>
    <row r="521" spans="1:8" ht="47.25" x14ac:dyDescent="0.25">
      <c r="A521" s="25" t="s">
        <v>279</v>
      </c>
      <c r="B521" s="16">
        <v>906</v>
      </c>
      <c r="C521" s="20" t="s">
        <v>271</v>
      </c>
      <c r="D521" s="20" t="s">
        <v>125</v>
      </c>
      <c r="E521" s="20" t="s">
        <v>423</v>
      </c>
      <c r="F521" s="20" t="s">
        <v>280</v>
      </c>
      <c r="G521" s="26">
        <f>G522</f>
        <v>6730</v>
      </c>
      <c r="H521" s="175"/>
    </row>
    <row r="522" spans="1:8" ht="15.75" x14ac:dyDescent="0.25">
      <c r="A522" s="25" t="s">
        <v>281</v>
      </c>
      <c r="B522" s="16">
        <v>906</v>
      </c>
      <c r="C522" s="20" t="s">
        <v>271</v>
      </c>
      <c r="D522" s="20" t="s">
        <v>125</v>
      </c>
      <c r="E522" s="20" t="s">
        <v>423</v>
      </c>
      <c r="F522" s="20" t="s">
        <v>282</v>
      </c>
      <c r="G522" s="27">
        <v>6730</v>
      </c>
      <c r="H522" s="175"/>
    </row>
    <row r="523" spans="1:8" ht="31.5" hidden="1" x14ac:dyDescent="0.25">
      <c r="A523" s="25" t="s">
        <v>291</v>
      </c>
      <c r="B523" s="16">
        <v>906</v>
      </c>
      <c r="C523" s="20" t="s">
        <v>271</v>
      </c>
      <c r="D523" s="20" t="s">
        <v>125</v>
      </c>
      <c r="E523" s="20" t="s">
        <v>424</v>
      </c>
      <c r="F523" s="20"/>
      <c r="G523" s="26">
        <f>G524</f>
        <v>0</v>
      </c>
      <c r="H523" s="175"/>
    </row>
    <row r="524" spans="1:8" ht="47.25" hidden="1" x14ac:dyDescent="0.25">
      <c r="A524" s="25" t="s">
        <v>279</v>
      </c>
      <c r="B524" s="16">
        <v>906</v>
      </c>
      <c r="C524" s="20" t="s">
        <v>271</v>
      </c>
      <c r="D524" s="20" t="s">
        <v>125</v>
      </c>
      <c r="E524" s="20" t="s">
        <v>424</v>
      </c>
      <c r="F524" s="20" t="s">
        <v>280</v>
      </c>
      <c r="G524" s="26">
        <f>G525</f>
        <v>0</v>
      </c>
      <c r="H524" s="175"/>
    </row>
    <row r="525" spans="1:8" ht="15.75" hidden="1" x14ac:dyDescent="0.25">
      <c r="A525" s="25" t="s">
        <v>281</v>
      </c>
      <c r="B525" s="16">
        <v>906</v>
      </c>
      <c r="C525" s="20" t="s">
        <v>271</v>
      </c>
      <c r="D525" s="20" t="s">
        <v>125</v>
      </c>
      <c r="E525" s="20" t="s">
        <v>424</v>
      </c>
      <c r="F525" s="20" t="s">
        <v>282</v>
      </c>
      <c r="G525" s="26">
        <v>0</v>
      </c>
      <c r="H525" s="175"/>
    </row>
    <row r="526" spans="1:8" ht="15.75" x14ac:dyDescent="0.25">
      <c r="A526" s="25" t="s">
        <v>128</v>
      </c>
      <c r="B526" s="16">
        <v>906</v>
      </c>
      <c r="C526" s="20" t="s">
        <v>271</v>
      </c>
      <c r="D526" s="20" t="s">
        <v>125</v>
      </c>
      <c r="E526" s="20" t="s">
        <v>129</v>
      </c>
      <c r="F526" s="20"/>
      <c r="G526" s="26">
        <f>G527</f>
        <v>61206</v>
      </c>
      <c r="H526" s="175"/>
    </row>
    <row r="527" spans="1:8" ht="31.5" x14ac:dyDescent="0.25">
      <c r="A527" s="25" t="s">
        <v>192</v>
      </c>
      <c r="B527" s="16">
        <v>906</v>
      </c>
      <c r="C527" s="20" t="s">
        <v>271</v>
      </c>
      <c r="D527" s="20" t="s">
        <v>125</v>
      </c>
      <c r="E527" s="20" t="s">
        <v>193</v>
      </c>
      <c r="F527" s="20"/>
      <c r="G527" s="26">
        <f>G528+G531+G534+G537+G540+G543</f>
        <v>61206</v>
      </c>
      <c r="H527" s="175"/>
    </row>
    <row r="528" spans="1:8" ht="31.5" hidden="1" x14ac:dyDescent="0.25">
      <c r="A528" s="25" t="s">
        <v>425</v>
      </c>
      <c r="B528" s="16">
        <v>906</v>
      </c>
      <c r="C528" s="20" t="s">
        <v>271</v>
      </c>
      <c r="D528" s="20" t="s">
        <v>125</v>
      </c>
      <c r="E528" s="20" t="s">
        <v>426</v>
      </c>
      <c r="F528" s="20"/>
      <c r="G528" s="26">
        <f>G529</f>
        <v>0</v>
      </c>
      <c r="H528" s="175"/>
    </row>
    <row r="529" spans="1:9" ht="47.25" hidden="1" x14ac:dyDescent="0.25">
      <c r="A529" s="25" t="s">
        <v>279</v>
      </c>
      <c r="B529" s="16">
        <v>906</v>
      </c>
      <c r="C529" s="20" t="s">
        <v>271</v>
      </c>
      <c r="D529" s="20" t="s">
        <v>125</v>
      </c>
      <c r="E529" s="20" t="s">
        <v>426</v>
      </c>
      <c r="F529" s="20" t="s">
        <v>280</v>
      </c>
      <c r="G529" s="26">
        <f>G530</f>
        <v>0</v>
      </c>
      <c r="H529" s="175"/>
    </row>
    <row r="530" spans="1:9" ht="15.75" hidden="1" x14ac:dyDescent="0.25">
      <c r="A530" s="25" t="s">
        <v>281</v>
      </c>
      <c r="B530" s="16">
        <v>906</v>
      </c>
      <c r="C530" s="20" t="s">
        <v>271</v>
      </c>
      <c r="D530" s="20" t="s">
        <v>125</v>
      </c>
      <c r="E530" s="20" t="s">
        <v>426</v>
      </c>
      <c r="F530" s="20" t="s">
        <v>282</v>
      </c>
      <c r="G530" s="26"/>
      <c r="H530" s="175"/>
    </row>
    <row r="531" spans="1:9" ht="63" x14ac:dyDescent="0.25">
      <c r="A531" s="31" t="s">
        <v>296</v>
      </c>
      <c r="B531" s="16">
        <v>906</v>
      </c>
      <c r="C531" s="20" t="s">
        <v>271</v>
      </c>
      <c r="D531" s="20" t="s">
        <v>125</v>
      </c>
      <c r="E531" s="20" t="s">
        <v>297</v>
      </c>
      <c r="F531" s="20"/>
      <c r="G531" s="26">
        <f>G532</f>
        <v>310.2</v>
      </c>
      <c r="H531" s="175"/>
    </row>
    <row r="532" spans="1:9" ht="47.25" x14ac:dyDescent="0.25">
      <c r="A532" s="25" t="s">
        <v>279</v>
      </c>
      <c r="B532" s="16">
        <v>906</v>
      </c>
      <c r="C532" s="20" t="s">
        <v>271</v>
      </c>
      <c r="D532" s="20" t="s">
        <v>125</v>
      </c>
      <c r="E532" s="20" t="s">
        <v>297</v>
      </c>
      <c r="F532" s="20" t="s">
        <v>280</v>
      </c>
      <c r="G532" s="26">
        <f>G533</f>
        <v>310.2</v>
      </c>
      <c r="H532" s="175"/>
    </row>
    <row r="533" spans="1:9" ht="15.75" x14ac:dyDescent="0.25">
      <c r="A533" s="25" t="s">
        <v>281</v>
      </c>
      <c r="B533" s="16">
        <v>906</v>
      </c>
      <c r="C533" s="20" t="s">
        <v>271</v>
      </c>
      <c r="D533" s="20" t="s">
        <v>125</v>
      </c>
      <c r="E533" s="20" t="s">
        <v>297</v>
      </c>
      <c r="F533" s="20" t="s">
        <v>282</v>
      </c>
      <c r="G533" s="26">
        <f>416.2-106</f>
        <v>310.2</v>
      </c>
      <c r="H533" s="175"/>
      <c r="I533" s="114"/>
    </row>
    <row r="534" spans="1:9" ht="78.75" x14ac:dyDescent="0.25">
      <c r="A534" s="31" t="s">
        <v>427</v>
      </c>
      <c r="B534" s="16">
        <v>906</v>
      </c>
      <c r="C534" s="20" t="s">
        <v>271</v>
      </c>
      <c r="D534" s="20" t="s">
        <v>125</v>
      </c>
      <c r="E534" s="20" t="s">
        <v>299</v>
      </c>
      <c r="F534" s="20"/>
      <c r="G534" s="26">
        <f>G535</f>
        <v>1696.8</v>
      </c>
      <c r="H534" s="175"/>
    </row>
    <row r="535" spans="1:9" ht="47.25" x14ac:dyDescent="0.25">
      <c r="A535" s="25" t="s">
        <v>279</v>
      </c>
      <c r="B535" s="16">
        <v>906</v>
      </c>
      <c r="C535" s="20" t="s">
        <v>271</v>
      </c>
      <c r="D535" s="20" t="s">
        <v>125</v>
      </c>
      <c r="E535" s="20" t="s">
        <v>299</v>
      </c>
      <c r="F535" s="20" t="s">
        <v>280</v>
      </c>
      <c r="G535" s="26">
        <f>G536</f>
        <v>1696.8</v>
      </c>
      <c r="H535" s="175"/>
    </row>
    <row r="536" spans="1:9" ht="15.75" x14ac:dyDescent="0.25">
      <c r="A536" s="25" t="s">
        <v>281</v>
      </c>
      <c r="B536" s="16">
        <v>906</v>
      </c>
      <c r="C536" s="20" t="s">
        <v>271</v>
      </c>
      <c r="D536" s="20" t="s">
        <v>125</v>
      </c>
      <c r="E536" s="20" t="s">
        <v>299</v>
      </c>
      <c r="F536" s="20" t="s">
        <v>282</v>
      </c>
      <c r="G536" s="26">
        <f>1900-203.2</f>
        <v>1696.8</v>
      </c>
      <c r="H536" s="175"/>
      <c r="I536" s="114"/>
    </row>
    <row r="537" spans="1:9" ht="94.5" x14ac:dyDescent="0.25">
      <c r="A537" s="31" t="s">
        <v>428</v>
      </c>
      <c r="B537" s="16">
        <v>906</v>
      </c>
      <c r="C537" s="20" t="s">
        <v>271</v>
      </c>
      <c r="D537" s="20" t="s">
        <v>125</v>
      </c>
      <c r="E537" s="20" t="s">
        <v>429</v>
      </c>
      <c r="F537" s="20"/>
      <c r="G537" s="26">
        <f>G538</f>
        <v>56320</v>
      </c>
      <c r="H537" s="175"/>
    </row>
    <row r="538" spans="1:9" ht="47.25" x14ac:dyDescent="0.25">
      <c r="A538" s="25" t="s">
        <v>279</v>
      </c>
      <c r="B538" s="16">
        <v>906</v>
      </c>
      <c r="C538" s="20" t="s">
        <v>271</v>
      </c>
      <c r="D538" s="20" t="s">
        <v>125</v>
      </c>
      <c r="E538" s="20" t="s">
        <v>429</v>
      </c>
      <c r="F538" s="20" t="s">
        <v>280</v>
      </c>
      <c r="G538" s="26">
        <f>G539</f>
        <v>56320</v>
      </c>
      <c r="H538" s="175"/>
    </row>
    <row r="539" spans="1:9" ht="15.75" x14ac:dyDescent="0.25">
      <c r="A539" s="25" t="s">
        <v>281</v>
      </c>
      <c r="B539" s="16">
        <v>906</v>
      </c>
      <c r="C539" s="20" t="s">
        <v>271</v>
      </c>
      <c r="D539" s="20" t="s">
        <v>125</v>
      </c>
      <c r="E539" s="20" t="s">
        <v>429</v>
      </c>
      <c r="F539" s="20" t="s">
        <v>282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300</v>
      </c>
      <c r="B540" s="16">
        <v>906</v>
      </c>
      <c r="C540" s="20" t="s">
        <v>271</v>
      </c>
      <c r="D540" s="20" t="s">
        <v>125</v>
      </c>
      <c r="E540" s="20" t="s">
        <v>301</v>
      </c>
      <c r="F540" s="20"/>
      <c r="G540" s="26">
        <f>G541</f>
        <v>2879</v>
      </c>
      <c r="H540" s="175"/>
    </row>
    <row r="541" spans="1:9" ht="47.25" x14ac:dyDescent="0.25">
      <c r="A541" s="25" t="s">
        <v>279</v>
      </c>
      <c r="B541" s="16">
        <v>906</v>
      </c>
      <c r="C541" s="20" t="s">
        <v>271</v>
      </c>
      <c r="D541" s="20" t="s">
        <v>125</v>
      </c>
      <c r="E541" s="20" t="s">
        <v>301</v>
      </c>
      <c r="F541" s="20" t="s">
        <v>280</v>
      </c>
      <c r="G541" s="26">
        <f>G542</f>
        <v>2879</v>
      </c>
      <c r="H541" s="175"/>
    </row>
    <row r="542" spans="1:9" ht="15.75" x14ac:dyDescent="0.25">
      <c r="A542" s="25" t="s">
        <v>281</v>
      </c>
      <c r="B542" s="16">
        <v>906</v>
      </c>
      <c r="C542" s="20" t="s">
        <v>271</v>
      </c>
      <c r="D542" s="20" t="s">
        <v>125</v>
      </c>
      <c r="E542" s="20" t="s">
        <v>301</v>
      </c>
      <c r="F542" s="20" t="s">
        <v>282</v>
      </c>
      <c r="G542" s="27">
        <f>2937.2-58.2</f>
        <v>2879</v>
      </c>
      <c r="H542" s="175"/>
      <c r="I542" s="114"/>
    </row>
    <row r="543" spans="1:9" ht="157.5" hidden="1" x14ac:dyDescent="0.25">
      <c r="A543" s="25" t="s">
        <v>430</v>
      </c>
      <c r="B543" s="16">
        <v>906</v>
      </c>
      <c r="C543" s="20" t="s">
        <v>271</v>
      </c>
      <c r="D543" s="20" t="s">
        <v>125</v>
      </c>
      <c r="E543" s="20" t="s">
        <v>431</v>
      </c>
      <c r="F543" s="20"/>
      <c r="G543" s="27">
        <f>G544</f>
        <v>0</v>
      </c>
      <c r="H543" s="175"/>
    </row>
    <row r="544" spans="1:9" ht="47.25" hidden="1" x14ac:dyDescent="0.25">
      <c r="A544" s="25" t="s">
        <v>279</v>
      </c>
      <c r="B544" s="16">
        <v>906</v>
      </c>
      <c r="C544" s="20" t="s">
        <v>271</v>
      </c>
      <c r="D544" s="20" t="s">
        <v>125</v>
      </c>
      <c r="E544" s="20" t="s">
        <v>431</v>
      </c>
      <c r="F544" s="20" t="s">
        <v>280</v>
      </c>
      <c r="G544" s="27">
        <f>G545</f>
        <v>0</v>
      </c>
      <c r="H544" s="175"/>
    </row>
    <row r="545" spans="1:9" ht="15.75" hidden="1" x14ac:dyDescent="0.25">
      <c r="A545" s="25" t="s">
        <v>281</v>
      </c>
      <c r="B545" s="16">
        <v>906</v>
      </c>
      <c r="C545" s="20" t="s">
        <v>271</v>
      </c>
      <c r="D545" s="20" t="s">
        <v>125</v>
      </c>
      <c r="E545" s="20" t="s">
        <v>431</v>
      </c>
      <c r="F545" s="20" t="s">
        <v>282</v>
      </c>
      <c r="G545" s="27">
        <f>276.5-276.5</f>
        <v>0</v>
      </c>
      <c r="H545" s="175"/>
      <c r="I545" s="114"/>
    </row>
    <row r="546" spans="1:9" ht="15.75" x14ac:dyDescent="0.25">
      <c r="A546" s="23" t="s">
        <v>432</v>
      </c>
      <c r="B546" s="19">
        <v>906</v>
      </c>
      <c r="C546" s="24" t="s">
        <v>271</v>
      </c>
      <c r="D546" s="24" t="s">
        <v>220</v>
      </c>
      <c r="E546" s="24"/>
      <c r="F546" s="24"/>
      <c r="G546" s="21">
        <f>G547+G580</f>
        <v>130684.4</v>
      </c>
      <c r="H546" s="175"/>
    </row>
    <row r="547" spans="1:9" ht="47.25" x14ac:dyDescent="0.25">
      <c r="A547" s="25" t="s">
        <v>433</v>
      </c>
      <c r="B547" s="16">
        <v>906</v>
      </c>
      <c r="C547" s="20" t="s">
        <v>271</v>
      </c>
      <c r="D547" s="20" t="s">
        <v>220</v>
      </c>
      <c r="E547" s="20" t="s">
        <v>413</v>
      </c>
      <c r="F547" s="20"/>
      <c r="G547" s="26">
        <f>G548+G552</f>
        <v>40826.6</v>
      </c>
      <c r="H547" s="175"/>
    </row>
    <row r="548" spans="1:9" ht="47.25" x14ac:dyDescent="0.25">
      <c r="A548" s="25" t="s">
        <v>414</v>
      </c>
      <c r="B548" s="16">
        <v>906</v>
      </c>
      <c r="C548" s="20" t="s">
        <v>271</v>
      </c>
      <c r="D548" s="20" t="s">
        <v>220</v>
      </c>
      <c r="E548" s="20" t="s">
        <v>415</v>
      </c>
      <c r="F548" s="20"/>
      <c r="G548" s="26">
        <f>G549</f>
        <v>34151.199999999997</v>
      </c>
      <c r="H548" s="175"/>
    </row>
    <row r="549" spans="1:9" ht="47.25" x14ac:dyDescent="0.25">
      <c r="A549" s="25" t="s">
        <v>434</v>
      </c>
      <c r="B549" s="16">
        <v>906</v>
      </c>
      <c r="C549" s="20" t="s">
        <v>271</v>
      </c>
      <c r="D549" s="20" t="s">
        <v>220</v>
      </c>
      <c r="E549" s="20" t="s">
        <v>435</v>
      </c>
      <c r="F549" s="20"/>
      <c r="G549" s="26">
        <f>G550</f>
        <v>34151.199999999997</v>
      </c>
      <c r="H549" s="175"/>
    </row>
    <row r="550" spans="1:9" ht="47.25" x14ac:dyDescent="0.25">
      <c r="A550" s="25" t="s">
        <v>279</v>
      </c>
      <c r="B550" s="16">
        <v>906</v>
      </c>
      <c r="C550" s="20" t="s">
        <v>271</v>
      </c>
      <c r="D550" s="20" t="s">
        <v>220</v>
      </c>
      <c r="E550" s="20" t="s">
        <v>435</v>
      </c>
      <c r="F550" s="20" t="s">
        <v>280</v>
      </c>
      <c r="G550" s="26">
        <f>G551</f>
        <v>34151.199999999997</v>
      </c>
      <c r="H550" s="175"/>
    </row>
    <row r="551" spans="1:9" ht="15.75" x14ac:dyDescent="0.25">
      <c r="A551" s="25" t="s">
        <v>281</v>
      </c>
      <c r="B551" s="16">
        <v>906</v>
      </c>
      <c r="C551" s="20" t="s">
        <v>271</v>
      </c>
      <c r="D551" s="20" t="s">
        <v>220</v>
      </c>
      <c r="E551" s="20" t="s">
        <v>435</v>
      </c>
      <c r="F551" s="20" t="s">
        <v>282</v>
      </c>
      <c r="G551" s="27">
        <f>21817.5+13206.2-481.7+562.6-953.4</f>
        <v>34151.199999999997</v>
      </c>
      <c r="H551" s="177"/>
      <c r="I551" s="124"/>
    </row>
    <row r="552" spans="1:9" ht="31.5" x14ac:dyDescent="0.25">
      <c r="A552" s="25" t="s">
        <v>437</v>
      </c>
      <c r="B552" s="16">
        <v>906</v>
      </c>
      <c r="C552" s="20" t="s">
        <v>271</v>
      </c>
      <c r="D552" s="20" t="s">
        <v>220</v>
      </c>
      <c r="E552" s="20" t="s">
        <v>438</v>
      </c>
      <c r="F552" s="20"/>
      <c r="G552" s="26">
        <f>G558+G574+G571+G577+G568+G553+G559+G562+G565</f>
        <v>6675.4</v>
      </c>
      <c r="H552" s="175"/>
    </row>
    <row r="553" spans="1:9" ht="63" hidden="1" x14ac:dyDescent="0.25">
      <c r="A553" s="25" t="s">
        <v>439</v>
      </c>
      <c r="B553" s="16">
        <v>906</v>
      </c>
      <c r="C553" s="20" t="s">
        <v>271</v>
      </c>
      <c r="D553" s="20" t="s">
        <v>220</v>
      </c>
      <c r="E553" s="20" t="s">
        <v>440</v>
      </c>
      <c r="F553" s="20"/>
      <c r="G553" s="26">
        <f>G554</f>
        <v>0</v>
      </c>
      <c r="H553" s="175"/>
    </row>
    <row r="554" spans="1:9" ht="47.25" hidden="1" x14ac:dyDescent="0.25">
      <c r="A554" s="25" t="s">
        <v>279</v>
      </c>
      <c r="B554" s="16">
        <v>906</v>
      </c>
      <c r="C554" s="20" t="s">
        <v>271</v>
      </c>
      <c r="D554" s="20" t="s">
        <v>220</v>
      </c>
      <c r="E554" s="20" t="s">
        <v>440</v>
      </c>
      <c r="F554" s="20" t="s">
        <v>280</v>
      </c>
      <c r="G554" s="26">
        <f>G555</f>
        <v>0</v>
      </c>
      <c r="H554" s="175"/>
    </row>
    <row r="555" spans="1:9" ht="15.75" hidden="1" x14ac:dyDescent="0.25">
      <c r="A555" s="25" t="s">
        <v>281</v>
      </c>
      <c r="B555" s="16">
        <v>906</v>
      </c>
      <c r="C555" s="20" t="s">
        <v>271</v>
      </c>
      <c r="D555" s="20" t="s">
        <v>220</v>
      </c>
      <c r="E555" s="20" t="s">
        <v>440</v>
      </c>
      <c r="F555" s="20" t="s">
        <v>282</v>
      </c>
      <c r="G555" s="26">
        <v>0</v>
      </c>
      <c r="H555" s="175"/>
    </row>
    <row r="556" spans="1:9" ht="48.75" hidden="1" customHeight="1" x14ac:dyDescent="0.25">
      <c r="A556" s="25" t="s">
        <v>441</v>
      </c>
      <c r="B556" s="16">
        <v>906</v>
      </c>
      <c r="C556" s="20" t="s">
        <v>271</v>
      </c>
      <c r="D556" s="20" t="s">
        <v>220</v>
      </c>
      <c r="E556" s="20" t="s">
        <v>442</v>
      </c>
      <c r="F556" s="20"/>
      <c r="G556" s="26">
        <f>G557</f>
        <v>0</v>
      </c>
      <c r="H556" s="175"/>
    </row>
    <row r="557" spans="1:9" ht="47.25" hidden="1" x14ac:dyDescent="0.25">
      <c r="A557" s="25" t="s">
        <v>279</v>
      </c>
      <c r="B557" s="16">
        <v>906</v>
      </c>
      <c r="C557" s="20" t="s">
        <v>271</v>
      </c>
      <c r="D557" s="20" t="s">
        <v>220</v>
      </c>
      <c r="E557" s="20" t="s">
        <v>442</v>
      </c>
      <c r="F557" s="20" t="s">
        <v>280</v>
      </c>
      <c r="G557" s="26">
        <f>G558</f>
        <v>0</v>
      </c>
      <c r="H557" s="175"/>
    </row>
    <row r="558" spans="1:9" ht="15.75" hidden="1" x14ac:dyDescent="0.25">
      <c r="A558" s="25" t="s">
        <v>281</v>
      </c>
      <c r="B558" s="16">
        <v>906</v>
      </c>
      <c r="C558" s="20" t="s">
        <v>271</v>
      </c>
      <c r="D558" s="20" t="s">
        <v>220</v>
      </c>
      <c r="E558" s="20" t="s">
        <v>442</v>
      </c>
      <c r="F558" s="20" t="s">
        <v>282</v>
      </c>
      <c r="G558" s="26">
        <v>0</v>
      </c>
      <c r="H558" s="175"/>
    </row>
    <row r="559" spans="1:9" ht="63" x14ac:dyDescent="0.25">
      <c r="A559" s="25" t="s">
        <v>443</v>
      </c>
      <c r="B559" s="16">
        <v>906</v>
      </c>
      <c r="C559" s="20" t="s">
        <v>271</v>
      </c>
      <c r="D559" s="20" t="s">
        <v>220</v>
      </c>
      <c r="E559" s="20" t="s">
        <v>444</v>
      </c>
      <c r="F559" s="20"/>
      <c r="G559" s="26">
        <f>G560</f>
        <v>2690</v>
      </c>
      <c r="H559" s="175"/>
    </row>
    <row r="560" spans="1:9" ht="47.25" x14ac:dyDescent="0.25">
      <c r="A560" s="25" t="s">
        <v>279</v>
      </c>
      <c r="B560" s="16">
        <v>906</v>
      </c>
      <c r="C560" s="20" t="s">
        <v>271</v>
      </c>
      <c r="D560" s="20" t="s">
        <v>220</v>
      </c>
      <c r="E560" s="20" t="s">
        <v>444</v>
      </c>
      <c r="F560" s="20" t="s">
        <v>280</v>
      </c>
      <c r="G560" s="26">
        <f>G561</f>
        <v>2690</v>
      </c>
      <c r="H560" s="175"/>
    </row>
    <row r="561" spans="1:8" ht="15.75" x14ac:dyDescent="0.25">
      <c r="A561" s="25" t="s">
        <v>281</v>
      </c>
      <c r="B561" s="16">
        <v>906</v>
      </c>
      <c r="C561" s="20" t="s">
        <v>271</v>
      </c>
      <c r="D561" s="20" t="s">
        <v>220</v>
      </c>
      <c r="E561" s="20" t="s">
        <v>444</v>
      </c>
      <c r="F561" s="20" t="s">
        <v>282</v>
      </c>
      <c r="G561" s="27">
        <f>3010-320</f>
        <v>2690</v>
      </c>
      <c r="H561" s="175"/>
    </row>
    <row r="562" spans="1:8" ht="63" x14ac:dyDescent="0.25">
      <c r="A562" s="25" t="s">
        <v>445</v>
      </c>
      <c r="B562" s="16">
        <v>906</v>
      </c>
      <c r="C562" s="20" t="s">
        <v>271</v>
      </c>
      <c r="D562" s="20" t="s">
        <v>220</v>
      </c>
      <c r="E562" s="20" t="s">
        <v>446</v>
      </c>
      <c r="F562" s="20"/>
      <c r="G562" s="26">
        <f>G563</f>
        <v>320</v>
      </c>
      <c r="H562" s="175"/>
    </row>
    <row r="563" spans="1:8" ht="47.25" x14ac:dyDescent="0.25">
      <c r="A563" s="25" t="s">
        <v>279</v>
      </c>
      <c r="B563" s="16">
        <v>906</v>
      </c>
      <c r="C563" s="20" t="s">
        <v>271</v>
      </c>
      <c r="D563" s="20" t="s">
        <v>220</v>
      </c>
      <c r="E563" s="20" t="s">
        <v>446</v>
      </c>
      <c r="F563" s="20" t="s">
        <v>280</v>
      </c>
      <c r="G563" s="26">
        <f>G564</f>
        <v>320</v>
      </c>
      <c r="H563" s="175"/>
    </row>
    <row r="564" spans="1:8" ht="15.75" x14ac:dyDescent="0.25">
      <c r="A564" s="25" t="s">
        <v>281</v>
      </c>
      <c r="B564" s="16">
        <v>906</v>
      </c>
      <c r="C564" s="20" t="s">
        <v>271</v>
      </c>
      <c r="D564" s="20" t="s">
        <v>220</v>
      </c>
      <c r="E564" s="20" t="s">
        <v>446</v>
      </c>
      <c r="F564" s="20" t="s">
        <v>282</v>
      </c>
      <c r="G564" s="26">
        <v>320</v>
      </c>
      <c r="H564" s="175"/>
    </row>
    <row r="565" spans="1:8" ht="47.25" hidden="1" x14ac:dyDescent="0.25">
      <c r="A565" s="25" t="s">
        <v>447</v>
      </c>
      <c r="B565" s="16">
        <v>906</v>
      </c>
      <c r="C565" s="20" t="s">
        <v>271</v>
      </c>
      <c r="D565" s="20" t="s">
        <v>220</v>
      </c>
      <c r="E565" s="20" t="s">
        <v>448</v>
      </c>
      <c r="F565" s="20"/>
      <c r="G565" s="26">
        <f>G566</f>
        <v>0</v>
      </c>
      <c r="H565" s="175"/>
    </row>
    <row r="566" spans="1:8" ht="47.25" hidden="1" x14ac:dyDescent="0.25">
      <c r="A566" s="25" t="s">
        <v>279</v>
      </c>
      <c r="B566" s="16">
        <v>906</v>
      </c>
      <c r="C566" s="20" t="s">
        <v>271</v>
      </c>
      <c r="D566" s="20" t="s">
        <v>220</v>
      </c>
      <c r="E566" s="20" t="s">
        <v>448</v>
      </c>
      <c r="F566" s="20" t="s">
        <v>280</v>
      </c>
      <c r="G566" s="26">
        <f>G567</f>
        <v>0</v>
      </c>
      <c r="H566" s="175"/>
    </row>
    <row r="567" spans="1:8" ht="15.75" hidden="1" x14ac:dyDescent="0.25">
      <c r="A567" s="25" t="s">
        <v>281</v>
      </c>
      <c r="B567" s="16">
        <v>906</v>
      </c>
      <c r="C567" s="20" t="s">
        <v>271</v>
      </c>
      <c r="D567" s="20" t="s">
        <v>220</v>
      </c>
      <c r="E567" s="20" t="s">
        <v>448</v>
      </c>
      <c r="F567" s="20" t="s">
        <v>282</v>
      </c>
      <c r="G567" s="26">
        <v>0</v>
      </c>
      <c r="H567" s="175"/>
    </row>
    <row r="568" spans="1:8" ht="47.25" x14ac:dyDescent="0.25">
      <c r="A568" s="25" t="s">
        <v>285</v>
      </c>
      <c r="B568" s="16">
        <v>906</v>
      </c>
      <c r="C568" s="20" t="s">
        <v>271</v>
      </c>
      <c r="D568" s="20" t="s">
        <v>220</v>
      </c>
      <c r="E568" s="20" t="s">
        <v>449</v>
      </c>
      <c r="F568" s="20"/>
      <c r="G568" s="26">
        <f>G569</f>
        <v>3309</v>
      </c>
      <c r="H568" s="175"/>
    </row>
    <row r="569" spans="1:8" ht="47.25" x14ac:dyDescent="0.25">
      <c r="A569" s="25" t="s">
        <v>279</v>
      </c>
      <c r="B569" s="16">
        <v>906</v>
      </c>
      <c r="C569" s="20" t="s">
        <v>271</v>
      </c>
      <c r="D569" s="20" t="s">
        <v>220</v>
      </c>
      <c r="E569" s="20" t="s">
        <v>449</v>
      </c>
      <c r="F569" s="20" t="s">
        <v>280</v>
      </c>
      <c r="G569" s="26">
        <f>G570</f>
        <v>3309</v>
      </c>
      <c r="H569" s="175"/>
    </row>
    <row r="570" spans="1:8" ht="15.75" x14ac:dyDescent="0.25">
      <c r="A570" s="25" t="s">
        <v>281</v>
      </c>
      <c r="B570" s="16">
        <v>906</v>
      </c>
      <c r="C570" s="20" t="s">
        <v>271</v>
      </c>
      <c r="D570" s="20" t="s">
        <v>220</v>
      </c>
      <c r="E570" s="20" t="s">
        <v>449</v>
      </c>
      <c r="F570" s="20" t="s">
        <v>282</v>
      </c>
      <c r="G570" s="26">
        <f>341+2968</f>
        <v>3309</v>
      </c>
      <c r="H570" s="119"/>
    </row>
    <row r="571" spans="1:8" ht="31.5" hidden="1" x14ac:dyDescent="0.25">
      <c r="A571" s="25" t="s">
        <v>287</v>
      </c>
      <c r="B571" s="16">
        <v>906</v>
      </c>
      <c r="C571" s="20" t="s">
        <v>271</v>
      </c>
      <c r="D571" s="20" t="s">
        <v>220</v>
      </c>
      <c r="E571" s="20" t="s">
        <v>450</v>
      </c>
      <c r="F571" s="20"/>
      <c r="G571" s="26">
        <f>G572</f>
        <v>0</v>
      </c>
      <c r="H571" s="175"/>
    </row>
    <row r="572" spans="1:8" ht="47.25" hidden="1" x14ac:dyDescent="0.25">
      <c r="A572" s="25" t="s">
        <v>279</v>
      </c>
      <c r="B572" s="16">
        <v>906</v>
      </c>
      <c r="C572" s="20" t="s">
        <v>271</v>
      </c>
      <c r="D572" s="20" t="s">
        <v>220</v>
      </c>
      <c r="E572" s="20" t="s">
        <v>450</v>
      </c>
      <c r="F572" s="20" t="s">
        <v>280</v>
      </c>
      <c r="G572" s="26">
        <f>G573</f>
        <v>0</v>
      </c>
      <c r="H572" s="175"/>
    </row>
    <row r="573" spans="1:8" ht="15.75" hidden="1" x14ac:dyDescent="0.25">
      <c r="A573" s="25" t="s">
        <v>281</v>
      </c>
      <c r="B573" s="16">
        <v>906</v>
      </c>
      <c r="C573" s="20" t="s">
        <v>271</v>
      </c>
      <c r="D573" s="20" t="s">
        <v>220</v>
      </c>
      <c r="E573" s="20" t="s">
        <v>450</v>
      </c>
      <c r="F573" s="20" t="s">
        <v>282</v>
      </c>
      <c r="G573" s="26">
        <v>0</v>
      </c>
      <c r="H573" s="175"/>
    </row>
    <row r="574" spans="1:8" ht="47.25" x14ac:dyDescent="0.25">
      <c r="A574" s="25" t="s">
        <v>289</v>
      </c>
      <c r="B574" s="16">
        <v>906</v>
      </c>
      <c r="C574" s="20" t="s">
        <v>271</v>
      </c>
      <c r="D574" s="20" t="s">
        <v>220</v>
      </c>
      <c r="E574" s="20" t="s">
        <v>451</v>
      </c>
      <c r="F574" s="20"/>
      <c r="G574" s="26">
        <f>G575</f>
        <v>127</v>
      </c>
      <c r="H574" s="175"/>
    </row>
    <row r="575" spans="1:8" ht="47.25" x14ac:dyDescent="0.25">
      <c r="A575" s="25" t="s">
        <v>279</v>
      </c>
      <c r="B575" s="16">
        <v>906</v>
      </c>
      <c r="C575" s="20" t="s">
        <v>271</v>
      </c>
      <c r="D575" s="20" t="s">
        <v>220</v>
      </c>
      <c r="E575" s="20" t="s">
        <v>451</v>
      </c>
      <c r="F575" s="20" t="s">
        <v>280</v>
      </c>
      <c r="G575" s="26">
        <f>G576</f>
        <v>127</v>
      </c>
      <c r="H575" s="175"/>
    </row>
    <row r="576" spans="1:8" ht="15.75" x14ac:dyDescent="0.25">
      <c r="A576" s="25" t="s">
        <v>281</v>
      </c>
      <c r="B576" s="16">
        <v>906</v>
      </c>
      <c r="C576" s="20" t="s">
        <v>271</v>
      </c>
      <c r="D576" s="20" t="s">
        <v>220</v>
      </c>
      <c r="E576" s="20" t="s">
        <v>451</v>
      </c>
      <c r="F576" s="20" t="s">
        <v>282</v>
      </c>
      <c r="G576" s="26">
        <v>127</v>
      </c>
      <c r="H576" s="175"/>
    </row>
    <row r="577" spans="1:12" ht="31.5" x14ac:dyDescent="0.25">
      <c r="A577" s="25" t="s">
        <v>291</v>
      </c>
      <c r="B577" s="16">
        <v>906</v>
      </c>
      <c r="C577" s="20" t="s">
        <v>271</v>
      </c>
      <c r="D577" s="20" t="s">
        <v>220</v>
      </c>
      <c r="E577" s="20" t="s">
        <v>452</v>
      </c>
      <c r="F577" s="20"/>
      <c r="G577" s="26">
        <f>G578</f>
        <v>229.4</v>
      </c>
      <c r="H577" s="175"/>
    </row>
    <row r="578" spans="1:12" ht="47.25" x14ac:dyDescent="0.25">
      <c r="A578" s="25" t="s">
        <v>279</v>
      </c>
      <c r="B578" s="16">
        <v>906</v>
      </c>
      <c r="C578" s="20" t="s">
        <v>271</v>
      </c>
      <c r="D578" s="20" t="s">
        <v>220</v>
      </c>
      <c r="E578" s="20" t="s">
        <v>452</v>
      </c>
      <c r="F578" s="20" t="s">
        <v>280</v>
      </c>
      <c r="G578" s="26">
        <f>G579</f>
        <v>229.4</v>
      </c>
      <c r="H578" s="175"/>
    </row>
    <row r="579" spans="1:12" ht="15.75" x14ac:dyDescent="0.25">
      <c r="A579" s="25" t="s">
        <v>281</v>
      </c>
      <c r="B579" s="16">
        <v>906</v>
      </c>
      <c r="C579" s="20" t="s">
        <v>271</v>
      </c>
      <c r="D579" s="20" t="s">
        <v>220</v>
      </c>
      <c r="E579" s="20" t="s">
        <v>452</v>
      </c>
      <c r="F579" s="20" t="s">
        <v>282</v>
      </c>
      <c r="G579" s="26">
        <v>229.4</v>
      </c>
      <c r="H579" s="105"/>
      <c r="I579" s="123"/>
    </row>
    <row r="580" spans="1:12" ht="15.75" x14ac:dyDescent="0.25">
      <c r="A580" s="25" t="s">
        <v>128</v>
      </c>
      <c r="B580" s="16">
        <v>906</v>
      </c>
      <c r="C580" s="20" t="s">
        <v>271</v>
      </c>
      <c r="D580" s="20" t="s">
        <v>220</v>
      </c>
      <c r="E580" s="20" t="s">
        <v>129</v>
      </c>
      <c r="F580" s="20"/>
      <c r="G580" s="26">
        <f>G581</f>
        <v>89857.8</v>
      </c>
      <c r="H580" s="175"/>
    </row>
    <row r="581" spans="1:12" ht="31.5" x14ac:dyDescent="0.25">
      <c r="A581" s="25" t="s">
        <v>192</v>
      </c>
      <c r="B581" s="16">
        <v>906</v>
      </c>
      <c r="C581" s="20" t="s">
        <v>271</v>
      </c>
      <c r="D581" s="20" t="s">
        <v>220</v>
      </c>
      <c r="E581" s="20" t="s">
        <v>193</v>
      </c>
      <c r="F581" s="20"/>
      <c r="G581" s="26">
        <f>G588+G591+G597+G600+G603+G606+G582+G585+G609+G594</f>
        <v>89857.8</v>
      </c>
      <c r="H581" s="175"/>
    </row>
    <row r="582" spans="1:12" ht="47.25" hidden="1" x14ac:dyDescent="0.25">
      <c r="A582" s="25" t="s">
        <v>457</v>
      </c>
      <c r="B582" s="16">
        <v>906</v>
      </c>
      <c r="C582" s="20" t="s">
        <v>271</v>
      </c>
      <c r="D582" s="20" t="s">
        <v>220</v>
      </c>
      <c r="E582" s="20" t="s">
        <v>458</v>
      </c>
      <c r="F582" s="20"/>
      <c r="G582" s="26">
        <f>G583</f>
        <v>0</v>
      </c>
      <c r="H582" s="175"/>
    </row>
    <row r="583" spans="1:12" ht="47.25" hidden="1" x14ac:dyDescent="0.25">
      <c r="A583" s="25" t="s">
        <v>279</v>
      </c>
      <c r="B583" s="16">
        <v>906</v>
      </c>
      <c r="C583" s="20" t="s">
        <v>271</v>
      </c>
      <c r="D583" s="20" t="s">
        <v>220</v>
      </c>
      <c r="E583" s="20" t="s">
        <v>458</v>
      </c>
      <c r="F583" s="20" t="s">
        <v>280</v>
      </c>
      <c r="G583" s="26">
        <f>G584</f>
        <v>0</v>
      </c>
      <c r="H583" s="175"/>
    </row>
    <row r="584" spans="1:12" ht="15.75" hidden="1" x14ac:dyDescent="0.25">
      <c r="A584" s="25" t="s">
        <v>281</v>
      </c>
      <c r="B584" s="16">
        <v>906</v>
      </c>
      <c r="C584" s="20" t="s">
        <v>271</v>
      </c>
      <c r="D584" s="20" t="s">
        <v>220</v>
      </c>
      <c r="E584" s="20" t="s">
        <v>458</v>
      </c>
      <c r="F584" s="20" t="s">
        <v>282</v>
      </c>
      <c r="G584" s="26">
        <v>0</v>
      </c>
      <c r="H584" s="175"/>
    </row>
    <row r="585" spans="1:12" ht="15.75" hidden="1" x14ac:dyDescent="0.25">
      <c r="A585" s="25" t="s">
        <v>459</v>
      </c>
      <c r="B585" s="16">
        <v>906</v>
      </c>
      <c r="C585" s="20" t="s">
        <v>271</v>
      </c>
      <c r="D585" s="20" t="s">
        <v>220</v>
      </c>
      <c r="E585" s="20" t="s">
        <v>460</v>
      </c>
      <c r="F585" s="20"/>
      <c r="G585" s="26">
        <f>G586</f>
        <v>0</v>
      </c>
      <c r="H585" s="175"/>
    </row>
    <row r="586" spans="1:12" ht="47.25" hidden="1" x14ac:dyDescent="0.25">
      <c r="A586" s="25" t="s">
        <v>279</v>
      </c>
      <c r="B586" s="16">
        <v>906</v>
      </c>
      <c r="C586" s="20" t="s">
        <v>271</v>
      </c>
      <c r="D586" s="20" t="s">
        <v>220</v>
      </c>
      <c r="E586" s="20" t="s">
        <v>460</v>
      </c>
      <c r="F586" s="20" t="s">
        <v>280</v>
      </c>
      <c r="G586" s="26">
        <f>G587</f>
        <v>0</v>
      </c>
      <c r="H586" s="175"/>
    </row>
    <row r="587" spans="1:12" ht="15.75" hidden="1" x14ac:dyDescent="0.25">
      <c r="A587" s="25" t="s">
        <v>281</v>
      </c>
      <c r="B587" s="16">
        <v>906</v>
      </c>
      <c r="C587" s="20" t="s">
        <v>271</v>
      </c>
      <c r="D587" s="20" t="s">
        <v>220</v>
      </c>
      <c r="E587" s="20" t="s">
        <v>460</v>
      </c>
      <c r="F587" s="20" t="s">
        <v>282</v>
      </c>
      <c r="G587" s="27">
        <v>0</v>
      </c>
      <c r="H587" s="175"/>
    </row>
    <row r="588" spans="1:12" ht="31.5" hidden="1" x14ac:dyDescent="0.25">
      <c r="A588" s="25" t="s">
        <v>461</v>
      </c>
      <c r="B588" s="16">
        <v>906</v>
      </c>
      <c r="C588" s="20" t="s">
        <v>271</v>
      </c>
      <c r="D588" s="20" t="s">
        <v>220</v>
      </c>
      <c r="E588" s="20" t="s">
        <v>462</v>
      </c>
      <c r="F588" s="20"/>
      <c r="G588" s="26">
        <f>G589</f>
        <v>0</v>
      </c>
      <c r="H588" s="175"/>
    </row>
    <row r="589" spans="1:12" ht="47.25" hidden="1" x14ac:dyDescent="0.25">
      <c r="A589" s="25" t="s">
        <v>279</v>
      </c>
      <c r="B589" s="16">
        <v>906</v>
      </c>
      <c r="C589" s="20" t="s">
        <v>271</v>
      </c>
      <c r="D589" s="20" t="s">
        <v>220</v>
      </c>
      <c r="E589" s="20" t="s">
        <v>462</v>
      </c>
      <c r="F589" s="20" t="s">
        <v>280</v>
      </c>
      <c r="G589" s="26">
        <f>G590</f>
        <v>0</v>
      </c>
      <c r="H589" s="175"/>
    </row>
    <row r="590" spans="1:12" ht="15.75" hidden="1" x14ac:dyDescent="0.25">
      <c r="A590" s="25" t="s">
        <v>281</v>
      </c>
      <c r="B590" s="16">
        <v>906</v>
      </c>
      <c r="C590" s="20" t="s">
        <v>271</v>
      </c>
      <c r="D590" s="20" t="s">
        <v>220</v>
      </c>
      <c r="E590" s="20" t="s">
        <v>462</v>
      </c>
      <c r="F590" s="20" t="s">
        <v>282</v>
      </c>
      <c r="G590" s="26">
        <f>157.3-157.3</f>
        <v>0</v>
      </c>
      <c r="H590" s="175"/>
      <c r="I590" s="114"/>
    </row>
    <row r="591" spans="1:12" ht="31.5" x14ac:dyDescent="0.25">
      <c r="A591" s="25" t="s">
        <v>463</v>
      </c>
      <c r="B591" s="16">
        <v>906</v>
      </c>
      <c r="C591" s="20" t="s">
        <v>271</v>
      </c>
      <c r="D591" s="20" t="s">
        <v>220</v>
      </c>
      <c r="E591" s="20" t="s">
        <v>464</v>
      </c>
      <c r="F591" s="20"/>
      <c r="G591" s="26">
        <f>G592</f>
        <v>1293.5999999999999</v>
      </c>
      <c r="H591" s="175"/>
    </row>
    <row r="592" spans="1:12" ht="47.25" x14ac:dyDescent="0.25">
      <c r="A592" s="25" t="s">
        <v>279</v>
      </c>
      <c r="B592" s="16">
        <v>906</v>
      </c>
      <c r="C592" s="20" t="s">
        <v>271</v>
      </c>
      <c r="D592" s="20" t="s">
        <v>220</v>
      </c>
      <c r="E592" s="20" t="s">
        <v>464</v>
      </c>
      <c r="F592" s="20" t="s">
        <v>280</v>
      </c>
      <c r="G592" s="26">
        <f>G593</f>
        <v>1293.5999999999999</v>
      </c>
      <c r="H592" s="175"/>
      <c r="L592" s="115"/>
    </row>
    <row r="593" spans="1:9" ht="15.75" x14ac:dyDescent="0.25">
      <c r="A593" s="25" t="s">
        <v>281</v>
      </c>
      <c r="B593" s="16">
        <v>906</v>
      </c>
      <c r="C593" s="20" t="s">
        <v>271</v>
      </c>
      <c r="D593" s="20" t="s">
        <v>220</v>
      </c>
      <c r="E593" s="20" t="s">
        <v>464</v>
      </c>
      <c r="F593" s="20" t="s">
        <v>282</v>
      </c>
      <c r="G593" s="27">
        <f>1572.5-278.9</f>
        <v>1293.5999999999999</v>
      </c>
      <c r="H593" s="175"/>
      <c r="I593" s="114"/>
    </row>
    <row r="594" spans="1:9" ht="47.25" x14ac:dyDescent="0.25">
      <c r="A594" s="25" t="s">
        <v>465</v>
      </c>
      <c r="B594" s="16">
        <v>906</v>
      </c>
      <c r="C594" s="20" t="s">
        <v>271</v>
      </c>
      <c r="D594" s="20" t="s">
        <v>220</v>
      </c>
      <c r="E594" s="20" t="s">
        <v>466</v>
      </c>
      <c r="F594" s="20"/>
      <c r="G594" s="27">
        <f>G595</f>
        <v>488.7</v>
      </c>
      <c r="H594" s="175"/>
    </row>
    <row r="595" spans="1:9" ht="47.25" x14ac:dyDescent="0.25">
      <c r="A595" s="25" t="s">
        <v>279</v>
      </c>
      <c r="B595" s="16">
        <v>906</v>
      </c>
      <c r="C595" s="20" t="s">
        <v>271</v>
      </c>
      <c r="D595" s="20" t="s">
        <v>220</v>
      </c>
      <c r="E595" s="20" t="s">
        <v>466</v>
      </c>
      <c r="F595" s="20" t="s">
        <v>280</v>
      </c>
      <c r="G595" s="27">
        <f>G596</f>
        <v>488.7</v>
      </c>
      <c r="H595" s="175"/>
    </row>
    <row r="596" spans="1:9" ht="15.75" x14ac:dyDescent="0.25">
      <c r="A596" s="25" t="s">
        <v>281</v>
      </c>
      <c r="B596" s="16">
        <v>906</v>
      </c>
      <c r="C596" s="20" t="s">
        <v>271</v>
      </c>
      <c r="D596" s="20" t="s">
        <v>220</v>
      </c>
      <c r="E596" s="20" t="s">
        <v>466</v>
      </c>
      <c r="F596" s="20" t="s">
        <v>282</v>
      </c>
      <c r="G596" s="27">
        <f>733.5-244.8</f>
        <v>488.7</v>
      </c>
      <c r="H596" s="175"/>
      <c r="I596" s="114"/>
    </row>
    <row r="597" spans="1:9" ht="94.5" x14ac:dyDescent="0.25">
      <c r="A597" s="31" t="s">
        <v>467</v>
      </c>
      <c r="B597" s="16">
        <v>906</v>
      </c>
      <c r="C597" s="20" t="s">
        <v>271</v>
      </c>
      <c r="D597" s="20" t="s">
        <v>220</v>
      </c>
      <c r="E597" s="20" t="s">
        <v>468</v>
      </c>
      <c r="F597" s="20"/>
      <c r="G597" s="26">
        <f>G598</f>
        <v>79753.600000000006</v>
      </c>
      <c r="H597" s="175"/>
    </row>
    <row r="598" spans="1:9" ht="47.25" x14ac:dyDescent="0.25">
      <c r="A598" s="25" t="s">
        <v>279</v>
      </c>
      <c r="B598" s="16">
        <v>906</v>
      </c>
      <c r="C598" s="20" t="s">
        <v>271</v>
      </c>
      <c r="D598" s="20" t="s">
        <v>220</v>
      </c>
      <c r="E598" s="20" t="s">
        <v>468</v>
      </c>
      <c r="F598" s="20" t="s">
        <v>280</v>
      </c>
      <c r="G598" s="26">
        <f>G599</f>
        <v>79753.600000000006</v>
      </c>
      <c r="H598" s="175"/>
    </row>
    <row r="599" spans="1:9" ht="15.75" x14ac:dyDescent="0.25">
      <c r="A599" s="25" t="s">
        <v>281</v>
      </c>
      <c r="B599" s="16">
        <v>906</v>
      </c>
      <c r="C599" s="20" t="s">
        <v>271</v>
      </c>
      <c r="D599" s="20" t="s">
        <v>220</v>
      </c>
      <c r="E599" s="20" t="s">
        <v>468</v>
      </c>
      <c r="F599" s="20" t="s">
        <v>282</v>
      </c>
      <c r="G599" s="27">
        <f>93568.6-13815</f>
        <v>79753.600000000006</v>
      </c>
      <c r="H599" s="175"/>
      <c r="I599" s="114"/>
    </row>
    <row r="600" spans="1:9" ht="63" x14ac:dyDescent="0.25">
      <c r="A600" s="31" t="s">
        <v>296</v>
      </c>
      <c r="B600" s="16">
        <v>906</v>
      </c>
      <c r="C600" s="20" t="s">
        <v>271</v>
      </c>
      <c r="D600" s="20" t="s">
        <v>220</v>
      </c>
      <c r="E600" s="20" t="s">
        <v>297</v>
      </c>
      <c r="F600" s="20"/>
      <c r="G600" s="26">
        <f>G601</f>
        <v>910.90000000000009</v>
      </c>
      <c r="H600" s="175"/>
    </row>
    <row r="601" spans="1:9" ht="47.25" x14ac:dyDescent="0.25">
      <c r="A601" s="25" t="s">
        <v>279</v>
      </c>
      <c r="B601" s="16">
        <v>906</v>
      </c>
      <c r="C601" s="20" t="s">
        <v>271</v>
      </c>
      <c r="D601" s="20" t="s">
        <v>220</v>
      </c>
      <c r="E601" s="20" t="s">
        <v>297</v>
      </c>
      <c r="F601" s="20" t="s">
        <v>280</v>
      </c>
      <c r="G601" s="26">
        <f>G602</f>
        <v>910.90000000000009</v>
      </c>
      <c r="H601" s="175"/>
    </row>
    <row r="602" spans="1:9" ht="15.75" x14ac:dyDescent="0.25">
      <c r="A602" s="25" t="s">
        <v>281</v>
      </c>
      <c r="B602" s="16">
        <v>906</v>
      </c>
      <c r="C602" s="20" t="s">
        <v>271</v>
      </c>
      <c r="D602" s="20" t="s">
        <v>220</v>
      </c>
      <c r="E602" s="20" t="s">
        <v>297</v>
      </c>
      <c r="F602" s="20" t="s">
        <v>282</v>
      </c>
      <c r="G602" s="27">
        <f>1101.7-190.8</f>
        <v>910.90000000000009</v>
      </c>
      <c r="H602" s="175"/>
      <c r="I602" s="114"/>
    </row>
    <row r="603" spans="1:9" ht="78.75" x14ac:dyDescent="0.25">
      <c r="A603" s="31" t="s">
        <v>298</v>
      </c>
      <c r="B603" s="16">
        <v>906</v>
      </c>
      <c r="C603" s="20" t="s">
        <v>271</v>
      </c>
      <c r="D603" s="20" t="s">
        <v>220</v>
      </c>
      <c r="E603" s="20" t="s">
        <v>299</v>
      </c>
      <c r="F603" s="20"/>
      <c r="G603" s="26">
        <f>G604</f>
        <v>2155.5</v>
      </c>
      <c r="H603" s="175"/>
    </row>
    <row r="604" spans="1:9" ht="47.25" x14ac:dyDescent="0.25">
      <c r="A604" s="25" t="s">
        <v>279</v>
      </c>
      <c r="B604" s="16">
        <v>906</v>
      </c>
      <c r="C604" s="20" t="s">
        <v>271</v>
      </c>
      <c r="D604" s="20" t="s">
        <v>220</v>
      </c>
      <c r="E604" s="20" t="s">
        <v>299</v>
      </c>
      <c r="F604" s="20" t="s">
        <v>280</v>
      </c>
      <c r="G604" s="26">
        <f>G605</f>
        <v>2155.5</v>
      </c>
      <c r="H604" s="175"/>
    </row>
    <row r="605" spans="1:9" ht="15.75" x14ac:dyDescent="0.25">
      <c r="A605" s="25" t="s">
        <v>281</v>
      </c>
      <c r="B605" s="16">
        <v>906</v>
      </c>
      <c r="C605" s="20" t="s">
        <v>271</v>
      </c>
      <c r="D605" s="20" t="s">
        <v>220</v>
      </c>
      <c r="E605" s="20" t="s">
        <v>299</v>
      </c>
      <c r="F605" s="20" t="s">
        <v>282</v>
      </c>
      <c r="G605" s="27">
        <f>2823.2-667.7</f>
        <v>2155.5</v>
      </c>
      <c r="H605" s="175"/>
      <c r="I605" s="114"/>
    </row>
    <row r="606" spans="1:9" ht="47.25" x14ac:dyDescent="0.25">
      <c r="A606" s="31" t="s">
        <v>469</v>
      </c>
      <c r="B606" s="16">
        <v>906</v>
      </c>
      <c r="C606" s="20" t="s">
        <v>271</v>
      </c>
      <c r="D606" s="20" t="s">
        <v>220</v>
      </c>
      <c r="E606" s="20" t="s">
        <v>470</v>
      </c>
      <c r="F606" s="20"/>
      <c r="G606" s="26">
        <f>G607</f>
        <v>886.5</v>
      </c>
      <c r="H606" s="175"/>
    </row>
    <row r="607" spans="1:9" ht="47.25" x14ac:dyDescent="0.25">
      <c r="A607" s="25" t="s">
        <v>279</v>
      </c>
      <c r="B607" s="16">
        <v>906</v>
      </c>
      <c r="C607" s="20" t="s">
        <v>271</v>
      </c>
      <c r="D607" s="20" t="s">
        <v>220</v>
      </c>
      <c r="E607" s="20" t="s">
        <v>470</v>
      </c>
      <c r="F607" s="20" t="s">
        <v>280</v>
      </c>
      <c r="G607" s="26">
        <f>G608</f>
        <v>886.5</v>
      </c>
      <c r="H607" s="175"/>
    </row>
    <row r="608" spans="1:9" ht="15.75" x14ac:dyDescent="0.25">
      <c r="A608" s="25" t="s">
        <v>281</v>
      </c>
      <c r="B608" s="16">
        <v>906</v>
      </c>
      <c r="C608" s="20" t="s">
        <v>271</v>
      </c>
      <c r="D608" s="20" t="s">
        <v>220</v>
      </c>
      <c r="E608" s="20" t="s">
        <v>470</v>
      </c>
      <c r="F608" s="20" t="s">
        <v>282</v>
      </c>
      <c r="G608" s="27">
        <f>998.4-111.9</f>
        <v>886.5</v>
      </c>
      <c r="H608" s="175"/>
      <c r="I608" s="114"/>
    </row>
    <row r="609" spans="1:9" ht="110.25" x14ac:dyDescent="0.25">
      <c r="A609" s="31" t="s">
        <v>471</v>
      </c>
      <c r="B609" s="16">
        <v>906</v>
      </c>
      <c r="C609" s="20" t="s">
        <v>271</v>
      </c>
      <c r="D609" s="20" t="s">
        <v>220</v>
      </c>
      <c r="E609" s="20" t="s">
        <v>301</v>
      </c>
      <c r="F609" s="20"/>
      <c r="G609" s="26">
        <f>G610</f>
        <v>4369</v>
      </c>
      <c r="H609" s="175"/>
    </row>
    <row r="610" spans="1:9" ht="47.25" x14ac:dyDescent="0.25">
      <c r="A610" s="25" t="s">
        <v>279</v>
      </c>
      <c r="B610" s="16">
        <v>906</v>
      </c>
      <c r="C610" s="20" t="s">
        <v>271</v>
      </c>
      <c r="D610" s="20" t="s">
        <v>220</v>
      </c>
      <c r="E610" s="20" t="s">
        <v>301</v>
      </c>
      <c r="F610" s="20" t="s">
        <v>280</v>
      </c>
      <c r="G610" s="26">
        <f>G611</f>
        <v>4369</v>
      </c>
      <c r="H610" s="175"/>
    </row>
    <row r="611" spans="1:9" ht="15.75" x14ac:dyDescent="0.25">
      <c r="A611" s="25" t="s">
        <v>281</v>
      </c>
      <c r="B611" s="16">
        <v>906</v>
      </c>
      <c r="C611" s="20" t="s">
        <v>271</v>
      </c>
      <c r="D611" s="20" t="s">
        <v>220</v>
      </c>
      <c r="E611" s="20" t="s">
        <v>301</v>
      </c>
      <c r="F611" s="20" t="s">
        <v>282</v>
      </c>
      <c r="G611" s="27">
        <f>5441.9-1072.9</f>
        <v>4369</v>
      </c>
      <c r="H611" s="175"/>
      <c r="I611" s="114"/>
    </row>
    <row r="612" spans="1:9" ht="15.75" x14ac:dyDescent="0.25">
      <c r="A612" s="23" t="s">
        <v>272</v>
      </c>
      <c r="B612" s="19">
        <v>906</v>
      </c>
      <c r="C612" s="24" t="s">
        <v>271</v>
      </c>
      <c r="D612" s="24" t="s">
        <v>222</v>
      </c>
      <c r="E612" s="24"/>
      <c r="F612" s="24"/>
      <c r="G612" s="44">
        <f>G613+G622</f>
        <v>23062.100000000002</v>
      </c>
      <c r="H612" s="175"/>
      <c r="I612" s="114"/>
    </row>
    <row r="613" spans="1:9" ht="47.25" x14ac:dyDescent="0.25">
      <c r="A613" s="25" t="s">
        <v>433</v>
      </c>
      <c r="B613" s="16">
        <v>906</v>
      </c>
      <c r="C613" s="20" t="s">
        <v>271</v>
      </c>
      <c r="D613" s="20" t="s">
        <v>222</v>
      </c>
      <c r="E613" s="20" t="s">
        <v>413</v>
      </c>
      <c r="F613" s="20"/>
      <c r="G613" s="27">
        <f>G614+G620</f>
        <v>21479.9</v>
      </c>
      <c r="H613" s="175"/>
      <c r="I613" s="114"/>
    </row>
    <row r="614" spans="1:9" ht="47.25" x14ac:dyDescent="0.25">
      <c r="A614" s="25" t="s">
        <v>414</v>
      </c>
      <c r="B614" s="16">
        <v>906</v>
      </c>
      <c r="C614" s="20" t="s">
        <v>271</v>
      </c>
      <c r="D614" s="20" t="s">
        <v>222</v>
      </c>
      <c r="E614" s="20" t="s">
        <v>415</v>
      </c>
      <c r="F614" s="20"/>
      <c r="G614" s="27">
        <f>G615</f>
        <v>21124</v>
      </c>
      <c r="H614" s="175"/>
      <c r="I614" s="114"/>
    </row>
    <row r="615" spans="1:9" ht="47.25" x14ac:dyDescent="0.25">
      <c r="A615" s="25" t="s">
        <v>277</v>
      </c>
      <c r="B615" s="16">
        <v>906</v>
      </c>
      <c r="C615" s="20" t="s">
        <v>271</v>
      </c>
      <c r="D615" s="20" t="s">
        <v>222</v>
      </c>
      <c r="E615" s="20" t="s">
        <v>436</v>
      </c>
      <c r="F615" s="20"/>
      <c r="G615" s="27">
        <f>G616</f>
        <v>21124</v>
      </c>
      <c r="H615" s="175"/>
      <c r="I615" s="114"/>
    </row>
    <row r="616" spans="1:9" ht="47.25" x14ac:dyDescent="0.25">
      <c r="A616" s="25" t="s">
        <v>279</v>
      </c>
      <c r="B616" s="16">
        <v>906</v>
      </c>
      <c r="C616" s="20" t="s">
        <v>271</v>
      </c>
      <c r="D616" s="20" t="s">
        <v>222</v>
      </c>
      <c r="E616" s="20" t="s">
        <v>436</v>
      </c>
      <c r="F616" s="20" t="s">
        <v>280</v>
      </c>
      <c r="G616" s="27">
        <f>G617</f>
        <v>21124</v>
      </c>
      <c r="H616" s="175"/>
      <c r="I616" s="114"/>
    </row>
    <row r="617" spans="1:9" ht="15.75" x14ac:dyDescent="0.25">
      <c r="A617" s="25" t="s">
        <v>281</v>
      </c>
      <c r="B617" s="16">
        <v>906</v>
      </c>
      <c r="C617" s="20" t="s">
        <v>271</v>
      </c>
      <c r="D617" s="20" t="s">
        <v>222</v>
      </c>
      <c r="E617" s="20" t="s">
        <v>436</v>
      </c>
      <c r="F617" s="20" t="s">
        <v>282</v>
      </c>
      <c r="G617" s="27">
        <f>21044+80</f>
        <v>21124</v>
      </c>
      <c r="H617" s="105"/>
      <c r="I617" s="124"/>
    </row>
    <row r="618" spans="1:9" ht="47.25" x14ac:dyDescent="0.25">
      <c r="A618" s="31" t="s">
        <v>710</v>
      </c>
      <c r="B618" s="16">
        <v>906</v>
      </c>
      <c r="C618" s="20" t="s">
        <v>271</v>
      </c>
      <c r="D618" s="20" t="s">
        <v>222</v>
      </c>
      <c r="E618" s="20" t="s">
        <v>454</v>
      </c>
      <c r="F618" s="20"/>
      <c r="G618" s="27">
        <f>G619</f>
        <v>355.9</v>
      </c>
      <c r="H618" s="175"/>
      <c r="I618" s="114"/>
    </row>
    <row r="619" spans="1:9" ht="31.5" x14ac:dyDescent="0.25">
      <c r="A619" s="45" t="s">
        <v>711</v>
      </c>
      <c r="B619" s="16">
        <v>906</v>
      </c>
      <c r="C619" s="20" t="s">
        <v>271</v>
      </c>
      <c r="D619" s="20" t="s">
        <v>222</v>
      </c>
      <c r="E619" s="20" t="s">
        <v>712</v>
      </c>
      <c r="F619" s="20"/>
      <c r="G619" s="27">
        <f>G620</f>
        <v>355.9</v>
      </c>
      <c r="H619" s="175"/>
      <c r="I619" s="114"/>
    </row>
    <row r="620" spans="1:9" ht="47.25" x14ac:dyDescent="0.25">
      <c r="A620" s="31" t="s">
        <v>279</v>
      </c>
      <c r="B620" s="16">
        <v>906</v>
      </c>
      <c r="C620" s="20" t="s">
        <v>271</v>
      </c>
      <c r="D620" s="20" t="s">
        <v>222</v>
      </c>
      <c r="E620" s="20" t="s">
        <v>712</v>
      </c>
      <c r="F620" s="20" t="s">
        <v>280</v>
      </c>
      <c r="G620" s="27">
        <f>G621</f>
        <v>355.9</v>
      </c>
      <c r="H620" s="105"/>
      <c r="I620" s="114"/>
    </row>
    <row r="621" spans="1:9" ht="15.75" x14ac:dyDescent="0.25">
      <c r="A621" s="31" t="s">
        <v>281</v>
      </c>
      <c r="B621" s="16">
        <v>906</v>
      </c>
      <c r="C621" s="20" t="s">
        <v>271</v>
      </c>
      <c r="D621" s="20" t="s">
        <v>222</v>
      </c>
      <c r="E621" s="20" t="s">
        <v>712</v>
      </c>
      <c r="F621" s="20" t="s">
        <v>282</v>
      </c>
      <c r="G621" s="27">
        <v>355.9</v>
      </c>
      <c r="H621" s="175"/>
      <c r="I621" s="114"/>
    </row>
    <row r="622" spans="1:9" ht="15.75" x14ac:dyDescent="0.25">
      <c r="A622" s="25" t="s">
        <v>472</v>
      </c>
      <c r="B622" s="16">
        <v>906</v>
      </c>
      <c r="C622" s="20" t="s">
        <v>271</v>
      </c>
      <c r="D622" s="20" t="s">
        <v>222</v>
      </c>
      <c r="E622" s="20" t="s">
        <v>129</v>
      </c>
      <c r="F622" s="20"/>
      <c r="G622" s="27">
        <f>G623</f>
        <v>1582.2</v>
      </c>
      <c r="H622" s="175"/>
      <c r="I622" s="114"/>
    </row>
    <row r="623" spans="1:9" ht="31.5" x14ac:dyDescent="0.25">
      <c r="A623" s="25" t="s">
        <v>192</v>
      </c>
      <c r="B623" s="16">
        <v>906</v>
      </c>
      <c r="C623" s="20" t="s">
        <v>271</v>
      </c>
      <c r="D623" s="20" t="s">
        <v>222</v>
      </c>
      <c r="E623" s="20" t="s">
        <v>193</v>
      </c>
      <c r="F623" s="20"/>
      <c r="G623" s="27">
        <f>G624+G627+G630</f>
        <v>1582.2</v>
      </c>
      <c r="H623" s="175"/>
      <c r="I623" s="114"/>
    </row>
    <row r="624" spans="1:9" ht="63" x14ac:dyDescent="0.25">
      <c r="A624" s="31" t="s">
        <v>296</v>
      </c>
      <c r="B624" s="16">
        <v>906</v>
      </c>
      <c r="C624" s="20" t="s">
        <v>271</v>
      </c>
      <c r="D624" s="20" t="s">
        <v>222</v>
      </c>
      <c r="E624" s="20" t="s">
        <v>297</v>
      </c>
      <c r="F624" s="20"/>
      <c r="G624" s="27">
        <f>G625</f>
        <v>110</v>
      </c>
      <c r="H624" s="175"/>
      <c r="I624" s="114"/>
    </row>
    <row r="625" spans="1:9" ht="47.25" x14ac:dyDescent="0.25">
      <c r="A625" s="25" t="s">
        <v>279</v>
      </c>
      <c r="B625" s="16">
        <v>906</v>
      </c>
      <c r="C625" s="20" t="s">
        <v>271</v>
      </c>
      <c r="D625" s="20" t="s">
        <v>222</v>
      </c>
      <c r="E625" s="20" t="s">
        <v>297</v>
      </c>
      <c r="F625" s="20" t="s">
        <v>280</v>
      </c>
      <c r="G625" s="27">
        <f>G626</f>
        <v>110</v>
      </c>
      <c r="H625" s="175"/>
      <c r="I625" s="114"/>
    </row>
    <row r="626" spans="1:9" ht="15.75" x14ac:dyDescent="0.25">
      <c r="A626" s="25" t="s">
        <v>281</v>
      </c>
      <c r="B626" s="16">
        <v>906</v>
      </c>
      <c r="C626" s="20" t="s">
        <v>271</v>
      </c>
      <c r="D626" s="20" t="s">
        <v>222</v>
      </c>
      <c r="E626" s="20" t="s">
        <v>297</v>
      </c>
      <c r="F626" s="20" t="s">
        <v>282</v>
      </c>
      <c r="G626" s="27">
        <v>110</v>
      </c>
      <c r="H626" s="175"/>
      <c r="I626" s="114"/>
    </row>
    <row r="627" spans="1:9" ht="78.75" x14ac:dyDescent="0.25">
      <c r="A627" s="31" t="s">
        <v>298</v>
      </c>
      <c r="B627" s="16">
        <v>906</v>
      </c>
      <c r="C627" s="20" t="s">
        <v>271</v>
      </c>
      <c r="D627" s="20" t="s">
        <v>222</v>
      </c>
      <c r="E627" s="20" t="s">
        <v>299</v>
      </c>
      <c r="F627" s="20"/>
      <c r="G627" s="27">
        <f>G628</f>
        <v>572.20000000000005</v>
      </c>
      <c r="H627" s="175"/>
      <c r="I627" s="114"/>
    </row>
    <row r="628" spans="1:9" ht="47.25" x14ac:dyDescent="0.25">
      <c r="A628" s="25" t="s">
        <v>279</v>
      </c>
      <c r="B628" s="16">
        <v>906</v>
      </c>
      <c r="C628" s="20" t="s">
        <v>271</v>
      </c>
      <c r="D628" s="20" t="s">
        <v>222</v>
      </c>
      <c r="E628" s="20" t="s">
        <v>299</v>
      </c>
      <c r="F628" s="20" t="s">
        <v>280</v>
      </c>
      <c r="G628" s="27">
        <f>G629</f>
        <v>572.20000000000005</v>
      </c>
      <c r="H628" s="175"/>
      <c r="I628" s="114"/>
    </row>
    <row r="629" spans="1:9" ht="15.75" x14ac:dyDescent="0.25">
      <c r="A629" s="25" t="s">
        <v>281</v>
      </c>
      <c r="B629" s="16">
        <v>906</v>
      </c>
      <c r="C629" s="20" t="s">
        <v>271</v>
      </c>
      <c r="D629" s="20" t="s">
        <v>222</v>
      </c>
      <c r="E629" s="20" t="s">
        <v>299</v>
      </c>
      <c r="F629" s="20" t="s">
        <v>282</v>
      </c>
      <c r="G629" s="27">
        <v>572.20000000000005</v>
      </c>
      <c r="H629" s="175"/>
      <c r="I629" s="114"/>
    </row>
    <row r="630" spans="1:9" ht="110.25" x14ac:dyDescent="0.25">
      <c r="A630" s="31" t="s">
        <v>300</v>
      </c>
      <c r="B630" s="16">
        <v>906</v>
      </c>
      <c r="C630" s="20" t="s">
        <v>271</v>
      </c>
      <c r="D630" s="20" t="s">
        <v>222</v>
      </c>
      <c r="E630" s="20" t="s">
        <v>301</v>
      </c>
      <c r="F630" s="20"/>
      <c r="G630" s="27">
        <f>G631</f>
        <v>900</v>
      </c>
      <c r="H630" s="175"/>
      <c r="I630" s="114"/>
    </row>
    <row r="631" spans="1:9" ht="47.25" x14ac:dyDescent="0.25">
      <c r="A631" s="25" t="s">
        <v>279</v>
      </c>
      <c r="B631" s="16">
        <v>906</v>
      </c>
      <c r="C631" s="20" t="s">
        <v>271</v>
      </c>
      <c r="D631" s="20" t="s">
        <v>222</v>
      </c>
      <c r="E631" s="20" t="s">
        <v>301</v>
      </c>
      <c r="F631" s="20" t="s">
        <v>280</v>
      </c>
      <c r="G631" s="27">
        <f>G632</f>
        <v>900</v>
      </c>
      <c r="H631" s="175"/>
      <c r="I631" s="114"/>
    </row>
    <row r="632" spans="1:9" ht="15.75" x14ac:dyDescent="0.25">
      <c r="A632" s="25" t="s">
        <v>281</v>
      </c>
      <c r="B632" s="16">
        <v>906</v>
      </c>
      <c r="C632" s="20" t="s">
        <v>271</v>
      </c>
      <c r="D632" s="20" t="s">
        <v>222</v>
      </c>
      <c r="E632" s="20" t="s">
        <v>301</v>
      </c>
      <c r="F632" s="20" t="s">
        <v>282</v>
      </c>
      <c r="G632" s="27">
        <v>900</v>
      </c>
      <c r="H632" s="175"/>
      <c r="I632" s="114"/>
    </row>
    <row r="633" spans="1:9" ht="31.5" x14ac:dyDescent="0.25">
      <c r="A633" s="23" t="s">
        <v>473</v>
      </c>
      <c r="B633" s="19">
        <v>906</v>
      </c>
      <c r="C633" s="24" t="s">
        <v>271</v>
      </c>
      <c r="D633" s="24" t="s">
        <v>271</v>
      </c>
      <c r="E633" s="24"/>
      <c r="F633" s="24"/>
      <c r="G633" s="21">
        <f>G634+G639</f>
        <v>4788.6000000000004</v>
      </c>
      <c r="H633" s="175"/>
    </row>
    <row r="634" spans="1:9" ht="47.25" x14ac:dyDescent="0.25">
      <c r="A634" s="25" t="s">
        <v>433</v>
      </c>
      <c r="B634" s="16">
        <v>906</v>
      </c>
      <c r="C634" s="20" t="s">
        <v>271</v>
      </c>
      <c r="D634" s="20" t="s">
        <v>271</v>
      </c>
      <c r="E634" s="20" t="s">
        <v>413</v>
      </c>
      <c r="F634" s="20"/>
      <c r="G634" s="26">
        <f>G635</f>
        <v>3484.8</v>
      </c>
      <c r="H634" s="175"/>
    </row>
    <row r="635" spans="1:9" ht="31.5" x14ac:dyDescent="0.25">
      <c r="A635" s="25" t="s">
        <v>474</v>
      </c>
      <c r="B635" s="16">
        <v>906</v>
      </c>
      <c r="C635" s="20" t="s">
        <v>271</v>
      </c>
      <c r="D635" s="20" t="s">
        <v>475</v>
      </c>
      <c r="E635" s="20" t="s">
        <v>476</v>
      </c>
      <c r="F635" s="20"/>
      <c r="G635" s="26">
        <f>G636</f>
        <v>3484.8</v>
      </c>
      <c r="H635" s="175"/>
    </row>
    <row r="636" spans="1:9" ht="47.25" x14ac:dyDescent="0.25">
      <c r="A636" s="25" t="s">
        <v>477</v>
      </c>
      <c r="B636" s="16">
        <v>906</v>
      </c>
      <c r="C636" s="20" t="s">
        <v>271</v>
      </c>
      <c r="D636" s="20" t="s">
        <v>271</v>
      </c>
      <c r="E636" s="20" t="s">
        <v>478</v>
      </c>
      <c r="F636" s="20"/>
      <c r="G636" s="26">
        <f>G637</f>
        <v>3484.8</v>
      </c>
      <c r="H636" s="175"/>
    </row>
    <row r="637" spans="1:9" ht="47.25" x14ac:dyDescent="0.25">
      <c r="A637" s="25" t="s">
        <v>279</v>
      </c>
      <c r="B637" s="16">
        <v>906</v>
      </c>
      <c r="C637" s="20" t="s">
        <v>271</v>
      </c>
      <c r="D637" s="20" t="s">
        <v>271</v>
      </c>
      <c r="E637" s="20" t="s">
        <v>478</v>
      </c>
      <c r="F637" s="20" t="s">
        <v>280</v>
      </c>
      <c r="G637" s="26">
        <f t="shared" ref="G637:G642" si="3">G638</f>
        <v>3484.8</v>
      </c>
      <c r="H637" s="175"/>
    </row>
    <row r="638" spans="1:9" ht="15.75" x14ac:dyDescent="0.25">
      <c r="A638" s="25" t="s">
        <v>281</v>
      </c>
      <c r="B638" s="16">
        <v>906</v>
      </c>
      <c r="C638" s="20" t="s">
        <v>271</v>
      </c>
      <c r="D638" s="20" t="s">
        <v>271</v>
      </c>
      <c r="E638" s="20" t="s">
        <v>478</v>
      </c>
      <c r="F638" s="20" t="s">
        <v>282</v>
      </c>
      <c r="G638" s="27">
        <v>3484.8</v>
      </c>
      <c r="H638" s="175"/>
    </row>
    <row r="639" spans="1:9" ht="15.75" x14ac:dyDescent="0.25">
      <c r="A639" s="25" t="s">
        <v>128</v>
      </c>
      <c r="B639" s="16">
        <v>906</v>
      </c>
      <c r="C639" s="20" t="s">
        <v>271</v>
      </c>
      <c r="D639" s="20" t="s">
        <v>271</v>
      </c>
      <c r="E639" s="20" t="s">
        <v>129</v>
      </c>
      <c r="F639" s="20"/>
      <c r="G639" s="26">
        <f>G640</f>
        <v>1303.8000000000002</v>
      </c>
      <c r="H639" s="175"/>
    </row>
    <row r="640" spans="1:9" ht="31.5" x14ac:dyDescent="0.25">
      <c r="A640" s="25" t="s">
        <v>192</v>
      </c>
      <c r="B640" s="16">
        <v>906</v>
      </c>
      <c r="C640" s="20" t="s">
        <v>271</v>
      </c>
      <c r="D640" s="20" t="s">
        <v>271</v>
      </c>
      <c r="E640" s="20" t="s">
        <v>193</v>
      </c>
      <c r="F640" s="20"/>
      <c r="G640" s="26">
        <f>G642</f>
        <v>1303.8000000000002</v>
      </c>
      <c r="H640" s="175"/>
    </row>
    <row r="641" spans="1:9" ht="63" hidden="1" x14ac:dyDescent="0.25">
      <c r="A641" s="25" t="s">
        <v>479</v>
      </c>
      <c r="B641" s="16">
        <v>906</v>
      </c>
      <c r="C641" s="20" t="s">
        <v>271</v>
      </c>
      <c r="D641" s="20" t="s">
        <v>271</v>
      </c>
      <c r="E641" s="20" t="s">
        <v>480</v>
      </c>
      <c r="F641" s="20"/>
      <c r="G641" s="26">
        <f t="shared" si="3"/>
        <v>1303.8000000000002</v>
      </c>
      <c r="H641" s="175"/>
    </row>
    <row r="642" spans="1:9" ht="31.5" x14ac:dyDescent="0.25">
      <c r="A642" s="31" t="s">
        <v>481</v>
      </c>
      <c r="B642" s="16">
        <v>906</v>
      </c>
      <c r="C642" s="20" t="s">
        <v>271</v>
      </c>
      <c r="D642" s="20" t="s">
        <v>271</v>
      </c>
      <c r="E642" s="20" t="s">
        <v>482</v>
      </c>
      <c r="F642" s="20"/>
      <c r="G642" s="26">
        <f t="shared" si="3"/>
        <v>1303.8000000000002</v>
      </c>
      <c r="H642" s="175"/>
    </row>
    <row r="643" spans="1:9" ht="47.25" x14ac:dyDescent="0.25">
      <c r="A643" s="25" t="s">
        <v>279</v>
      </c>
      <c r="B643" s="16">
        <v>906</v>
      </c>
      <c r="C643" s="20" t="s">
        <v>271</v>
      </c>
      <c r="D643" s="20" t="s">
        <v>271</v>
      </c>
      <c r="E643" s="20" t="s">
        <v>482</v>
      </c>
      <c r="F643" s="20" t="s">
        <v>280</v>
      </c>
      <c r="G643" s="26">
        <f>G644</f>
        <v>1303.8000000000002</v>
      </c>
      <c r="H643" s="175"/>
    </row>
    <row r="644" spans="1:9" ht="15.75" x14ac:dyDescent="0.25">
      <c r="A644" s="25" t="s">
        <v>281</v>
      </c>
      <c r="B644" s="16">
        <v>906</v>
      </c>
      <c r="C644" s="20" t="s">
        <v>271</v>
      </c>
      <c r="D644" s="20" t="s">
        <v>271</v>
      </c>
      <c r="E644" s="20" t="s">
        <v>482</v>
      </c>
      <c r="F644" s="20" t="s">
        <v>282</v>
      </c>
      <c r="G644" s="27">
        <f>1660.4-356.6</f>
        <v>1303.8000000000002</v>
      </c>
      <c r="H644" s="175"/>
      <c r="I644" s="114"/>
    </row>
    <row r="645" spans="1:9" ht="15.75" x14ac:dyDescent="0.25">
      <c r="A645" s="23" t="s">
        <v>302</v>
      </c>
      <c r="B645" s="19">
        <v>906</v>
      </c>
      <c r="C645" s="24" t="s">
        <v>271</v>
      </c>
      <c r="D645" s="24" t="s">
        <v>226</v>
      </c>
      <c r="E645" s="24"/>
      <c r="F645" s="24"/>
      <c r="G645" s="21">
        <f>G646+G655</f>
        <v>18322.300000000003</v>
      </c>
      <c r="H645" s="175"/>
    </row>
    <row r="646" spans="1:9" ht="47.25" x14ac:dyDescent="0.25">
      <c r="A646" s="25" t="s">
        <v>341</v>
      </c>
      <c r="B646" s="16">
        <v>906</v>
      </c>
      <c r="C646" s="20" t="s">
        <v>271</v>
      </c>
      <c r="D646" s="20" t="s">
        <v>226</v>
      </c>
      <c r="E646" s="20" t="s">
        <v>342</v>
      </c>
      <c r="F646" s="20"/>
      <c r="G646" s="26">
        <f>G647+G650</f>
        <v>20</v>
      </c>
      <c r="H646" s="175"/>
      <c r="I646" s="114"/>
    </row>
    <row r="647" spans="1:9" ht="31.5" hidden="1" x14ac:dyDescent="0.25">
      <c r="A647" s="25" t="s">
        <v>343</v>
      </c>
      <c r="B647" s="16">
        <v>906</v>
      </c>
      <c r="C647" s="20" t="s">
        <v>271</v>
      </c>
      <c r="D647" s="20" t="s">
        <v>226</v>
      </c>
      <c r="E647" s="20" t="s">
        <v>344</v>
      </c>
      <c r="F647" s="20"/>
      <c r="G647" s="26">
        <f>G648</f>
        <v>0</v>
      </c>
      <c r="H647" s="175"/>
    </row>
    <row r="648" spans="1:9" ht="31.5" hidden="1" x14ac:dyDescent="0.25">
      <c r="A648" s="25" t="s">
        <v>138</v>
      </c>
      <c r="B648" s="16">
        <v>906</v>
      </c>
      <c r="C648" s="20" t="s">
        <v>271</v>
      </c>
      <c r="D648" s="20" t="s">
        <v>226</v>
      </c>
      <c r="E648" s="20" t="s">
        <v>344</v>
      </c>
      <c r="F648" s="20" t="s">
        <v>139</v>
      </c>
      <c r="G648" s="26">
        <f>G649</f>
        <v>0</v>
      </c>
      <c r="H648" s="175"/>
    </row>
    <row r="649" spans="1:9" ht="47.25" hidden="1" x14ac:dyDescent="0.25">
      <c r="A649" s="25" t="s">
        <v>140</v>
      </c>
      <c r="B649" s="16">
        <v>906</v>
      </c>
      <c r="C649" s="20" t="s">
        <v>271</v>
      </c>
      <c r="D649" s="20" t="s">
        <v>226</v>
      </c>
      <c r="E649" s="20" t="s">
        <v>344</v>
      </c>
      <c r="F649" s="20" t="s">
        <v>141</v>
      </c>
      <c r="G649" s="26">
        <f>50-50</f>
        <v>0</v>
      </c>
      <c r="H649" s="105"/>
      <c r="I649" s="123"/>
    </row>
    <row r="650" spans="1:9" ht="63" x14ac:dyDescent="0.25">
      <c r="A650" s="25" t="s">
        <v>483</v>
      </c>
      <c r="B650" s="16">
        <v>906</v>
      </c>
      <c r="C650" s="20" t="s">
        <v>271</v>
      </c>
      <c r="D650" s="20" t="s">
        <v>226</v>
      </c>
      <c r="E650" s="20" t="s">
        <v>484</v>
      </c>
      <c r="F650" s="20"/>
      <c r="G650" s="26">
        <f>G651+G653</f>
        <v>20</v>
      </c>
      <c r="H650" s="175"/>
    </row>
    <row r="651" spans="1:9" ht="94.5" x14ac:dyDescent="0.25">
      <c r="A651" s="25" t="s">
        <v>134</v>
      </c>
      <c r="B651" s="16">
        <v>906</v>
      </c>
      <c r="C651" s="20" t="s">
        <v>271</v>
      </c>
      <c r="D651" s="20" t="s">
        <v>226</v>
      </c>
      <c r="E651" s="20" t="s">
        <v>484</v>
      </c>
      <c r="F651" s="20" t="s">
        <v>135</v>
      </c>
      <c r="G651" s="26">
        <f>G652</f>
        <v>5</v>
      </c>
      <c r="H651" s="175"/>
    </row>
    <row r="652" spans="1:9" ht="31.5" x14ac:dyDescent="0.25">
      <c r="A652" s="25" t="s">
        <v>349</v>
      </c>
      <c r="B652" s="16">
        <v>906</v>
      </c>
      <c r="C652" s="20" t="s">
        <v>271</v>
      </c>
      <c r="D652" s="20" t="s">
        <v>226</v>
      </c>
      <c r="E652" s="20" t="s">
        <v>484</v>
      </c>
      <c r="F652" s="20" t="s">
        <v>216</v>
      </c>
      <c r="G652" s="26">
        <v>5</v>
      </c>
      <c r="H652" s="175"/>
    </row>
    <row r="653" spans="1:9" ht="31.5" x14ac:dyDescent="0.25">
      <c r="A653" s="25" t="s">
        <v>138</v>
      </c>
      <c r="B653" s="16">
        <v>906</v>
      </c>
      <c r="C653" s="20" t="s">
        <v>271</v>
      </c>
      <c r="D653" s="20" t="s">
        <v>226</v>
      </c>
      <c r="E653" s="20" t="s">
        <v>484</v>
      </c>
      <c r="F653" s="20" t="s">
        <v>139</v>
      </c>
      <c r="G653" s="26">
        <f>G654</f>
        <v>15</v>
      </c>
      <c r="H653" s="175"/>
    </row>
    <row r="654" spans="1:9" ht="47.25" x14ac:dyDescent="0.25">
      <c r="A654" s="25" t="s">
        <v>140</v>
      </c>
      <c r="B654" s="16">
        <v>906</v>
      </c>
      <c r="C654" s="20" t="s">
        <v>271</v>
      </c>
      <c r="D654" s="20" t="s">
        <v>226</v>
      </c>
      <c r="E654" s="20" t="s">
        <v>484</v>
      </c>
      <c r="F654" s="20" t="s">
        <v>141</v>
      </c>
      <c r="G654" s="26">
        <v>15</v>
      </c>
      <c r="H654" s="175"/>
    </row>
    <row r="655" spans="1:9" ht="15.75" x14ac:dyDescent="0.25">
      <c r="A655" s="25" t="s">
        <v>128</v>
      </c>
      <c r="B655" s="16">
        <v>906</v>
      </c>
      <c r="C655" s="20" t="s">
        <v>271</v>
      </c>
      <c r="D655" s="20" t="s">
        <v>226</v>
      </c>
      <c r="E655" s="20" t="s">
        <v>129</v>
      </c>
      <c r="F655" s="20"/>
      <c r="G655" s="26">
        <f>G656+G662</f>
        <v>18302.300000000003</v>
      </c>
      <c r="H655" s="175"/>
    </row>
    <row r="656" spans="1:9" ht="31.5" x14ac:dyDescent="0.25">
      <c r="A656" s="25" t="s">
        <v>130</v>
      </c>
      <c r="B656" s="16">
        <v>906</v>
      </c>
      <c r="C656" s="20" t="s">
        <v>271</v>
      </c>
      <c r="D656" s="20" t="s">
        <v>226</v>
      </c>
      <c r="E656" s="20" t="s">
        <v>131</v>
      </c>
      <c r="F656" s="20"/>
      <c r="G656" s="26">
        <f>G657</f>
        <v>5138.7</v>
      </c>
      <c r="H656" s="175"/>
    </row>
    <row r="657" spans="1:11" ht="47.25" x14ac:dyDescent="0.25">
      <c r="A657" s="25" t="s">
        <v>132</v>
      </c>
      <c r="B657" s="16">
        <v>906</v>
      </c>
      <c r="C657" s="20" t="s">
        <v>271</v>
      </c>
      <c r="D657" s="20" t="s">
        <v>226</v>
      </c>
      <c r="E657" s="20" t="s">
        <v>133</v>
      </c>
      <c r="F657" s="20"/>
      <c r="G657" s="26">
        <f>G658+G660</f>
        <v>5138.7</v>
      </c>
      <c r="H657" s="175"/>
    </row>
    <row r="658" spans="1:11" ht="94.5" x14ac:dyDescent="0.25">
      <c r="A658" s="25" t="s">
        <v>134</v>
      </c>
      <c r="B658" s="16">
        <v>906</v>
      </c>
      <c r="C658" s="20" t="s">
        <v>271</v>
      </c>
      <c r="D658" s="20" t="s">
        <v>226</v>
      </c>
      <c r="E658" s="20" t="s">
        <v>133</v>
      </c>
      <c r="F658" s="20" t="s">
        <v>135</v>
      </c>
      <c r="G658" s="26">
        <f>G659</f>
        <v>4981.5</v>
      </c>
      <c r="H658" s="175"/>
    </row>
    <row r="659" spans="1:11" ht="31.5" x14ac:dyDescent="0.25">
      <c r="A659" s="25" t="s">
        <v>136</v>
      </c>
      <c r="B659" s="16">
        <v>906</v>
      </c>
      <c r="C659" s="20" t="s">
        <v>271</v>
      </c>
      <c r="D659" s="20" t="s">
        <v>226</v>
      </c>
      <c r="E659" s="20" t="s">
        <v>133</v>
      </c>
      <c r="F659" s="20" t="s">
        <v>137</v>
      </c>
      <c r="G659" s="155">
        <f>4975.7+5.8</f>
        <v>4981.5</v>
      </c>
      <c r="H659" s="156" t="s">
        <v>734</v>
      </c>
    </row>
    <row r="660" spans="1:11" ht="31.5" x14ac:dyDescent="0.25">
      <c r="A660" s="25" t="s">
        <v>138</v>
      </c>
      <c r="B660" s="16">
        <v>906</v>
      </c>
      <c r="C660" s="20" t="s">
        <v>271</v>
      </c>
      <c r="D660" s="20" t="s">
        <v>226</v>
      </c>
      <c r="E660" s="20" t="s">
        <v>133</v>
      </c>
      <c r="F660" s="20" t="s">
        <v>139</v>
      </c>
      <c r="G660" s="26">
        <f>G661</f>
        <v>157.19999999999999</v>
      </c>
      <c r="H660" s="175"/>
    </row>
    <row r="661" spans="1:11" ht="47.25" x14ac:dyDescent="0.25">
      <c r="A661" s="25" t="s">
        <v>140</v>
      </c>
      <c r="B661" s="16">
        <v>906</v>
      </c>
      <c r="C661" s="20" t="s">
        <v>271</v>
      </c>
      <c r="D661" s="20" t="s">
        <v>226</v>
      </c>
      <c r="E661" s="20" t="s">
        <v>133</v>
      </c>
      <c r="F661" s="20" t="s">
        <v>141</v>
      </c>
      <c r="G661" s="157">
        <f>163-5.8</f>
        <v>157.19999999999999</v>
      </c>
      <c r="H661" s="156" t="s">
        <v>733</v>
      </c>
    </row>
    <row r="662" spans="1:11" ht="15.75" x14ac:dyDescent="0.25">
      <c r="A662" s="25" t="s">
        <v>148</v>
      </c>
      <c r="B662" s="16">
        <v>906</v>
      </c>
      <c r="C662" s="20" t="s">
        <v>271</v>
      </c>
      <c r="D662" s="20" t="s">
        <v>226</v>
      </c>
      <c r="E662" s="20" t="s">
        <v>149</v>
      </c>
      <c r="F662" s="20"/>
      <c r="G662" s="26">
        <f>G666+G663</f>
        <v>13163.600000000002</v>
      </c>
      <c r="H662" s="175"/>
    </row>
    <row r="663" spans="1:11" ht="15.75" x14ac:dyDescent="0.25">
      <c r="A663" s="25" t="s">
        <v>485</v>
      </c>
      <c r="B663" s="16">
        <v>906</v>
      </c>
      <c r="C663" s="20" t="s">
        <v>271</v>
      </c>
      <c r="D663" s="20" t="s">
        <v>226</v>
      </c>
      <c r="E663" s="20" t="s">
        <v>486</v>
      </c>
      <c r="F663" s="20"/>
      <c r="G663" s="26">
        <f>G664</f>
        <v>375</v>
      </c>
      <c r="H663" s="175"/>
    </row>
    <row r="664" spans="1:11" ht="31.5" x14ac:dyDescent="0.25">
      <c r="A664" s="25" t="s">
        <v>138</v>
      </c>
      <c r="B664" s="16">
        <v>906</v>
      </c>
      <c r="C664" s="20" t="s">
        <v>271</v>
      </c>
      <c r="D664" s="20" t="s">
        <v>226</v>
      </c>
      <c r="E664" s="20" t="s">
        <v>486</v>
      </c>
      <c r="F664" s="20" t="s">
        <v>139</v>
      </c>
      <c r="G664" s="26">
        <f>G665</f>
        <v>375</v>
      </c>
      <c r="H664" s="175"/>
    </row>
    <row r="665" spans="1:11" ht="47.25" x14ac:dyDescent="0.25">
      <c r="A665" s="25" t="s">
        <v>140</v>
      </c>
      <c r="B665" s="16">
        <v>906</v>
      </c>
      <c r="C665" s="20" t="s">
        <v>271</v>
      </c>
      <c r="D665" s="20" t="s">
        <v>226</v>
      </c>
      <c r="E665" s="20" t="s">
        <v>486</v>
      </c>
      <c r="F665" s="20" t="s">
        <v>141</v>
      </c>
      <c r="G665" s="161">
        <f>206.3+143.7+25</f>
        <v>375</v>
      </c>
      <c r="H665" s="156" t="s">
        <v>750</v>
      </c>
      <c r="I665" s="114"/>
    </row>
    <row r="666" spans="1:11" ht="31.5" x14ac:dyDescent="0.25">
      <c r="A666" s="25" t="s">
        <v>347</v>
      </c>
      <c r="B666" s="16">
        <v>906</v>
      </c>
      <c r="C666" s="20" t="s">
        <v>271</v>
      </c>
      <c r="D666" s="20" t="s">
        <v>226</v>
      </c>
      <c r="E666" s="20" t="s">
        <v>348</v>
      </c>
      <c r="F666" s="20"/>
      <c r="G666" s="26">
        <f>G667+G669+G671</f>
        <v>12788.600000000002</v>
      </c>
      <c r="H666" s="175"/>
      <c r="J666" s="472"/>
      <c r="K666" s="472"/>
    </row>
    <row r="667" spans="1:11" ht="94.5" x14ac:dyDescent="0.25">
      <c r="A667" s="25" t="s">
        <v>134</v>
      </c>
      <c r="B667" s="16">
        <v>906</v>
      </c>
      <c r="C667" s="20" t="s">
        <v>271</v>
      </c>
      <c r="D667" s="20" t="s">
        <v>226</v>
      </c>
      <c r="E667" s="20" t="s">
        <v>348</v>
      </c>
      <c r="F667" s="20" t="s">
        <v>135</v>
      </c>
      <c r="G667" s="26">
        <f>G668</f>
        <v>11519.300000000001</v>
      </c>
      <c r="H667" s="175"/>
      <c r="J667" s="472"/>
      <c r="K667" s="472"/>
    </row>
    <row r="668" spans="1:11" ht="31.5" x14ac:dyDescent="0.25">
      <c r="A668" s="25" t="s">
        <v>349</v>
      </c>
      <c r="B668" s="16">
        <v>906</v>
      </c>
      <c r="C668" s="20" t="s">
        <v>271</v>
      </c>
      <c r="D668" s="20" t="s">
        <v>226</v>
      </c>
      <c r="E668" s="20" t="s">
        <v>348</v>
      </c>
      <c r="F668" s="20" t="s">
        <v>216</v>
      </c>
      <c r="G668" s="27">
        <f>11988.7-469.4</f>
        <v>11519.300000000001</v>
      </c>
      <c r="H668" s="105"/>
      <c r="I668" s="123"/>
      <c r="J668" s="472"/>
      <c r="K668" s="472"/>
    </row>
    <row r="669" spans="1:11" ht="31.5" x14ac:dyDescent="0.25">
      <c r="A669" s="25" t="s">
        <v>138</v>
      </c>
      <c r="B669" s="16">
        <v>906</v>
      </c>
      <c r="C669" s="20" t="s">
        <v>271</v>
      </c>
      <c r="D669" s="20" t="s">
        <v>226</v>
      </c>
      <c r="E669" s="20" t="s">
        <v>348</v>
      </c>
      <c r="F669" s="20" t="s">
        <v>139</v>
      </c>
      <c r="G669" s="26">
        <f>G670</f>
        <v>1264.0999999999999</v>
      </c>
      <c r="H669" s="175"/>
      <c r="J669" s="472"/>
      <c r="K669" s="472"/>
    </row>
    <row r="670" spans="1:11" ht="47.25" x14ac:dyDescent="0.25">
      <c r="A670" s="25" t="s">
        <v>140</v>
      </c>
      <c r="B670" s="16">
        <v>906</v>
      </c>
      <c r="C670" s="20" t="s">
        <v>271</v>
      </c>
      <c r="D670" s="20" t="s">
        <v>226</v>
      </c>
      <c r="E670" s="20" t="s">
        <v>348</v>
      </c>
      <c r="F670" s="20" t="s">
        <v>141</v>
      </c>
      <c r="G670" s="26">
        <f>1416.8-152.7</f>
        <v>1264.0999999999999</v>
      </c>
      <c r="H670" s="105"/>
      <c r="I670" s="123"/>
      <c r="J670" s="472"/>
      <c r="K670" s="472"/>
    </row>
    <row r="671" spans="1:11" ht="15.75" x14ac:dyDescent="0.25">
      <c r="A671" s="25" t="s">
        <v>142</v>
      </c>
      <c r="B671" s="16">
        <v>906</v>
      </c>
      <c r="C671" s="20" t="s">
        <v>271</v>
      </c>
      <c r="D671" s="20" t="s">
        <v>226</v>
      </c>
      <c r="E671" s="20" t="s">
        <v>348</v>
      </c>
      <c r="F671" s="20" t="s">
        <v>152</v>
      </c>
      <c r="G671" s="26">
        <f>G672</f>
        <v>5.2</v>
      </c>
      <c r="H671" s="175"/>
      <c r="J671" s="472"/>
      <c r="K671" s="472"/>
    </row>
    <row r="672" spans="1:11" ht="15.75" x14ac:dyDescent="0.25">
      <c r="A672" s="25" t="s">
        <v>575</v>
      </c>
      <c r="B672" s="16">
        <v>906</v>
      </c>
      <c r="C672" s="20" t="s">
        <v>271</v>
      </c>
      <c r="D672" s="20" t="s">
        <v>226</v>
      </c>
      <c r="E672" s="20" t="s">
        <v>348</v>
      </c>
      <c r="F672" s="20" t="s">
        <v>145</v>
      </c>
      <c r="G672" s="26">
        <f>7-1.8</f>
        <v>5.2</v>
      </c>
      <c r="H672" s="105"/>
      <c r="I672" s="123"/>
      <c r="J672" s="472"/>
      <c r="K672" s="472"/>
    </row>
    <row r="673" spans="1:10" ht="47.25" x14ac:dyDescent="0.25">
      <c r="A673" s="19" t="s">
        <v>487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5"/>
    </row>
    <row r="674" spans="1:10" ht="15.75" x14ac:dyDescent="0.25">
      <c r="A674" s="23" t="s">
        <v>270</v>
      </c>
      <c r="B674" s="19">
        <v>907</v>
      </c>
      <c r="C674" s="24" t="s">
        <v>475</v>
      </c>
      <c r="D674" s="24"/>
      <c r="E674" s="24"/>
      <c r="F674" s="24"/>
      <c r="G674" s="21">
        <f>G675</f>
        <v>11485.1</v>
      </c>
      <c r="H674" s="175"/>
    </row>
    <row r="675" spans="1:10" ht="15.75" x14ac:dyDescent="0.25">
      <c r="A675" s="23" t="s">
        <v>272</v>
      </c>
      <c r="B675" s="19">
        <v>907</v>
      </c>
      <c r="C675" s="24" t="s">
        <v>271</v>
      </c>
      <c r="D675" s="24" t="s">
        <v>222</v>
      </c>
      <c r="E675" s="24"/>
      <c r="F675" s="24"/>
      <c r="G675" s="21">
        <f>G676+G693</f>
        <v>11485.1</v>
      </c>
      <c r="H675" s="175"/>
      <c r="J675" s="115"/>
    </row>
    <row r="676" spans="1:10" ht="47.25" x14ac:dyDescent="0.25">
      <c r="A676" s="25" t="s">
        <v>488</v>
      </c>
      <c r="B676" s="16">
        <v>907</v>
      </c>
      <c r="C676" s="20" t="s">
        <v>271</v>
      </c>
      <c r="D676" s="20" t="s">
        <v>222</v>
      </c>
      <c r="E676" s="20" t="s">
        <v>489</v>
      </c>
      <c r="F676" s="20"/>
      <c r="G676" s="26">
        <f>G677</f>
        <v>10758</v>
      </c>
      <c r="H676" s="175"/>
    </row>
    <row r="677" spans="1:10" ht="47.25" x14ac:dyDescent="0.25">
      <c r="A677" s="25" t="s">
        <v>490</v>
      </c>
      <c r="B677" s="16">
        <v>907</v>
      </c>
      <c r="C677" s="20" t="s">
        <v>271</v>
      </c>
      <c r="D677" s="20" t="s">
        <v>222</v>
      </c>
      <c r="E677" s="20" t="s">
        <v>491</v>
      </c>
      <c r="F677" s="20"/>
      <c r="G677" s="26">
        <f>G678+G681+G684+G690+G687</f>
        <v>10758</v>
      </c>
      <c r="H677" s="175"/>
    </row>
    <row r="678" spans="1:10" ht="47.25" x14ac:dyDescent="0.25">
      <c r="A678" s="25" t="s">
        <v>277</v>
      </c>
      <c r="B678" s="16">
        <v>907</v>
      </c>
      <c r="C678" s="20" t="s">
        <v>271</v>
      </c>
      <c r="D678" s="20" t="s">
        <v>222</v>
      </c>
      <c r="E678" s="20" t="s">
        <v>492</v>
      </c>
      <c r="F678" s="20"/>
      <c r="G678" s="26">
        <f>G679</f>
        <v>10722</v>
      </c>
      <c r="H678" s="175"/>
    </row>
    <row r="679" spans="1:10" ht="47.25" x14ac:dyDescent="0.25">
      <c r="A679" s="25" t="s">
        <v>279</v>
      </c>
      <c r="B679" s="16">
        <v>907</v>
      </c>
      <c r="C679" s="20" t="s">
        <v>271</v>
      </c>
      <c r="D679" s="20" t="s">
        <v>222</v>
      </c>
      <c r="E679" s="20" t="s">
        <v>492</v>
      </c>
      <c r="F679" s="20" t="s">
        <v>280</v>
      </c>
      <c r="G679" s="26">
        <f>G680</f>
        <v>10722</v>
      </c>
      <c r="H679" s="175"/>
    </row>
    <row r="680" spans="1:10" ht="15.75" x14ac:dyDescent="0.25">
      <c r="A680" s="25" t="s">
        <v>281</v>
      </c>
      <c r="B680" s="16">
        <v>907</v>
      </c>
      <c r="C680" s="20" t="s">
        <v>271</v>
      </c>
      <c r="D680" s="20" t="s">
        <v>222</v>
      </c>
      <c r="E680" s="20" t="s">
        <v>492</v>
      </c>
      <c r="F680" s="20" t="s">
        <v>282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285</v>
      </c>
      <c r="B681" s="16">
        <v>907</v>
      </c>
      <c r="C681" s="20" t="s">
        <v>271</v>
      </c>
      <c r="D681" s="20" t="s">
        <v>220</v>
      </c>
      <c r="E681" s="20" t="s">
        <v>493</v>
      </c>
      <c r="F681" s="20"/>
      <c r="G681" s="26">
        <f>G682</f>
        <v>0</v>
      </c>
      <c r="H681" s="175"/>
    </row>
    <row r="682" spans="1:10" ht="47.25" hidden="1" x14ac:dyDescent="0.25">
      <c r="A682" s="25" t="s">
        <v>279</v>
      </c>
      <c r="B682" s="16">
        <v>907</v>
      </c>
      <c r="C682" s="20" t="s">
        <v>271</v>
      </c>
      <c r="D682" s="20" t="s">
        <v>220</v>
      </c>
      <c r="E682" s="20" t="s">
        <v>493</v>
      </c>
      <c r="F682" s="20" t="s">
        <v>280</v>
      </c>
      <c r="G682" s="26">
        <f>G683</f>
        <v>0</v>
      </c>
      <c r="H682" s="175"/>
    </row>
    <row r="683" spans="1:10" ht="15.75" hidden="1" x14ac:dyDescent="0.25">
      <c r="A683" s="25" t="s">
        <v>281</v>
      </c>
      <c r="B683" s="16">
        <v>907</v>
      </c>
      <c r="C683" s="20" t="s">
        <v>271</v>
      </c>
      <c r="D683" s="20" t="s">
        <v>220</v>
      </c>
      <c r="E683" s="20" t="s">
        <v>493</v>
      </c>
      <c r="F683" s="20" t="s">
        <v>282</v>
      </c>
      <c r="G683" s="26">
        <v>0</v>
      </c>
      <c r="H683" s="175"/>
    </row>
    <row r="684" spans="1:10" ht="31.5" hidden="1" x14ac:dyDescent="0.25">
      <c r="A684" s="25" t="s">
        <v>287</v>
      </c>
      <c r="B684" s="16">
        <v>907</v>
      </c>
      <c r="C684" s="20" t="s">
        <v>271</v>
      </c>
      <c r="D684" s="20" t="s">
        <v>220</v>
      </c>
      <c r="E684" s="20" t="s">
        <v>494</v>
      </c>
      <c r="F684" s="20"/>
      <c r="G684" s="26">
        <f>G685</f>
        <v>0</v>
      </c>
      <c r="H684" s="175"/>
    </row>
    <row r="685" spans="1:10" ht="47.25" hidden="1" x14ac:dyDescent="0.25">
      <c r="A685" s="25" t="s">
        <v>279</v>
      </c>
      <c r="B685" s="16">
        <v>907</v>
      </c>
      <c r="C685" s="20" t="s">
        <v>271</v>
      </c>
      <c r="D685" s="20" t="s">
        <v>220</v>
      </c>
      <c r="E685" s="20" t="s">
        <v>494</v>
      </c>
      <c r="F685" s="20" t="s">
        <v>280</v>
      </c>
      <c r="G685" s="26">
        <f>G686</f>
        <v>0</v>
      </c>
      <c r="H685" s="175"/>
    </row>
    <row r="686" spans="1:10" ht="15.75" hidden="1" x14ac:dyDescent="0.25">
      <c r="A686" s="25" t="s">
        <v>281</v>
      </c>
      <c r="B686" s="16">
        <v>907</v>
      </c>
      <c r="C686" s="20" t="s">
        <v>271</v>
      </c>
      <c r="D686" s="20" t="s">
        <v>220</v>
      </c>
      <c r="E686" s="20" t="s">
        <v>494</v>
      </c>
      <c r="F686" s="20" t="s">
        <v>282</v>
      </c>
      <c r="G686" s="26">
        <v>0</v>
      </c>
      <c r="H686" s="175"/>
    </row>
    <row r="687" spans="1:10" ht="47.25" x14ac:dyDescent="0.25">
      <c r="A687" s="25" t="s">
        <v>289</v>
      </c>
      <c r="B687" s="16">
        <v>907</v>
      </c>
      <c r="C687" s="20" t="s">
        <v>271</v>
      </c>
      <c r="D687" s="20" t="s">
        <v>222</v>
      </c>
      <c r="E687" s="20" t="s">
        <v>495</v>
      </c>
      <c r="F687" s="20"/>
      <c r="G687" s="26">
        <f>G688</f>
        <v>36</v>
      </c>
      <c r="H687" s="175"/>
    </row>
    <row r="688" spans="1:10" ht="47.25" x14ac:dyDescent="0.25">
      <c r="A688" s="25" t="s">
        <v>279</v>
      </c>
      <c r="B688" s="16">
        <v>907</v>
      </c>
      <c r="C688" s="20" t="s">
        <v>271</v>
      </c>
      <c r="D688" s="20" t="s">
        <v>222</v>
      </c>
      <c r="E688" s="20" t="s">
        <v>495</v>
      </c>
      <c r="F688" s="20" t="s">
        <v>280</v>
      </c>
      <c r="G688" s="26">
        <f>G689</f>
        <v>36</v>
      </c>
      <c r="H688" s="175"/>
    </row>
    <row r="689" spans="1:10" ht="15.75" x14ac:dyDescent="0.25">
      <c r="A689" s="25" t="s">
        <v>281</v>
      </c>
      <c r="B689" s="16">
        <v>907</v>
      </c>
      <c r="C689" s="20" t="s">
        <v>271</v>
      </c>
      <c r="D689" s="20" t="s">
        <v>222</v>
      </c>
      <c r="E689" s="20" t="s">
        <v>495</v>
      </c>
      <c r="F689" s="20" t="s">
        <v>282</v>
      </c>
      <c r="G689" s="26">
        <v>36</v>
      </c>
      <c r="H689" s="175"/>
    </row>
    <row r="690" spans="1:10" ht="31.5" hidden="1" x14ac:dyDescent="0.25">
      <c r="A690" s="25" t="s">
        <v>291</v>
      </c>
      <c r="B690" s="16">
        <v>907</v>
      </c>
      <c r="C690" s="20" t="s">
        <v>271</v>
      </c>
      <c r="D690" s="20" t="s">
        <v>220</v>
      </c>
      <c r="E690" s="20" t="s">
        <v>496</v>
      </c>
      <c r="F690" s="20"/>
      <c r="G690" s="26">
        <f>G691</f>
        <v>0</v>
      </c>
      <c r="H690" s="175"/>
    </row>
    <row r="691" spans="1:10" ht="47.25" hidden="1" x14ac:dyDescent="0.25">
      <c r="A691" s="25" t="s">
        <v>279</v>
      </c>
      <c r="B691" s="16">
        <v>907</v>
      </c>
      <c r="C691" s="20" t="s">
        <v>271</v>
      </c>
      <c r="D691" s="20" t="s">
        <v>220</v>
      </c>
      <c r="E691" s="20" t="s">
        <v>496</v>
      </c>
      <c r="F691" s="20" t="s">
        <v>280</v>
      </c>
      <c r="G691" s="26">
        <f>G692</f>
        <v>0</v>
      </c>
      <c r="H691" s="175"/>
    </row>
    <row r="692" spans="1:10" ht="15.75" hidden="1" x14ac:dyDescent="0.25">
      <c r="A692" s="25" t="s">
        <v>281</v>
      </c>
      <c r="B692" s="16">
        <v>907</v>
      </c>
      <c r="C692" s="20" t="s">
        <v>271</v>
      </c>
      <c r="D692" s="20" t="s">
        <v>220</v>
      </c>
      <c r="E692" s="20" t="s">
        <v>496</v>
      </c>
      <c r="F692" s="20" t="s">
        <v>282</v>
      </c>
      <c r="G692" s="26">
        <v>0</v>
      </c>
      <c r="H692" s="175"/>
    </row>
    <row r="693" spans="1:10" ht="15.75" x14ac:dyDescent="0.25">
      <c r="A693" s="25" t="s">
        <v>128</v>
      </c>
      <c r="B693" s="16">
        <v>907</v>
      </c>
      <c r="C693" s="20" t="s">
        <v>271</v>
      </c>
      <c r="D693" s="20" t="s">
        <v>222</v>
      </c>
      <c r="E693" s="20" t="s">
        <v>129</v>
      </c>
      <c r="F693" s="20"/>
      <c r="G693" s="26">
        <f>G694</f>
        <v>727.1</v>
      </c>
      <c r="H693" s="175"/>
    </row>
    <row r="694" spans="1:10" ht="31.5" x14ac:dyDescent="0.25">
      <c r="A694" s="25" t="s">
        <v>192</v>
      </c>
      <c r="B694" s="16">
        <v>907</v>
      </c>
      <c r="C694" s="20" t="s">
        <v>271</v>
      </c>
      <c r="D694" s="20" t="s">
        <v>222</v>
      </c>
      <c r="E694" s="20" t="s">
        <v>193</v>
      </c>
      <c r="F694" s="20"/>
      <c r="G694" s="26">
        <f>G695+G698+G701</f>
        <v>727.1</v>
      </c>
      <c r="H694" s="175"/>
    </row>
    <row r="695" spans="1:10" ht="63" x14ac:dyDescent="0.25">
      <c r="A695" s="31" t="s">
        <v>296</v>
      </c>
      <c r="B695" s="16">
        <v>907</v>
      </c>
      <c r="C695" s="20" t="s">
        <v>271</v>
      </c>
      <c r="D695" s="20" t="s">
        <v>222</v>
      </c>
      <c r="E695" s="20" t="s">
        <v>297</v>
      </c>
      <c r="F695" s="20"/>
      <c r="G695" s="26">
        <f>G696</f>
        <v>50</v>
      </c>
      <c r="H695" s="175"/>
    </row>
    <row r="696" spans="1:10" ht="47.25" x14ac:dyDescent="0.25">
      <c r="A696" s="25" t="s">
        <v>279</v>
      </c>
      <c r="B696" s="16">
        <v>907</v>
      </c>
      <c r="C696" s="20" t="s">
        <v>271</v>
      </c>
      <c r="D696" s="20" t="s">
        <v>222</v>
      </c>
      <c r="E696" s="20" t="s">
        <v>297</v>
      </c>
      <c r="F696" s="20" t="s">
        <v>280</v>
      </c>
      <c r="G696" s="26">
        <f>G697</f>
        <v>50</v>
      </c>
      <c r="H696" s="175"/>
    </row>
    <row r="697" spans="1:10" ht="15.75" x14ac:dyDescent="0.25">
      <c r="A697" s="25" t="s">
        <v>281</v>
      </c>
      <c r="B697" s="16">
        <v>907</v>
      </c>
      <c r="C697" s="20" t="s">
        <v>271</v>
      </c>
      <c r="D697" s="20" t="s">
        <v>222</v>
      </c>
      <c r="E697" s="20" t="s">
        <v>297</v>
      </c>
      <c r="F697" s="20" t="s">
        <v>282</v>
      </c>
      <c r="G697" s="26">
        <v>50</v>
      </c>
      <c r="H697" s="175"/>
    </row>
    <row r="698" spans="1:10" ht="78.75" x14ac:dyDescent="0.25">
      <c r="A698" s="31" t="s">
        <v>298</v>
      </c>
      <c r="B698" s="16">
        <v>907</v>
      </c>
      <c r="C698" s="20" t="s">
        <v>271</v>
      </c>
      <c r="D698" s="20" t="s">
        <v>222</v>
      </c>
      <c r="E698" s="20" t="s">
        <v>299</v>
      </c>
      <c r="F698" s="20"/>
      <c r="G698" s="26">
        <f>G699</f>
        <v>197.3</v>
      </c>
      <c r="H698" s="175"/>
    </row>
    <row r="699" spans="1:10" ht="47.25" x14ac:dyDescent="0.25">
      <c r="A699" s="25" t="s">
        <v>279</v>
      </c>
      <c r="B699" s="16">
        <v>907</v>
      </c>
      <c r="C699" s="20" t="s">
        <v>271</v>
      </c>
      <c r="D699" s="20" t="s">
        <v>222</v>
      </c>
      <c r="E699" s="20" t="s">
        <v>299</v>
      </c>
      <c r="F699" s="20" t="s">
        <v>280</v>
      </c>
      <c r="G699" s="26">
        <f>G700</f>
        <v>197.3</v>
      </c>
      <c r="H699" s="175"/>
    </row>
    <row r="700" spans="1:10" ht="15.75" x14ac:dyDescent="0.25">
      <c r="A700" s="25" t="s">
        <v>281</v>
      </c>
      <c r="B700" s="16">
        <v>907</v>
      </c>
      <c r="C700" s="20" t="s">
        <v>271</v>
      </c>
      <c r="D700" s="20" t="s">
        <v>222</v>
      </c>
      <c r="E700" s="20" t="s">
        <v>299</v>
      </c>
      <c r="F700" s="20" t="s">
        <v>282</v>
      </c>
      <c r="G700" s="26">
        <f>200-2.7</f>
        <v>197.3</v>
      </c>
      <c r="H700" s="175"/>
      <c r="I700" s="114"/>
      <c r="J700" s="115"/>
    </row>
    <row r="701" spans="1:10" ht="110.25" x14ac:dyDescent="0.25">
      <c r="A701" s="31" t="s">
        <v>471</v>
      </c>
      <c r="B701" s="16">
        <v>907</v>
      </c>
      <c r="C701" s="20" t="s">
        <v>271</v>
      </c>
      <c r="D701" s="20" t="s">
        <v>222</v>
      </c>
      <c r="E701" s="20" t="s">
        <v>301</v>
      </c>
      <c r="F701" s="20"/>
      <c r="G701" s="26">
        <f>G702</f>
        <v>479.8</v>
      </c>
      <c r="H701" s="175"/>
    </row>
    <row r="702" spans="1:10" ht="47.25" x14ac:dyDescent="0.25">
      <c r="A702" s="25" t="s">
        <v>279</v>
      </c>
      <c r="B702" s="16">
        <v>907</v>
      </c>
      <c r="C702" s="20" t="s">
        <v>271</v>
      </c>
      <c r="D702" s="20" t="s">
        <v>222</v>
      </c>
      <c r="E702" s="20" t="s">
        <v>301</v>
      </c>
      <c r="F702" s="20" t="s">
        <v>280</v>
      </c>
      <c r="G702" s="26">
        <f>G703</f>
        <v>479.8</v>
      </c>
      <c r="H702" s="175"/>
    </row>
    <row r="703" spans="1:10" ht="15.75" x14ac:dyDescent="0.25">
      <c r="A703" s="25" t="s">
        <v>281</v>
      </c>
      <c r="B703" s="16">
        <v>907</v>
      </c>
      <c r="C703" s="20" t="s">
        <v>271</v>
      </c>
      <c r="D703" s="20" t="s">
        <v>222</v>
      </c>
      <c r="E703" s="20" t="s">
        <v>301</v>
      </c>
      <c r="F703" s="20" t="s">
        <v>282</v>
      </c>
      <c r="G703" s="26">
        <f>500-20.2</f>
        <v>479.8</v>
      </c>
      <c r="H703" s="175"/>
      <c r="I703" s="114"/>
    </row>
    <row r="704" spans="1:10" ht="15.75" x14ac:dyDescent="0.25">
      <c r="A704" s="23" t="s">
        <v>497</v>
      </c>
      <c r="B704" s="19">
        <v>907</v>
      </c>
      <c r="C704" s="24" t="s">
        <v>498</v>
      </c>
      <c r="D704" s="20"/>
      <c r="E704" s="20"/>
      <c r="F704" s="20"/>
      <c r="G704" s="21">
        <f>G705+G725</f>
        <v>34702.699999999997</v>
      </c>
      <c r="H704" s="175"/>
    </row>
    <row r="705" spans="1:9" ht="15.75" x14ac:dyDescent="0.25">
      <c r="A705" s="23" t="s">
        <v>499</v>
      </c>
      <c r="B705" s="19">
        <v>907</v>
      </c>
      <c r="C705" s="24" t="s">
        <v>498</v>
      </c>
      <c r="D705" s="24" t="s">
        <v>125</v>
      </c>
      <c r="E705" s="20"/>
      <c r="F705" s="20"/>
      <c r="G705" s="21">
        <f>G706+G721</f>
        <v>23173.9</v>
      </c>
      <c r="H705" s="175"/>
    </row>
    <row r="706" spans="1:9" ht="47.25" x14ac:dyDescent="0.25">
      <c r="A706" s="25" t="s">
        <v>488</v>
      </c>
      <c r="B706" s="16">
        <v>907</v>
      </c>
      <c r="C706" s="20" t="s">
        <v>498</v>
      </c>
      <c r="D706" s="20" t="s">
        <v>125</v>
      </c>
      <c r="E706" s="20" t="s">
        <v>489</v>
      </c>
      <c r="F706" s="20"/>
      <c r="G706" s="26">
        <f>G707</f>
        <v>22673.9</v>
      </c>
      <c r="H706" s="175"/>
    </row>
    <row r="707" spans="1:9" ht="47.25" x14ac:dyDescent="0.25">
      <c r="A707" s="25" t="s">
        <v>500</v>
      </c>
      <c r="B707" s="16">
        <v>907</v>
      </c>
      <c r="C707" s="20" t="s">
        <v>498</v>
      </c>
      <c r="D707" s="20" t="s">
        <v>125</v>
      </c>
      <c r="E707" s="20" t="s">
        <v>501</v>
      </c>
      <c r="F707" s="20"/>
      <c r="G707" s="26">
        <f>G708+G711+G714+G717</f>
        <v>22673.9</v>
      </c>
      <c r="H707" s="175"/>
    </row>
    <row r="708" spans="1:9" ht="47.25" x14ac:dyDescent="0.25">
      <c r="A708" s="25" t="s">
        <v>502</v>
      </c>
      <c r="B708" s="16">
        <v>907</v>
      </c>
      <c r="C708" s="20" t="s">
        <v>498</v>
      </c>
      <c r="D708" s="20" t="s">
        <v>125</v>
      </c>
      <c r="E708" s="20" t="s">
        <v>503</v>
      </c>
      <c r="F708" s="20"/>
      <c r="G708" s="26">
        <f>G709</f>
        <v>22376.400000000001</v>
      </c>
      <c r="H708" s="175"/>
    </row>
    <row r="709" spans="1:9" ht="47.25" x14ac:dyDescent="0.25">
      <c r="A709" s="25" t="s">
        <v>279</v>
      </c>
      <c r="B709" s="16">
        <v>907</v>
      </c>
      <c r="C709" s="20" t="s">
        <v>498</v>
      </c>
      <c r="D709" s="20" t="s">
        <v>125</v>
      </c>
      <c r="E709" s="20" t="s">
        <v>503</v>
      </c>
      <c r="F709" s="20" t="s">
        <v>280</v>
      </c>
      <c r="G709" s="26">
        <f>G710</f>
        <v>22376.400000000001</v>
      </c>
      <c r="H709" s="175"/>
    </row>
    <row r="710" spans="1:9" ht="15.75" x14ac:dyDescent="0.25">
      <c r="A710" s="25" t="s">
        <v>281</v>
      </c>
      <c r="B710" s="16">
        <v>907</v>
      </c>
      <c r="C710" s="20" t="s">
        <v>498</v>
      </c>
      <c r="D710" s="20" t="s">
        <v>125</v>
      </c>
      <c r="E710" s="20" t="s">
        <v>503</v>
      </c>
      <c r="F710" s="20" t="s">
        <v>282</v>
      </c>
      <c r="G710" s="162">
        <f>10890+1490.1+9887.3-199+308</f>
        <v>22376.400000000001</v>
      </c>
      <c r="H710" s="105" t="s">
        <v>743</v>
      </c>
      <c r="I710" s="124"/>
    </row>
    <row r="711" spans="1:9" ht="47.25" x14ac:dyDescent="0.25">
      <c r="A711" s="25" t="s">
        <v>285</v>
      </c>
      <c r="B711" s="16">
        <v>907</v>
      </c>
      <c r="C711" s="20" t="s">
        <v>498</v>
      </c>
      <c r="D711" s="20" t="s">
        <v>125</v>
      </c>
      <c r="E711" s="20" t="s">
        <v>504</v>
      </c>
      <c r="F711" s="20"/>
      <c r="G711" s="26">
        <f>G712</f>
        <v>297.5</v>
      </c>
      <c r="H711" s="175"/>
    </row>
    <row r="712" spans="1:9" ht="47.25" x14ac:dyDescent="0.25">
      <c r="A712" s="25" t="s">
        <v>279</v>
      </c>
      <c r="B712" s="16">
        <v>907</v>
      </c>
      <c r="C712" s="20" t="s">
        <v>498</v>
      </c>
      <c r="D712" s="20" t="s">
        <v>125</v>
      </c>
      <c r="E712" s="20" t="s">
        <v>504</v>
      </c>
      <c r="F712" s="20" t="s">
        <v>280</v>
      </c>
      <c r="G712" s="26">
        <f>G713</f>
        <v>297.5</v>
      </c>
      <c r="H712" s="175"/>
    </row>
    <row r="713" spans="1:9" ht="15.75" x14ac:dyDescent="0.25">
      <c r="A713" s="25" t="s">
        <v>281</v>
      </c>
      <c r="B713" s="16">
        <v>907</v>
      </c>
      <c r="C713" s="20" t="s">
        <v>498</v>
      </c>
      <c r="D713" s="20" t="s">
        <v>125</v>
      </c>
      <c r="E713" s="20" t="s">
        <v>504</v>
      </c>
      <c r="F713" s="20" t="s">
        <v>282</v>
      </c>
      <c r="G713" s="157">
        <f>797.5-500</f>
        <v>297.5</v>
      </c>
      <c r="H713" s="156" t="s">
        <v>741</v>
      </c>
    </row>
    <row r="714" spans="1:9" ht="31.5" hidden="1" x14ac:dyDescent="0.25">
      <c r="A714" s="25" t="s">
        <v>287</v>
      </c>
      <c r="B714" s="16">
        <v>907</v>
      </c>
      <c r="C714" s="20" t="s">
        <v>498</v>
      </c>
      <c r="D714" s="20" t="s">
        <v>125</v>
      </c>
      <c r="E714" s="20" t="s">
        <v>505</v>
      </c>
      <c r="F714" s="20"/>
      <c r="G714" s="26">
        <f>G715</f>
        <v>0</v>
      </c>
      <c r="H714" s="175"/>
    </row>
    <row r="715" spans="1:9" ht="47.25" hidden="1" x14ac:dyDescent="0.25">
      <c r="A715" s="25" t="s">
        <v>279</v>
      </c>
      <c r="B715" s="16">
        <v>907</v>
      </c>
      <c r="C715" s="20" t="s">
        <v>498</v>
      </c>
      <c r="D715" s="20" t="s">
        <v>125</v>
      </c>
      <c r="E715" s="20" t="s">
        <v>505</v>
      </c>
      <c r="F715" s="20" t="s">
        <v>280</v>
      </c>
      <c r="G715" s="26">
        <f>G716</f>
        <v>0</v>
      </c>
      <c r="H715" s="175"/>
    </row>
    <row r="716" spans="1:9" ht="15.75" hidden="1" x14ac:dyDescent="0.25">
      <c r="A716" s="25" t="s">
        <v>281</v>
      </c>
      <c r="B716" s="16">
        <v>907</v>
      </c>
      <c r="C716" s="20" t="s">
        <v>498</v>
      </c>
      <c r="D716" s="20" t="s">
        <v>125</v>
      </c>
      <c r="E716" s="20" t="s">
        <v>505</v>
      </c>
      <c r="F716" s="20" t="s">
        <v>282</v>
      </c>
      <c r="G716" s="26">
        <v>0</v>
      </c>
      <c r="H716" s="175"/>
    </row>
    <row r="717" spans="1:9" ht="31.5" hidden="1" x14ac:dyDescent="0.25">
      <c r="A717" s="25" t="s">
        <v>291</v>
      </c>
      <c r="B717" s="16">
        <v>907</v>
      </c>
      <c r="C717" s="20" t="s">
        <v>498</v>
      </c>
      <c r="D717" s="20" t="s">
        <v>125</v>
      </c>
      <c r="E717" s="20" t="s">
        <v>506</v>
      </c>
      <c r="F717" s="20"/>
      <c r="G717" s="26">
        <f>G718</f>
        <v>0</v>
      </c>
      <c r="H717" s="175"/>
    </row>
    <row r="718" spans="1:9" ht="47.25" hidden="1" x14ac:dyDescent="0.25">
      <c r="A718" s="25" t="s">
        <v>279</v>
      </c>
      <c r="B718" s="16">
        <v>907</v>
      </c>
      <c r="C718" s="20" t="s">
        <v>498</v>
      </c>
      <c r="D718" s="20" t="s">
        <v>125</v>
      </c>
      <c r="E718" s="20" t="s">
        <v>506</v>
      </c>
      <c r="F718" s="20" t="s">
        <v>280</v>
      </c>
      <c r="G718" s="26">
        <f>G719</f>
        <v>0</v>
      </c>
      <c r="H718" s="175"/>
    </row>
    <row r="719" spans="1:9" ht="15.75" hidden="1" x14ac:dyDescent="0.25">
      <c r="A719" s="25" t="s">
        <v>281</v>
      </c>
      <c r="B719" s="16">
        <v>907</v>
      </c>
      <c r="C719" s="20" t="s">
        <v>498</v>
      </c>
      <c r="D719" s="20" t="s">
        <v>125</v>
      </c>
      <c r="E719" s="20" t="s">
        <v>506</v>
      </c>
      <c r="F719" s="20" t="s">
        <v>282</v>
      </c>
      <c r="G719" s="26">
        <v>0</v>
      </c>
      <c r="H719" s="175"/>
    </row>
    <row r="720" spans="1:9" ht="15.75" x14ac:dyDescent="0.25">
      <c r="A720" s="25" t="s">
        <v>128</v>
      </c>
      <c r="B720" s="16">
        <v>907</v>
      </c>
      <c r="C720" s="20" t="s">
        <v>498</v>
      </c>
      <c r="D720" s="20" t="s">
        <v>125</v>
      </c>
      <c r="E720" s="20" t="s">
        <v>129</v>
      </c>
      <c r="F720" s="20"/>
      <c r="G720" s="26">
        <f>G721</f>
        <v>500</v>
      </c>
      <c r="H720" s="175"/>
    </row>
    <row r="721" spans="1:9" ht="31.5" x14ac:dyDescent="0.25">
      <c r="A721" s="25" t="s">
        <v>192</v>
      </c>
      <c r="B721" s="16">
        <v>907</v>
      </c>
      <c r="C721" s="20" t="s">
        <v>498</v>
      </c>
      <c r="D721" s="20" t="s">
        <v>125</v>
      </c>
      <c r="E721" s="20" t="s">
        <v>193</v>
      </c>
      <c r="F721" s="20"/>
      <c r="G721" s="26">
        <f>G722</f>
        <v>500</v>
      </c>
      <c r="H721" s="175"/>
    </row>
    <row r="722" spans="1:9" ht="31.5" x14ac:dyDescent="0.25">
      <c r="A722" s="25" t="s">
        <v>740</v>
      </c>
      <c r="B722" s="16">
        <v>907</v>
      </c>
      <c r="C722" s="20" t="s">
        <v>498</v>
      </c>
      <c r="D722" s="20" t="s">
        <v>125</v>
      </c>
      <c r="E722" s="20" t="s">
        <v>738</v>
      </c>
      <c r="F722" s="20"/>
      <c r="G722" s="26">
        <f>G724</f>
        <v>500</v>
      </c>
      <c r="H722" s="175"/>
    </row>
    <row r="723" spans="1:9" ht="47.25" x14ac:dyDescent="0.25">
      <c r="A723" s="25" t="s">
        <v>279</v>
      </c>
      <c r="B723" s="16">
        <v>907</v>
      </c>
      <c r="C723" s="20" t="s">
        <v>498</v>
      </c>
      <c r="D723" s="20" t="s">
        <v>125</v>
      </c>
      <c r="E723" s="20" t="s">
        <v>738</v>
      </c>
      <c r="F723" s="20" t="s">
        <v>280</v>
      </c>
      <c r="G723" s="26">
        <f>G724</f>
        <v>500</v>
      </c>
      <c r="H723" s="175"/>
    </row>
    <row r="724" spans="1:9" ht="15.75" x14ac:dyDescent="0.25">
      <c r="A724" s="25" t="s">
        <v>281</v>
      </c>
      <c r="B724" s="16">
        <v>907</v>
      </c>
      <c r="C724" s="20" t="s">
        <v>498</v>
      </c>
      <c r="D724" s="20" t="s">
        <v>125</v>
      </c>
      <c r="E724" s="20" t="s">
        <v>738</v>
      </c>
      <c r="F724" s="20" t="s">
        <v>282</v>
      </c>
      <c r="G724" s="157">
        <v>500</v>
      </c>
      <c r="H724" s="156" t="s">
        <v>742</v>
      </c>
    </row>
    <row r="725" spans="1:9" ht="31.5" x14ac:dyDescent="0.25">
      <c r="A725" s="23" t="s">
        <v>507</v>
      </c>
      <c r="B725" s="19">
        <v>907</v>
      </c>
      <c r="C725" s="24" t="s">
        <v>498</v>
      </c>
      <c r="D725" s="24" t="s">
        <v>241</v>
      </c>
      <c r="E725" s="24"/>
      <c r="F725" s="24"/>
      <c r="G725" s="21">
        <f>G733+G726</f>
        <v>11528.8</v>
      </c>
      <c r="H725" s="175"/>
    </row>
    <row r="726" spans="1:9" ht="47.25" x14ac:dyDescent="0.25">
      <c r="A726" s="29" t="s">
        <v>488</v>
      </c>
      <c r="B726" s="16">
        <v>907</v>
      </c>
      <c r="C726" s="20" t="s">
        <v>498</v>
      </c>
      <c r="D726" s="20" t="s">
        <v>241</v>
      </c>
      <c r="E726" s="40" t="s">
        <v>489</v>
      </c>
      <c r="F726" s="20"/>
      <c r="G726" s="26">
        <f>G727</f>
        <v>3047</v>
      </c>
      <c r="H726" s="175"/>
    </row>
    <row r="727" spans="1:9" ht="47.25" x14ac:dyDescent="0.25">
      <c r="A727" s="45" t="s">
        <v>508</v>
      </c>
      <c r="B727" s="16">
        <v>907</v>
      </c>
      <c r="C727" s="20" t="s">
        <v>498</v>
      </c>
      <c r="D727" s="20" t="s">
        <v>241</v>
      </c>
      <c r="E727" s="40" t="s">
        <v>509</v>
      </c>
      <c r="F727" s="20"/>
      <c r="G727" s="26">
        <f>G728</f>
        <v>3047</v>
      </c>
      <c r="H727" s="175"/>
    </row>
    <row r="728" spans="1:9" ht="31.5" x14ac:dyDescent="0.25">
      <c r="A728" s="29" t="s">
        <v>164</v>
      </c>
      <c r="B728" s="16">
        <v>907</v>
      </c>
      <c r="C728" s="20" t="s">
        <v>498</v>
      </c>
      <c r="D728" s="20" t="s">
        <v>241</v>
      </c>
      <c r="E728" s="40" t="s">
        <v>510</v>
      </c>
      <c r="F728" s="20"/>
      <c r="G728" s="26">
        <f>G731+G729</f>
        <v>3047</v>
      </c>
      <c r="H728" s="175"/>
    </row>
    <row r="729" spans="1:9" ht="94.5" x14ac:dyDescent="0.25">
      <c r="A729" s="25" t="s">
        <v>134</v>
      </c>
      <c r="B729" s="16">
        <v>907</v>
      </c>
      <c r="C729" s="20" t="s">
        <v>498</v>
      </c>
      <c r="D729" s="20" t="s">
        <v>241</v>
      </c>
      <c r="E729" s="40" t="s">
        <v>510</v>
      </c>
      <c r="F729" s="20" t="s">
        <v>135</v>
      </c>
      <c r="G729" s="26">
        <f>G730</f>
        <v>2111</v>
      </c>
      <c r="H729" s="175"/>
    </row>
    <row r="730" spans="1:9" ht="31.5" x14ac:dyDescent="0.25">
      <c r="A730" s="25" t="s">
        <v>136</v>
      </c>
      <c r="B730" s="16">
        <v>907</v>
      </c>
      <c r="C730" s="20" t="s">
        <v>498</v>
      </c>
      <c r="D730" s="20" t="s">
        <v>241</v>
      </c>
      <c r="E730" s="40" t="s">
        <v>510</v>
      </c>
      <c r="F730" s="20" t="s">
        <v>137</v>
      </c>
      <c r="G730" s="26">
        <v>2111</v>
      </c>
      <c r="H730" s="175"/>
      <c r="I730" s="114"/>
    </row>
    <row r="731" spans="1:9" ht="31.5" x14ac:dyDescent="0.25">
      <c r="A731" s="29" t="s">
        <v>138</v>
      </c>
      <c r="B731" s="16">
        <v>907</v>
      </c>
      <c r="C731" s="20" t="s">
        <v>498</v>
      </c>
      <c r="D731" s="20" t="s">
        <v>241</v>
      </c>
      <c r="E731" s="40" t="s">
        <v>510</v>
      </c>
      <c r="F731" s="20" t="s">
        <v>139</v>
      </c>
      <c r="G731" s="26">
        <f>G732</f>
        <v>936</v>
      </c>
      <c r="H731" s="175"/>
    </row>
    <row r="732" spans="1:9" ht="47.25" x14ac:dyDescent="0.25">
      <c r="A732" s="29" t="s">
        <v>140</v>
      </c>
      <c r="B732" s="16">
        <v>907</v>
      </c>
      <c r="C732" s="20" t="s">
        <v>498</v>
      </c>
      <c r="D732" s="20" t="s">
        <v>241</v>
      </c>
      <c r="E732" s="40" t="s">
        <v>510</v>
      </c>
      <c r="F732" s="20" t="s">
        <v>141</v>
      </c>
      <c r="G732" s="26">
        <f>3047-2111</f>
        <v>936</v>
      </c>
      <c r="H732" s="175"/>
      <c r="I732" s="114"/>
    </row>
    <row r="733" spans="1:9" ht="15.75" x14ac:dyDescent="0.25">
      <c r="A733" s="25" t="s">
        <v>128</v>
      </c>
      <c r="B733" s="16">
        <v>907</v>
      </c>
      <c r="C733" s="20" t="s">
        <v>498</v>
      </c>
      <c r="D733" s="20" t="s">
        <v>241</v>
      </c>
      <c r="E733" s="20" t="s">
        <v>129</v>
      </c>
      <c r="F733" s="20"/>
      <c r="G733" s="26">
        <f>G734+G740</f>
        <v>8481.7999999999993</v>
      </c>
      <c r="H733" s="175"/>
    </row>
    <row r="734" spans="1:9" ht="31.5" x14ac:dyDescent="0.25">
      <c r="A734" s="25" t="s">
        <v>130</v>
      </c>
      <c r="B734" s="16">
        <v>907</v>
      </c>
      <c r="C734" s="20" t="s">
        <v>498</v>
      </c>
      <c r="D734" s="20" t="s">
        <v>241</v>
      </c>
      <c r="E734" s="20" t="s">
        <v>131</v>
      </c>
      <c r="F734" s="20"/>
      <c r="G734" s="26">
        <f>G735</f>
        <v>3599.8</v>
      </c>
      <c r="H734" s="175"/>
    </row>
    <row r="735" spans="1:9" ht="47.25" x14ac:dyDescent="0.25">
      <c r="A735" s="25" t="s">
        <v>132</v>
      </c>
      <c r="B735" s="16">
        <v>907</v>
      </c>
      <c r="C735" s="20" t="s">
        <v>498</v>
      </c>
      <c r="D735" s="20" t="s">
        <v>241</v>
      </c>
      <c r="E735" s="20" t="s">
        <v>133</v>
      </c>
      <c r="F735" s="20"/>
      <c r="G735" s="26">
        <f>G736+G738</f>
        <v>3599.8</v>
      </c>
      <c r="H735" s="175"/>
    </row>
    <row r="736" spans="1:9" ht="94.5" x14ac:dyDescent="0.25">
      <c r="A736" s="25" t="s">
        <v>134</v>
      </c>
      <c r="B736" s="16">
        <v>907</v>
      </c>
      <c r="C736" s="20" t="s">
        <v>498</v>
      </c>
      <c r="D736" s="20" t="s">
        <v>241</v>
      </c>
      <c r="E736" s="20" t="s">
        <v>133</v>
      </c>
      <c r="F736" s="20" t="s">
        <v>135</v>
      </c>
      <c r="G736" s="26">
        <f>G737</f>
        <v>3599.8</v>
      </c>
      <c r="H736" s="175"/>
    </row>
    <row r="737" spans="1:12" ht="31.5" x14ac:dyDescent="0.25">
      <c r="A737" s="25" t="s">
        <v>136</v>
      </c>
      <c r="B737" s="16">
        <v>907</v>
      </c>
      <c r="C737" s="20" t="s">
        <v>498</v>
      </c>
      <c r="D737" s="20" t="s">
        <v>241</v>
      </c>
      <c r="E737" s="20" t="s">
        <v>133</v>
      </c>
      <c r="F737" s="20" t="s">
        <v>137</v>
      </c>
      <c r="G737" s="27">
        <v>3599.8</v>
      </c>
      <c r="H737" s="175"/>
    </row>
    <row r="738" spans="1:12" ht="31.5" hidden="1" x14ac:dyDescent="0.25">
      <c r="A738" s="25" t="s">
        <v>138</v>
      </c>
      <c r="B738" s="16">
        <v>907</v>
      </c>
      <c r="C738" s="20" t="s">
        <v>498</v>
      </c>
      <c r="D738" s="20" t="s">
        <v>241</v>
      </c>
      <c r="E738" s="20" t="s">
        <v>133</v>
      </c>
      <c r="F738" s="20" t="s">
        <v>139</v>
      </c>
      <c r="G738" s="26">
        <f>G739</f>
        <v>0</v>
      </c>
      <c r="H738" s="175"/>
    </row>
    <row r="739" spans="1:12" ht="47.25" hidden="1" x14ac:dyDescent="0.25">
      <c r="A739" s="25" t="s">
        <v>140</v>
      </c>
      <c r="B739" s="16">
        <v>907</v>
      </c>
      <c r="C739" s="20" t="s">
        <v>498</v>
      </c>
      <c r="D739" s="20" t="s">
        <v>241</v>
      </c>
      <c r="E739" s="20" t="s">
        <v>133</v>
      </c>
      <c r="F739" s="20" t="s">
        <v>141</v>
      </c>
      <c r="G739" s="26"/>
      <c r="H739" s="175"/>
    </row>
    <row r="740" spans="1:12" ht="15.75" x14ac:dyDescent="0.25">
      <c r="A740" s="25" t="s">
        <v>148</v>
      </c>
      <c r="B740" s="16">
        <v>907</v>
      </c>
      <c r="C740" s="20" t="s">
        <v>498</v>
      </c>
      <c r="D740" s="20" t="s">
        <v>241</v>
      </c>
      <c r="E740" s="20" t="s">
        <v>149</v>
      </c>
      <c r="F740" s="20"/>
      <c r="G740" s="26">
        <f>G741</f>
        <v>4882</v>
      </c>
      <c r="H740" s="175"/>
    </row>
    <row r="741" spans="1:12" ht="31.5" x14ac:dyDescent="0.25">
      <c r="A741" s="25" t="s">
        <v>347</v>
      </c>
      <c r="B741" s="16">
        <v>907</v>
      </c>
      <c r="C741" s="20" t="s">
        <v>498</v>
      </c>
      <c r="D741" s="20" t="s">
        <v>241</v>
      </c>
      <c r="E741" s="20" t="s">
        <v>348</v>
      </c>
      <c r="F741" s="20"/>
      <c r="G741" s="26">
        <f>G742+G744+G746</f>
        <v>4882</v>
      </c>
      <c r="H741" s="175"/>
      <c r="J741" s="472"/>
      <c r="K741" s="472"/>
    </row>
    <row r="742" spans="1:12" ht="94.5" x14ac:dyDescent="0.25">
      <c r="A742" s="25" t="s">
        <v>134</v>
      </c>
      <c r="B742" s="16">
        <v>907</v>
      </c>
      <c r="C742" s="20" t="s">
        <v>498</v>
      </c>
      <c r="D742" s="20" t="s">
        <v>241</v>
      </c>
      <c r="E742" s="20" t="s">
        <v>348</v>
      </c>
      <c r="F742" s="20" t="s">
        <v>135</v>
      </c>
      <c r="G742" s="26">
        <f>G743</f>
        <v>3660.7</v>
      </c>
      <c r="H742" s="175"/>
      <c r="J742" s="472"/>
      <c r="K742" s="472"/>
    </row>
    <row r="743" spans="1:12" ht="31.5" x14ac:dyDescent="0.25">
      <c r="A743" s="25" t="s">
        <v>349</v>
      </c>
      <c r="B743" s="16">
        <v>907</v>
      </c>
      <c r="C743" s="20" t="s">
        <v>498</v>
      </c>
      <c r="D743" s="20" t="s">
        <v>241</v>
      </c>
      <c r="E743" s="20" t="s">
        <v>348</v>
      </c>
      <c r="F743" s="20" t="s">
        <v>216</v>
      </c>
      <c r="G743" s="27">
        <f>4240.2-579.5</f>
        <v>3660.7</v>
      </c>
      <c r="H743" s="105"/>
      <c r="I743" s="123"/>
      <c r="J743" s="472"/>
      <c r="K743" s="472"/>
    </row>
    <row r="744" spans="1:12" ht="31.5" x14ac:dyDescent="0.25">
      <c r="A744" s="25" t="s">
        <v>138</v>
      </c>
      <c r="B744" s="16">
        <v>907</v>
      </c>
      <c r="C744" s="20" t="s">
        <v>498</v>
      </c>
      <c r="D744" s="20" t="s">
        <v>241</v>
      </c>
      <c r="E744" s="20" t="s">
        <v>348</v>
      </c>
      <c r="F744" s="20" t="s">
        <v>139</v>
      </c>
      <c r="G744" s="26">
        <f>G745</f>
        <v>1194.1999999999998</v>
      </c>
      <c r="H744" s="175"/>
      <c r="J744" s="472"/>
      <c r="K744" s="472"/>
    </row>
    <row r="745" spans="1:12" ht="47.25" x14ac:dyDescent="0.25">
      <c r="A745" s="25" t="s">
        <v>140</v>
      </c>
      <c r="B745" s="16">
        <v>907</v>
      </c>
      <c r="C745" s="20" t="s">
        <v>498</v>
      </c>
      <c r="D745" s="20" t="s">
        <v>241</v>
      </c>
      <c r="E745" s="20" t="s">
        <v>348</v>
      </c>
      <c r="F745" s="20" t="s">
        <v>141</v>
      </c>
      <c r="G745" s="27">
        <f>1339.6-145.4</f>
        <v>1194.1999999999998</v>
      </c>
      <c r="H745" s="105"/>
      <c r="I745" s="123"/>
      <c r="J745" s="472"/>
      <c r="K745" s="472"/>
    </row>
    <row r="746" spans="1:12" ht="15.75" x14ac:dyDescent="0.25">
      <c r="A746" s="25" t="s">
        <v>142</v>
      </c>
      <c r="B746" s="16">
        <v>907</v>
      </c>
      <c r="C746" s="20" t="s">
        <v>498</v>
      </c>
      <c r="D746" s="20" t="s">
        <v>241</v>
      </c>
      <c r="E746" s="20" t="s">
        <v>348</v>
      </c>
      <c r="F746" s="20" t="s">
        <v>152</v>
      </c>
      <c r="G746" s="26">
        <f>G747</f>
        <v>27.1</v>
      </c>
      <c r="H746" s="175"/>
      <c r="J746" s="472"/>
      <c r="K746" s="472"/>
    </row>
    <row r="747" spans="1:12" ht="15.75" x14ac:dyDescent="0.25">
      <c r="A747" s="25" t="s">
        <v>575</v>
      </c>
      <c r="B747" s="16">
        <v>907</v>
      </c>
      <c r="C747" s="20" t="s">
        <v>498</v>
      </c>
      <c r="D747" s="20" t="s">
        <v>241</v>
      </c>
      <c r="E747" s="20" t="s">
        <v>348</v>
      </c>
      <c r="F747" s="20" t="s">
        <v>145</v>
      </c>
      <c r="G747" s="26">
        <f>27.1</f>
        <v>27.1</v>
      </c>
      <c r="H747" s="105"/>
      <c r="I747" s="123"/>
      <c r="J747" s="472"/>
      <c r="K747" s="472"/>
    </row>
    <row r="748" spans="1:12" ht="47.25" x14ac:dyDescent="0.25">
      <c r="A748" s="19" t="s">
        <v>511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5"/>
      <c r="L748" s="115"/>
    </row>
    <row r="749" spans="1:12" ht="15.75" x14ac:dyDescent="0.25">
      <c r="A749" s="34" t="s">
        <v>124</v>
      </c>
      <c r="B749" s="19">
        <v>908</v>
      </c>
      <c r="C749" s="24" t="s">
        <v>125</v>
      </c>
      <c r="D749" s="20"/>
      <c r="E749" s="20"/>
      <c r="F749" s="20"/>
      <c r="G749" s="21">
        <f>G750</f>
        <v>16714.8</v>
      </c>
      <c r="H749" s="175"/>
      <c r="L749" s="115"/>
    </row>
    <row r="750" spans="1:12" ht="15.75" x14ac:dyDescent="0.25">
      <c r="A750" s="34" t="s">
        <v>146</v>
      </c>
      <c r="B750" s="19">
        <v>908</v>
      </c>
      <c r="C750" s="24" t="s">
        <v>125</v>
      </c>
      <c r="D750" s="24" t="s">
        <v>147</v>
      </c>
      <c r="E750" s="20"/>
      <c r="F750" s="20"/>
      <c r="G750" s="21">
        <f>G752+G755</f>
        <v>16714.8</v>
      </c>
      <c r="H750" s="175"/>
      <c r="L750" s="115"/>
    </row>
    <row r="751" spans="1:12" ht="15.75" x14ac:dyDescent="0.25">
      <c r="A751" s="25" t="s">
        <v>148</v>
      </c>
      <c r="B751" s="16">
        <v>908</v>
      </c>
      <c r="C751" s="20" t="s">
        <v>125</v>
      </c>
      <c r="D751" s="20" t="s">
        <v>147</v>
      </c>
      <c r="E751" s="20" t="s">
        <v>149</v>
      </c>
      <c r="F751" s="20"/>
      <c r="G751" s="26">
        <f>G752</f>
        <v>262.5</v>
      </c>
      <c r="H751" s="175"/>
      <c r="L751" s="115"/>
    </row>
    <row r="752" spans="1:12" ht="15.75" x14ac:dyDescent="0.25">
      <c r="A752" s="25" t="s">
        <v>150</v>
      </c>
      <c r="B752" s="16">
        <v>908</v>
      </c>
      <c r="C752" s="20" t="s">
        <v>125</v>
      </c>
      <c r="D752" s="20" t="s">
        <v>147</v>
      </c>
      <c r="E752" s="20" t="s">
        <v>151</v>
      </c>
      <c r="F752" s="20"/>
      <c r="G752" s="26">
        <f>G753</f>
        <v>262.5</v>
      </c>
      <c r="H752" s="175"/>
      <c r="L752" s="115"/>
    </row>
    <row r="753" spans="1:12" ht="15.75" x14ac:dyDescent="0.25">
      <c r="A753" s="25" t="s">
        <v>142</v>
      </c>
      <c r="B753" s="16">
        <v>908</v>
      </c>
      <c r="C753" s="20" t="s">
        <v>125</v>
      </c>
      <c r="D753" s="20" t="s">
        <v>147</v>
      </c>
      <c r="E753" s="20" t="s">
        <v>151</v>
      </c>
      <c r="F753" s="20" t="s">
        <v>152</v>
      </c>
      <c r="G753" s="26">
        <f>G754</f>
        <v>262.5</v>
      </c>
      <c r="H753" s="175"/>
      <c r="L753" s="115"/>
    </row>
    <row r="754" spans="1:12" ht="15.75" x14ac:dyDescent="0.25">
      <c r="A754" s="25" t="s">
        <v>575</v>
      </c>
      <c r="B754" s="16">
        <v>908</v>
      </c>
      <c r="C754" s="20" t="s">
        <v>125</v>
      </c>
      <c r="D754" s="20" t="s">
        <v>147</v>
      </c>
      <c r="E754" s="20" t="s">
        <v>151</v>
      </c>
      <c r="F754" s="20" t="s">
        <v>145</v>
      </c>
      <c r="G754" s="26">
        <v>262.5</v>
      </c>
      <c r="H754" s="105"/>
      <c r="I754" s="123"/>
      <c r="L754" s="115"/>
    </row>
    <row r="755" spans="1:12" ht="31.5" x14ac:dyDescent="0.25">
      <c r="A755" s="25" t="s">
        <v>591</v>
      </c>
      <c r="B755" s="16">
        <v>908</v>
      </c>
      <c r="C755" s="20" t="s">
        <v>125</v>
      </c>
      <c r="D755" s="20" t="s">
        <v>147</v>
      </c>
      <c r="E755" s="20" t="s">
        <v>592</v>
      </c>
      <c r="F755" s="20"/>
      <c r="G755" s="27">
        <f>G756</f>
        <v>16452.3</v>
      </c>
      <c r="H755" s="175"/>
    </row>
    <row r="756" spans="1:12" ht="31.5" x14ac:dyDescent="0.25">
      <c r="A756" s="25" t="s">
        <v>317</v>
      </c>
      <c r="B756" s="16">
        <v>908</v>
      </c>
      <c r="C756" s="20" t="s">
        <v>125</v>
      </c>
      <c r="D756" s="20" t="s">
        <v>147</v>
      </c>
      <c r="E756" s="20" t="s">
        <v>593</v>
      </c>
      <c r="F756" s="20"/>
      <c r="G756" s="27">
        <f>G757+G759+G761</f>
        <v>16452.3</v>
      </c>
      <c r="H756" s="175"/>
    </row>
    <row r="757" spans="1:12" ht="94.5" x14ac:dyDescent="0.25">
      <c r="A757" s="25" t="s">
        <v>134</v>
      </c>
      <c r="B757" s="16">
        <v>908</v>
      </c>
      <c r="C757" s="20" t="s">
        <v>125</v>
      </c>
      <c r="D757" s="20" t="s">
        <v>147</v>
      </c>
      <c r="E757" s="20" t="s">
        <v>593</v>
      </c>
      <c r="F757" s="20" t="s">
        <v>135</v>
      </c>
      <c r="G757" s="27">
        <f>G758</f>
        <v>13760</v>
      </c>
      <c r="H757" s="175"/>
    </row>
    <row r="758" spans="1:12" ht="31.5" x14ac:dyDescent="0.25">
      <c r="A758" s="46" t="s">
        <v>349</v>
      </c>
      <c r="B758" s="16">
        <v>908</v>
      </c>
      <c r="C758" s="20" t="s">
        <v>125</v>
      </c>
      <c r="D758" s="20" t="s">
        <v>147</v>
      </c>
      <c r="E758" s="20" t="s">
        <v>593</v>
      </c>
      <c r="F758" s="20" t="s">
        <v>216</v>
      </c>
      <c r="G758" s="165">
        <f>13403.8+356.2</f>
        <v>13760</v>
      </c>
      <c r="H758" s="105" t="s">
        <v>752</v>
      </c>
      <c r="I758" s="123"/>
      <c r="L758" s="115"/>
    </row>
    <row r="759" spans="1:12" ht="31.5" x14ac:dyDescent="0.25">
      <c r="A759" s="25" t="s">
        <v>138</v>
      </c>
      <c r="B759" s="16">
        <v>908</v>
      </c>
      <c r="C759" s="20" t="s">
        <v>125</v>
      </c>
      <c r="D759" s="20" t="s">
        <v>147</v>
      </c>
      <c r="E759" s="20" t="s">
        <v>593</v>
      </c>
      <c r="F759" s="20" t="s">
        <v>139</v>
      </c>
      <c r="G759" s="27">
        <f>G760</f>
        <v>2678</v>
      </c>
      <c r="H759" s="175"/>
      <c r="L759" s="115"/>
    </row>
    <row r="760" spans="1:12" ht="47.25" x14ac:dyDescent="0.25">
      <c r="A760" s="25" t="s">
        <v>140</v>
      </c>
      <c r="B760" s="16">
        <v>908</v>
      </c>
      <c r="C760" s="20" t="s">
        <v>125</v>
      </c>
      <c r="D760" s="20" t="s">
        <v>147</v>
      </c>
      <c r="E760" s="20" t="s">
        <v>593</v>
      </c>
      <c r="F760" s="20" t="s">
        <v>141</v>
      </c>
      <c r="G760" s="165">
        <f>3034.2-356.2</f>
        <v>2678</v>
      </c>
      <c r="H760" s="105" t="s">
        <v>753</v>
      </c>
      <c r="I760" s="123"/>
      <c r="L760" s="115"/>
    </row>
    <row r="761" spans="1:12" ht="15.75" x14ac:dyDescent="0.25">
      <c r="A761" s="25" t="s">
        <v>142</v>
      </c>
      <c r="B761" s="16">
        <v>908</v>
      </c>
      <c r="C761" s="20" t="s">
        <v>125</v>
      </c>
      <c r="D761" s="20" t="s">
        <v>147</v>
      </c>
      <c r="E761" s="20" t="s">
        <v>593</v>
      </c>
      <c r="F761" s="20" t="s">
        <v>152</v>
      </c>
      <c r="G761" s="27">
        <f>G762</f>
        <v>14.3</v>
      </c>
      <c r="H761" s="175"/>
      <c r="L761" s="115"/>
    </row>
    <row r="762" spans="1:12" ht="15.75" x14ac:dyDescent="0.25">
      <c r="A762" s="25" t="s">
        <v>714</v>
      </c>
      <c r="B762" s="16">
        <v>908</v>
      </c>
      <c r="C762" s="20" t="s">
        <v>125</v>
      </c>
      <c r="D762" s="20" t="s">
        <v>147</v>
      </c>
      <c r="E762" s="20" t="s">
        <v>593</v>
      </c>
      <c r="F762" s="20" t="s">
        <v>145</v>
      </c>
      <c r="G762" s="27">
        <v>14.3</v>
      </c>
      <c r="H762" s="105"/>
      <c r="I762" s="123"/>
      <c r="L762" s="115"/>
    </row>
    <row r="763" spans="1:12" ht="31.5" x14ac:dyDescent="0.25">
      <c r="A763" s="23" t="s">
        <v>229</v>
      </c>
      <c r="B763" s="19">
        <v>908</v>
      </c>
      <c r="C763" s="24" t="s">
        <v>222</v>
      </c>
      <c r="D763" s="24"/>
      <c r="E763" s="24"/>
      <c r="F763" s="24"/>
      <c r="G763" s="21">
        <f t="shared" ref="G763:G768" si="4">G764</f>
        <v>50</v>
      </c>
      <c r="H763" s="175"/>
    </row>
    <row r="764" spans="1:12" ht="63" x14ac:dyDescent="0.25">
      <c r="A764" s="23" t="s">
        <v>230</v>
      </c>
      <c r="B764" s="19">
        <v>908</v>
      </c>
      <c r="C764" s="24" t="s">
        <v>222</v>
      </c>
      <c r="D764" s="24" t="s">
        <v>226</v>
      </c>
      <c r="E764" s="24"/>
      <c r="F764" s="24"/>
      <c r="G764" s="21">
        <f t="shared" si="4"/>
        <v>50</v>
      </c>
      <c r="H764" s="175"/>
    </row>
    <row r="765" spans="1:12" ht="21.75" customHeight="1" x14ac:dyDescent="0.25">
      <c r="A765" s="25" t="s">
        <v>128</v>
      </c>
      <c r="B765" s="16">
        <v>908</v>
      </c>
      <c r="C765" s="20" t="s">
        <v>222</v>
      </c>
      <c r="D765" s="20" t="s">
        <v>226</v>
      </c>
      <c r="E765" s="20" t="s">
        <v>129</v>
      </c>
      <c r="F765" s="20"/>
      <c r="G765" s="26">
        <f t="shared" si="4"/>
        <v>50</v>
      </c>
      <c r="H765" s="175"/>
    </row>
    <row r="766" spans="1:12" ht="15.75" x14ac:dyDescent="0.25">
      <c r="A766" s="25" t="s">
        <v>148</v>
      </c>
      <c r="B766" s="16">
        <v>908</v>
      </c>
      <c r="C766" s="20" t="s">
        <v>222</v>
      </c>
      <c r="D766" s="20" t="s">
        <v>226</v>
      </c>
      <c r="E766" s="20" t="s">
        <v>149</v>
      </c>
      <c r="F766" s="20"/>
      <c r="G766" s="26">
        <f t="shared" si="4"/>
        <v>50</v>
      </c>
      <c r="H766" s="175"/>
    </row>
    <row r="767" spans="1:12" ht="15.75" x14ac:dyDescent="0.25">
      <c r="A767" s="25" t="s">
        <v>237</v>
      </c>
      <c r="B767" s="16">
        <v>908</v>
      </c>
      <c r="C767" s="20" t="s">
        <v>222</v>
      </c>
      <c r="D767" s="20" t="s">
        <v>226</v>
      </c>
      <c r="E767" s="20" t="s">
        <v>238</v>
      </c>
      <c r="F767" s="20"/>
      <c r="G767" s="26">
        <f t="shared" si="4"/>
        <v>50</v>
      </c>
      <c r="H767" s="175"/>
    </row>
    <row r="768" spans="1:12" ht="31.5" x14ac:dyDescent="0.25">
      <c r="A768" s="25" t="s">
        <v>138</v>
      </c>
      <c r="B768" s="16">
        <v>908</v>
      </c>
      <c r="C768" s="20" t="s">
        <v>222</v>
      </c>
      <c r="D768" s="20" t="s">
        <v>226</v>
      </c>
      <c r="E768" s="20" t="s">
        <v>238</v>
      </c>
      <c r="F768" s="20" t="s">
        <v>139</v>
      </c>
      <c r="G768" s="26">
        <f t="shared" si="4"/>
        <v>50</v>
      </c>
      <c r="H768" s="175"/>
    </row>
    <row r="769" spans="1:9" ht="47.25" x14ac:dyDescent="0.25">
      <c r="A769" s="25" t="s">
        <v>140</v>
      </c>
      <c r="B769" s="16">
        <v>908</v>
      </c>
      <c r="C769" s="20" t="s">
        <v>222</v>
      </c>
      <c r="D769" s="20" t="s">
        <v>226</v>
      </c>
      <c r="E769" s="20" t="s">
        <v>238</v>
      </c>
      <c r="F769" s="20" t="s">
        <v>141</v>
      </c>
      <c r="G769" s="26">
        <v>50</v>
      </c>
      <c r="H769" s="175"/>
    </row>
    <row r="770" spans="1:9" ht="15.75" x14ac:dyDescent="0.25">
      <c r="A770" s="23" t="s">
        <v>239</v>
      </c>
      <c r="B770" s="19">
        <v>908</v>
      </c>
      <c r="C770" s="24" t="s">
        <v>157</v>
      </c>
      <c r="D770" s="24"/>
      <c r="E770" s="24"/>
      <c r="F770" s="24"/>
      <c r="G770" s="21">
        <f>G771+G777</f>
        <v>18331.8</v>
      </c>
      <c r="H770" s="175"/>
    </row>
    <row r="771" spans="1:9" ht="15.75" x14ac:dyDescent="0.25">
      <c r="A771" s="23" t="s">
        <v>512</v>
      </c>
      <c r="B771" s="19">
        <v>908</v>
      </c>
      <c r="C771" s="24" t="s">
        <v>157</v>
      </c>
      <c r="D771" s="24" t="s">
        <v>306</v>
      </c>
      <c r="E771" s="24"/>
      <c r="F771" s="24"/>
      <c r="G771" s="21">
        <f>G772</f>
        <v>3207.7</v>
      </c>
      <c r="H771" s="175"/>
    </row>
    <row r="772" spans="1:9" ht="15.75" x14ac:dyDescent="0.25">
      <c r="A772" s="25" t="s">
        <v>128</v>
      </c>
      <c r="B772" s="16">
        <v>908</v>
      </c>
      <c r="C772" s="20" t="s">
        <v>157</v>
      </c>
      <c r="D772" s="20" t="s">
        <v>306</v>
      </c>
      <c r="E772" s="20" t="s">
        <v>129</v>
      </c>
      <c r="F772" s="24"/>
      <c r="G772" s="26">
        <f>G773</f>
        <v>3207.7</v>
      </c>
      <c r="H772" s="175"/>
    </row>
    <row r="773" spans="1:9" ht="15.75" x14ac:dyDescent="0.25">
      <c r="A773" s="25" t="s">
        <v>148</v>
      </c>
      <c r="B773" s="16">
        <v>908</v>
      </c>
      <c r="C773" s="20" t="s">
        <v>157</v>
      </c>
      <c r="D773" s="20" t="s">
        <v>306</v>
      </c>
      <c r="E773" s="20" t="s">
        <v>149</v>
      </c>
      <c r="F773" s="24"/>
      <c r="G773" s="26">
        <f>G774</f>
        <v>3207.7</v>
      </c>
      <c r="H773" s="175"/>
    </row>
    <row r="774" spans="1:9" ht="39.200000000000003" customHeight="1" x14ac:dyDescent="0.25">
      <c r="A774" s="25" t="s">
        <v>513</v>
      </c>
      <c r="B774" s="16">
        <v>908</v>
      </c>
      <c r="C774" s="20" t="s">
        <v>157</v>
      </c>
      <c r="D774" s="20" t="s">
        <v>306</v>
      </c>
      <c r="E774" s="20" t="s">
        <v>514</v>
      </c>
      <c r="F774" s="20"/>
      <c r="G774" s="26">
        <f>G775</f>
        <v>3207.7</v>
      </c>
      <c r="H774" s="175"/>
    </row>
    <row r="775" spans="1:9" ht="31.5" x14ac:dyDescent="0.25">
      <c r="A775" s="25" t="s">
        <v>138</v>
      </c>
      <c r="B775" s="16">
        <v>908</v>
      </c>
      <c r="C775" s="20" t="s">
        <v>157</v>
      </c>
      <c r="D775" s="20" t="s">
        <v>306</v>
      </c>
      <c r="E775" s="20" t="s">
        <v>514</v>
      </c>
      <c r="F775" s="20" t="s">
        <v>139</v>
      </c>
      <c r="G775" s="26">
        <f>G776</f>
        <v>3207.7</v>
      </c>
      <c r="H775" s="175"/>
    </row>
    <row r="776" spans="1:9" ht="47.25" x14ac:dyDescent="0.25">
      <c r="A776" s="25" t="s">
        <v>140</v>
      </c>
      <c r="B776" s="16">
        <v>908</v>
      </c>
      <c r="C776" s="20" t="s">
        <v>157</v>
      </c>
      <c r="D776" s="20" t="s">
        <v>306</v>
      </c>
      <c r="E776" s="20" t="s">
        <v>514</v>
      </c>
      <c r="F776" s="20" t="s">
        <v>141</v>
      </c>
      <c r="G776" s="26">
        <v>3207.7</v>
      </c>
      <c r="H776" s="175"/>
    </row>
    <row r="777" spans="1:9" ht="15.75" x14ac:dyDescent="0.25">
      <c r="A777" s="23" t="s">
        <v>515</v>
      </c>
      <c r="B777" s="19">
        <v>908</v>
      </c>
      <c r="C777" s="24" t="s">
        <v>157</v>
      </c>
      <c r="D777" s="24" t="s">
        <v>226</v>
      </c>
      <c r="E777" s="20"/>
      <c r="F777" s="24"/>
      <c r="G777" s="21">
        <f>G778</f>
        <v>15124.1</v>
      </c>
      <c r="H777" s="175"/>
    </row>
    <row r="778" spans="1:9" ht="47.25" x14ac:dyDescent="0.25">
      <c r="A778" s="31" t="s">
        <v>516</v>
      </c>
      <c r="B778" s="16">
        <v>908</v>
      </c>
      <c r="C778" s="20" t="s">
        <v>157</v>
      </c>
      <c r="D778" s="20" t="s">
        <v>226</v>
      </c>
      <c r="E778" s="20" t="s">
        <v>517</v>
      </c>
      <c r="F778" s="20"/>
      <c r="G778" s="26">
        <f>G779</f>
        <v>15124.1</v>
      </c>
      <c r="H778" s="175"/>
    </row>
    <row r="779" spans="1:9" ht="15.75" x14ac:dyDescent="0.25">
      <c r="A779" s="29" t="s">
        <v>518</v>
      </c>
      <c r="B779" s="16">
        <v>908</v>
      </c>
      <c r="C779" s="20" t="s">
        <v>157</v>
      </c>
      <c r="D779" s="20" t="s">
        <v>226</v>
      </c>
      <c r="E779" s="40" t="s">
        <v>519</v>
      </c>
      <c r="F779" s="20"/>
      <c r="G779" s="26">
        <f>G780+G782</f>
        <v>15124.1</v>
      </c>
      <c r="H779" s="175"/>
    </row>
    <row r="780" spans="1:9" ht="31.5" x14ac:dyDescent="0.25">
      <c r="A780" s="25" t="s">
        <v>138</v>
      </c>
      <c r="B780" s="16">
        <v>908</v>
      </c>
      <c r="C780" s="20" t="s">
        <v>157</v>
      </c>
      <c r="D780" s="20" t="s">
        <v>226</v>
      </c>
      <c r="E780" s="40" t="s">
        <v>519</v>
      </c>
      <c r="F780" s="20" t="s">
        <v>139</v>
      </c>
      <c r="G780" s="26">
        <f>G781</f>
        <v>15108.1</v>
      </c>
      <c r="H780" s="175"/>
    </row>
    <row r="781" spans="1:9" ht="47.25" x14ac:dyDescent="0.25">
      <c r="A781" s="25" t="s">
        <v>140</v>
      </c>
      <c r="B781" s="16">
        <v>908</v>
      </c>
      <c r="C781" s="20" t="s">
        <v>157</v>
      </c>
      <c r="D781" s="20" t="s">
        <v>226</v>
      </c>
      <c r="E781" s="40" t="s">
        <v>519</v>
      </c>
      <c r="F781" s="20" t="s">
        <v>141</v>
      </c>
      <c r="G781" s="26">
        <f>15124.1-10-6</f>
        <v>15108.1</v>
      </c>
      <c r="H781" s="119" t="s">
        <v>772</v>
      </c>
    </row>
    <row r="782" spans="1:9" ht="15.75" x14ac:dyDescent="0.25">
      <c r="A782" s="25" t="s">
        <v>142</v>
      </c>
      <c r="B782" s="16">
        <v>908</v>
      </c>
      <c r="C782" s="20" t="s">
        <v>157</v>
      </c>
      <c r="D782" s="20" t="s">
        <v>226</v>
      </c>
      <c r="E782" s="40" t="s">
        <v>519</v>
      </c>
      <c r="F782" s="20" t="s">
        <v>152</v>
      </c>
      <c r="G782" s="26">
        <f>G783</f>
        <v>16</v>
      </c>
      <c r="H782" s="175"/>
    </row>
    <row r="783" spans="1:9" ht="15.75" x14ac:dyDescent="0.25">
      <c r="A783" s="25" t="s">
        <v>575</v>
      </c>
      <c r="B783" s="16">
        <v>908</v>
      </c>
      <c r="C783" s="20" t="s">
        <v>157</v>
      </c>
      <c r="D783" s="20" t="s">
        <v>226</v>
      </c>
      <c r="E783" s="40" t="s">
        <v>519</v>
      </c>
      <c r="F783" s="20" t="s">
        <v>145</v>
      </c>
      <c r="G783" s="26">
        <f>10+6</f>
        <v>16</v>
      </c>
      <c r="H783" s="156" t="s">
        <v>773</v>
      </c>
    </row>
    <row r="784" spans="1:9" ht="15.75" x14ac:dyDescent="0.25">
      <c r="A784" s="23" t="s">
        <v>397</v>
      </c>
      <c r="B784" s="19">
        <v>908</v>
      </c>
      <c r="C784" s="24" t="s">
        <v>241</v>
      </c>
      <c r="D784" s="24"/>
      <c r="E784" s="24"/>
      <c r="F784" s="24"/>
      <c r="G784" s="21">
        <f>G785+G800+G847+G899</f>
        <v>108065.79000000001</v>
      </c>
      <c r="H784" s="175"/>
      <c r="I784" s="113"/>
    </row>
    <row r="785" spans="1:12" ht="15.75" x14ac:dyDescent="0.25">
      <c r="A785" s="23" t="s">
        <v>398</v>
      </c>
      <c r="B785" s="19">
        <v>908</v>
      </c>
      <c r="C785" s="24" t="s">
        <v>241</v>
      </c>
      <c r="D785" s="24" t="s">
        <v>125</v>
      </c>
      <c r="E785" s="24"/>
      <c r="F785" s="24"/>
      <c r="G785" s="21">
        <f>G786</f>
        <v>7765.4000000000005</v>
      </c>
      <c r="H785" s="175"/>
    </row>
    <row r="786" spans="1:12" ht="15.75" x14ac:dyDescent="0.25">
      <c r="A786" s="25" t="s">
        <v>128</v>
      </c>
      <c r="B786" s="16">
        <v>908</v>
      </c>
      <c r="C786" s="20" t="s">
        <v>241</v>
      </c>
      <c r="D786" s="20" t="s">
        <v>125</v>
      </c>
      <c r="E786" s="20" t="s">
        <v>129</v>
      </c>
      <c r="F786" s="20"/>
      <c r="G786" s="26">
        <f>G791</f>
        <v>7765.4000000000005</v>
      </c>
      <c r="H786" s="175"/>
    </row>
    <row r="787" spans="1:12" ht="31.5" hidden="1" x14ac:dyDescent="0.25">
      <c r="A787" s="25" t="s">
        <v>192</v>
      </c>
      <c r="B787" s="16">
        <v>908</v>
      </c>
      <c r="C787" s="20" t="s">
        <v>241</v>
      </c>
      <c r="D787" s="20" t="s">
        <v>125</v>
      </c>
      <c r="E787" s="20" t="s">
        <v>193</v>
      </c>
      <c r="F787" s="20"/>
      <c r="G787" s="26">
        <f>G788</f>
        <v>0</v>
      </c>
      <c r="H787" s="175"/>
    </row>
    <row r="788" spans="1:12" ht="15.75" hidden="1" x14ac:dyDescent="0.25">
      <c r="A788" s="25" t="s">
        <v>520</v>
      </c>
      <c r="B788" s="16">
        <v>908</v>
      </c>
      <c r="C788" s="20" t="s">
        <v>241</v>
      </c>
      <c r="D788" s="20" t="s">
        <v>125</v>
      </c>
      <c r="E788" s="20" t="s">
        <v>521</v>
      </c>
      <c r="F788" s="20"/>
      <c r="G788" s="26">
        <f>G789</f>
        <v>0</v>
      </c>
      <c r="H788" s="175"/>
    </row>
    <row r="789" spans="1:12" ht="15.75" hidden="1" x14ac:dyDescent="0.25">
      <c r="A789" s="25" t="s">
        <v>142</v>
      </c>
      <c r="B789" s="16">
        <v>908</v>
      </c>
      <c r="C789" s="20" t="s">
        <v>241</v>
      </c>
      <c r="D789" s="20" t="s">
        <v>125</v>
      </c>
      <c r="E789" s="20" t="s">
        <v>521</v>
      </c>
      <c r="F789" s="20" t="s">
        <v>152</v>
      </c>
      <c r="G789" s="26">
        <f>G790</f>
        <v>0</v>
      </c>
      <c r="H789" s="175"/>
    </row>
    <row r="790" spans="1:12" ht="63" hidden="1" x14ac:dyDescent="0.25">
      <c r="A790" s="25" t="s">
        <v>191</v>
      </c>
      <c r="B790" s="16">
        <v>908</v>
      </c>
      <c r="C790" s="20" t="s">
        <v>241</v>
      </c>
      <c r="D790" s="20" t="s">
        <v>125</v>
      </c>
      <c r="E790" s="20" t="s">
        <v>521</v>
      </c>
      <c r="F790" s="20" t="s">
        <v>167</v>
      </c>
      <c r="G790" s="26">
        <v>0</v>
      </c>
      <c r="H790" s="175"/>
    </row>
    <row r="791" spans="1:12" ht="15.75" x14ac:dyDescent="0.25">
      <c r="A791" s="25" t="s">
        <v>148</v>
      </c>
      <c r="B791" s="16">
        <v>908</v>
      </c>
      <c r="C791" s="20" t="s">
        <v>241</v>
      </c>
      <c r="D791" s="20" t="s">
        <v>125</v>
      </c>
      <c r="E791" s="20" t="s">
        <v>149</v>
      </c>
      <c r="F791" s="24"/>
      <c r="G791" s="26">
        <f>G792+G797</f>
        <v>7765.4000000000005</v>
      </c>
      <c r="H791" s="175"/>
    </row>
    <row r="792" spans="1:12" ht="15.75" x14ac:dyDescent="0.25">
      <c r="A792" s="25" t="s">
        <v>522</v>
      </c>
      <c r="B792" s="16">
        <v>908</v>
      </c>
      <c r="C792" s="20" t="s">
        <v>241</v>
      </c>
      <c r="D792" s="20" t="s">
        <v>125</v>
      </c>
      <c r="E792" s="20" t="s">
        <v>523</v>
      </c>
      <c r="F792" s="24"/>
      <c r="G792" s="26">
        <f>G795+G793</f>
        <v>3531.3</v>
      </c>
      <c r="H792" s="175"/>
    </row>
    <row r="793" spans="1:12" ht="31.5" x14ac:dyDescent="0.25">
      <c r="A793" s="25" t="s">
        <v>138</v>
      </c>
      <c r="B793" s="16">
        <v>908</v>
      </c>
      <c r="C793" s="20" t="s">
        <v>241</v>
      </c>
      <c r="D793" s="20" t="s">
        <v>125</v>
      </c>
      <c r="E793" s="20" t="s">
        <v>523</v>
      </c>
      <c r="F793" s="20" t="s">
        <v>139</v>
      </c>
      <c r="G793" s="26">
        <f>G794</f>
        <v>1131.3</v>
      </c>
      <c r="H793" s="175"/>
    </row>
    <row r="794" spans="1:12" ht="47.25" x14ac:dyDescent="0.25">
      <c r="A794" s="25" t="s">
        <v>140</v>
      </c>
      <c r="B794" s="16">
        <v>908</v>
      </c>
      <c r="C794" s="20" t="s">
        <v>241</v>
      </c>
      <c r="D794" s="20" t="s">
        <v>125</v>
      </c>
      <c r="E794" s="20" t="s">
        <v>523</v>
      </c>
      <c r="F794" s="20" t="s">
        <v>141</v>
      </c>
      <c r="G794" s="26">
        <v>1131.3</v>
      </c>
      <c r="H794" s="105"/>
      <c r="I794" s="124"/>
    </row>
    <row r="795" spans="1:12" ht="15.75" x14ac:dyDescent="0.25">
      <c r="A795" s="25" t="s">
        <v>142</v>
      </c>
      <c r="B795" s="16">
        <v>908</v>
      </c>
      <c r="C795" s="20" t="s">
        <v>241</v>
      </c>
      <c r="D795" s="20" t="s">
        <v>125</v>
      </c>
      <c r="E795" s="20" t="s">
        <v>523</v>
      </c>
      <c r="F795" s="20" t="s">
        <v>152</v>
      </c>
      <c r="G795" s="26">
        <f>G796</f>
        <v>2400</v>
      </c>
      <c r="H795" s="175"/>
    </row>
    <row r="796" spans="1:12" ht="63" x14ac:dyDescent="0.25">
      <c r="A796" s="25" t="s">
        <v>191</v>
      </c>
      <c r="B796" s="16">
        <v>908</v>
      </c>
      <c r="C796" s="20" t="s">
        <v>241</v>
      </c>
      <c r="D796" s="20" t="s">
        <v>125</v>
      </c>
      <c r="E796" s="20" t="s">
        <v>523</v>
      </c>
      <c r="F796" s="20" t="s">
        <v>167</v>
      </c>
      <c r="G796" s="26">
        <f>1500+900</f>
        <v>2400</v>
      </c>
      <c r="H796" s="175"/>
      <c r="I796" s="114"/>
    </row>
    <row r="797" spans="1:12" ht="31.5" x14ac:dyDescent="0.25">
      <c r="A797" s="29" t="s">
        <v>405</v>
      </c>
      <c r="B797" s="16">
        <v>908</v>
      </c>
      <c r="C797" s="20" t="s">
        <v>241</v>
      </c>
      <c r="D797" s="20" t="s">
        <v>125</v>
      </c>
      <c r="E797" s="20" t="s">
        <v>406</v>
      </c>
      <c r="F797" s="24"/>
      <c r="G797" s="26">
        <f>G798</f>
        <v>4234.1000000000004</v>
      </c>
      <c r="H797" s="175"/>
    </row>
    <row r="798" spans="1:12" ht="31.5" x14ac:dyDescent="0.25">
      <c r="A798" s="25" t="s">
        <v>138</v>
      </c>
      <c r="B798" s="16">
        <v>908</v>
      </c>
      <c r="C798" s="20" t="s">
        <v>241</v>
      </c>
      <c r="D798" s="20" t="s">
        <v>125</v>
      </c>
      <c r="E798" s="20" t="s">
        <v>406</v>
      </c>
      <c r="F798" s="20" t="s">
        <v>139</v>
      </c>
      <c r="G798" s="26">
        <f>G799</f>
        <v>4234.1000000000004</v>
      </c>
      <c r="H798" s="175"/>
    </row>
    <row r="799" spans="1:12" ht="47.25" x14ac:dyDescent="0.25">
      <c r="A799" s="25" t="s">
        <v>140</v>
      </c>
      <c r="B799" s="16">
        <v>908</v>
      </c>
      <c r="C799" s="20" t="s">
        <v>241</v>
      </c>
      <c r="D799" s="20" t="s">
        <v>125</v>
      </c>
      <c r="E799" s="20" t="s">
        <v>406</v>
      </c>
      <c r="F799" s="20" t="s">
        <v>141</v>
      </c>
      <c r="G799" s="27">
        <f>3811.8+422.3</f>
        <v>4234.1000000000004</v>
      </c>
      <c r="H799" s="175"/>
    </row>
    <row r="800" spans="1:12" ht="15.75" x14ac:dyDescent="0.25">
      <c r="A800" s="23" t="s">
        <v>524</v>
      </c>
      <c r="B800" s="19">
        <v>908</v>
      </c>
      <c r="C800" s="24" t="s">
        <v>241</v>
      </c>
      <c r="D800" s="24" t="s">
        <v>220</v>
      </c>
      <c r="E800" s="24"/>
      <c r="F800" s="24"/>
      <c r="G800" s="21">
        <f>G801+G826</f>
        <v>53711.1</v>
      </c>
      <c r="H800" s="175"/>
      <c r="I800" s="114"/>
      <c r="L800" s="115"/>
    </row>
    <row r="801" spans="1:10" ht="82.5" customHeight="1" x14ac:dyDescent="0.25">
      <c r="A801" s="25" t="s">
        <v>602</v>
      </c>
      <c r="B801" s="16">
        <v>908</v>
      </c>
      <c r="C801" s="20" t="s">
        <v>241</v>
      </c>
      <c r="D801" s="20" t="s">
        <v>220</v>
      </c>
      <c r="E801" s="20" t="s">
        <v>525</v>
      </c>
      <c r="F801" s="24"/>
      <c r="G801" s="26">
        <f>G805+G808+G811+G814+G817+G823</f>
        <v>5567.9000000000005</v>
      </c>
      <c r="H801" s="177"/>
      <c r="I801" s="114"/>
    </row>
    <row r="802" spans="1:10" ht="47.25" hidden="1" x14ac:dyDescent="0.25">
      <c r="A802" s="35" t="s">
        <v>526</v>
      </c>
      <c r="B802" s="16">
        <v>908</v>
      </c>
      <c r="C802" s="20" t="s">
        <v>241</v>
      </c>
      <c r="D802" s="20" t="s">
        <v>220</v>
      </c>
      <c r="E802" s="20" t="s">
        <v>527</v>
      </c>
      <c r="F802" s="20"/>
      <c r="G802" s="26">
        <f>G803</f>
        <v>0</v>
      </c>
      <c r="H802" s="175"/>
    </row>
    <row r="803" spans="1:10" ht="31.5" hidden="1" x14ac:dyDescent="0.25">
      <c r="A803" s="25" t="s">
        <v>138</v>
      </c>
      <c r="B803" s="16">
        <v>908</v>
      </c>
      <c r="C803" s="20" t="s">
        <v>241</v>
      </c>
      <c r="D803" s="20" t="s">
        <v>220</v>
      </c>
      <c r="E803" s="20" t="s">
        <v>527</v>
      </c>
      <c r="F803" s="20" t="s">
        <v>139</v>
      </c>
      <c r="G803" s="26">
        <f>G804</f>
        <v>0</v>
      </c>
      <c r="H803" s="175"/>
    </row>
    <row r="804" spans="1:10" ht="47.25" hidden="1" x14ac:dyDescent="0.25">
      <c r="A804" s="25" t="s">
        <v>140</v>
      </c>
      <c r="B804" s="16">
        <v>908</v>
      </c>
      <c r="C804" s="20" t="s">
        <v>241</v>
      </c>
      <c r="D804" s="20" t="s">
        <v>220</v>
      </c>
      <c r="E804" s="20" t="s">
        <v>527</v>
      </c>
      <c r="F804" s="20" t="s">
        <v>141</v>
      </c>
      <c r="G804" s="26">
        <v>0</v>
      </c>
      <c r="H804" s="175"/>
    </row>
    <row r="805" spans="1:10" ht="15.75" x14ac:dyDescent="0.25">
      <c r="A805" s="45" t="s">
        <v>528</v>
      </c>
      <c r="B805" s="16">
        <v>908</v>
      </c>
      <c r="C805" s="40" t="s">
        <v>241</v>
      </c>
      <c r="D805" s="40" t="s">
        <v>220</v>
      </c>
      <c r="E805" s="20" t="s">
        <v>529</v>
      </c>
      <c r="F805" s="40"/>
      <c r="G805" s="26">
        <f>G806</f>
        <v>450</v>
      </c>
      <c r="H805" s="175"/>
    </row>
    <row r="806" spans="1:10" ht="31.5" x14ac:dyDescent="0.25">
      <c r="A806" s="31" t="s">
        <v>138</v>
      </c>
      <c r="B806" s="16">
        <v>908</v>
      </c>
      <c r="C806" s="40" t="s">
        <v>241</v>
      </c>
      <c r="D806" s="40" t="s">
        <v>220</v>
      </c>
      <c r="E806" s="20" t="s">
        <v>529</v>
      </c>
      <c r="F806" s="40" t="s">
        <v>139</v>
      </c>
      <c r="G806" s="26">
        <f>G807</f>
        <v>450</v>
      </c>
      <c r="H806" s="175"/>
    </row>
    <row r="807" spans="1:10" ht="47.25" x14ac:dyDescent="0.25">
      <c r="A807" s="31" t="s">
        <v>140</v>
      </c>
      <c r="B807" s="16">
        <v>908</v>
      </c>
      <c r="C807" s="40" t="s">
        <v>241</v>
      </c>
      <c r="D807" s="40" t="s">
        <v>220</v>
      </c>
      <c r="E807" s="20" t="s">
        <v>529</v>
      </c>
      <c r="F807" s="40" t="s">
        <v>141</v>
      </c>
      <c r="G807" s="26">
        <v>450</v>
      </c>
      <c r="H807" s="175"/>
    </row>
    <row r="808" spans="1:10" ht="15.75" x14ac:dyDescent="0.25">
      <c r="A808" s="45" t="s">
        <v>530</v>
      </c>
      <c r="B808" s="16">
        <v>908</v>
      </c>
      <c r="C808" s="40" t="s">
        <v>241</v>
      </c>
      <c r="D808" s="40" t="s">
        <v>220</v>
      </c>
      <c r="E808" s="20" t="s">
        <v>531</v>
      </c>
      <c r="F808" s="40"/>
      <c r="G808" s="26">
        <f>G809</f>
        <v>3107</v>
      </c>
      <c r="H808" s="175"/>
    </row>
    <row r="809" spans="1:10" ht="31.5" x14ac:dyDescent="0.25">
      <c r="A809" s="31" t="s">
        <v>138</v>
      </c>
      <c r="B809" s="16">
        <v>908</v>
      </c>
      <c r="C809" s="40" t="s">
        <v>241</v>
      </c>
      <c r="D809" s="40" t="s">
        <v>220</v>
      </c>
      <c r="E809" s="20" t="s">
        <v>531</v>
      </c>
      <c r="F809" s="40" t="s">
        <v>139</v>
      </c>
      <c r="G809" s="26">
        <f>G810</f>
        <v>3107</v>
      </c>
      <c r="H809" s="175"/>
    </row>
    <row r="810" spans="1:10" ht="47.25" x14ac:dyDescent="0.25">
      <c r="A810" s="31" t="s">
        <v>140</v>
      </c>
      <c r="B810" s="16">
        <v>908</v>
      </c>
      <c r="C810" s="40" t="s">
        <v>241</v>
      </c>
      <c r="D810" s="40" t="s">
        <v>220</v>
      </c>
      <c r="E810" s="20" t="s">
        <v>531</v>
      </c>
      <c r="F810" s="40" t="s">
        <v>141</v>
      </c>
      <c r="G810" s="166">
        <f>110+20+2977</f>
        <v>3107</v>
      </c>
      <c r="H810" s="160" t="s">
        <v>754</v>
      </c>
    </row>
    <row r="811" spans="1:10" ht="15.75" x14ac:dyDescent="0.25">
      <c r="A811" s="45" t="s">
        <v>532</v>
      </c>
      <c r="B811" s="16">
        <v>908</v>
      </c>
      <c r="C811" s="40" t="s">
        <v>241</v>
      </c>
      <c r="D811" s="40" t="s">
        <v>220</v>
      </c>
      <c r="E811" s="20" t="s">
        <v>533</v>
      </c>
      <c r="F811" s="40"/>
      <c r="G811" s="26">
        <f>G812</f>
        <v>1374.6</v>
      </c>
      <c r="H811" s="175"/>
    </row>
    <row r="812" spans="1:10" ht="31.5" x14ac:dyDescent="0.25">
      <c r="A812" s="31" t="s">
        <v>138</v>
      </c>
      <c r="B812" s="16">
        <v>908</v>
      </c>
      <c r="C812" s="40" t="s">
        <v>241</v>
      </c>
      <c r="D812" s="40" t="s">
        <v>220</v>
      </c>
      <c r="E812" s="20" t="s">
        <v>533</v>
      </c>
      <c r="F812" s="40" t="s">
        <v>139</v>
      </c>
      <c r="G812" s="26">
        <f>G813</f>
        <v>1374.6</v>
      </c>
      <c r="H812" s="175"/>
    </row>
    <row r="813" spans="1:10" ht="47.25" x14ac:dyDescent="0.25">
      <c r="A813" s="31" t="s">
        <v>140</v>
      </c>
      <c r="B813" s="16">
        <v>908</v>
      </c>
      <c r="C813" s="40" t="s">
        <v>241</v>
      </c>
      <c r="D813" s="40" t="s">
        <v>220</v>
      </c>
      <c r="E813" s="20" t="s">
        <v>533</v>
      </c>
      <c r="F813" s="40" t="s">
        <v>141</v>
      </c>
      <c r="G813" s="166">
        <f>10+30+3534.6-2200</f>
        <v>1374.6</v>
      </c>
      <c r="H813" s="112" t="s">
        <v>760</v>
      </c>
      <c r="J813" s="167" t="s">
        <v>761</v>
      </c>
    </row>
    <row r="814" spans="1:10" ht="15.75" x14ac:dyDescent="0.25">
      <c r="A814" s="45" t="s">
        <v>534</v>
      </c>
      <c r="B814" s="16">
        <v>908</v>
      </c>
      <c r="C814" s="40" t="s">
        <v>241</v>
      </c>
      <c r="D814" s="40" t="s">
        <v>220</v>
      </c>
      <c r="E814" s="20" t="s">
        <v>535</v>
      </c>
      <c r="F814" s="40"/>
      <c r="G814" s="26">
        <f>G815</f>
        <v>159.10000000000002</v>
      </c>
      <c r="H814" s="175"/>
    </row>
    <row r="815" spans="1:10" ht="31.5" x14ac:dyDescent="0.25">
      <c r="A815" s="31" t="s">
        <v>138</v>
      </c>
      <c r="B815" s="16">
        <v>908</v>
      </c>
      <c r="C815" s="40" t="s">
        <v>241</v>
      </c>
      <c r="D815" s="40" t="s">
        <v>220</v>
      </c>
      <c r="E815" s="20" t="s">
        <v>535</v>
      </c>
      <c r="F815" s="40" t="s">
        <v>139</v>
      </c>
      <c r="G815" s="26">
        <f>G816</f>
        <v>159.10000000000002</v>
      </c>
      <c r="H815" s="175"/>
    </row>
    <row r="816" spans="1:10" ht="47.25" x14ac:dyDescent="0.25">
      <c r="A816" s="31" t="s">
        <v>140</v>
      </c>
      <c r="B816" s="16">
        <v>908</v>
      </c>
      <c r="C816" s="40" t="s">
        <v>241</v>
      </c>
      <c r="D816" s="40" t="s">
        <v>220</v>
      </c>
      <c r="E816" s="20" t="s">
        <v>535</v>
      </c>
      <c r="F816" s="40" t="s">
        <v>141</v>
      </c>
      <c r="G816" s="166">
        <f>250+5+681.1-522-255</f>
        <v>159.10000000000002</v>
      </c>
      <c r="H816" s="112" t="s">
        <v>755</v>
      </c>
    </row>
    <row r="817" spans="1:10" ht="15.75" x14ac:dyDescent="0.25">
      <c r="A817" s="45" t="s">
        <v>536</v>
      </c>
      <c r="B817" s="16">
        <v>908</v>
      </c>
      <c r="C817" s="40" t="s">
        <v>241</v>
      </c>
      <c r="D817" s="40" t="s">
        <v>220</v>
      </c>
      <c r="E817" s="20" t="s">
        <v>537</v>
      </c>
      <c r="F817" s="40"/>
      <c r="G817" s="26">
        <f>G818</f>
        <v>288.2</v>
      </c>
      <c r="H817" s="175"/>
    </row>
    <row r="818" spans="1:10" ht="31.5" x14ac:dyDescent="0.25">
      <c r="A818" s="31" t="s">
        <v>138</v>
      </c>
      <c r="B818" s="16">
        <v>908</v>
      </c>
      <c r="C818" s="40" t="s">
        <v>241</v>
      </c>
      <c r="D818" s="40" t="s">
        <v>220</v>
      </c>
      <c r="E818" s="20" t="s">
        <v>537</v>
      </c>
      <c r="F818" s="40" t="s">
        <v>139</v>
      </c>
      <c r="G818" s="26">
        <f>G819</f>
        <v>288.2</v>
      </c>
      <c r="H818" s="175"/>
    </row>
    <row r="819" spans="1:10" ht="47.25" x14ac:dyDescent="0.25">
      <c r="A819" s="31" t="s">
        <v>140</v>
      </c>
      <c r="B819" s="16">
        <v>908</v>
      </c>
      <c r="C819" s="40" t="s">
        <v>241</v>
      </c>
      <c r="D819" s="40" t="s">
        <v>220</v>
      </c>
      <c r="E819" s="20" t="s">
        <v>537</v>
      </c>
      <c r="F819" s="40" t="s">
        <v>141</v>
      </c>
      <c r="G819" s="26">
        <f>2+286.2</f>
        <v>288.2</v>
      </c>
      <c r="H819" s="112"/>
      <c r="J819" s="168" t="s">
        <v>762</v>
      </c>
    </row>
    <row r="820" spans="1:10" ht="31.5" hidden="1" x14ac:dyDescent="0.25">
      <c r="A820" s="176" t="s">
        <v>538</v>
      </c>
      <c r="B820" s="16">
        <v>908</v>
      </c>
      <c r="C820" s="40" t="s">
        <v>241</v>
      </c>
      <c r="D820" s="40" t="s">
        <v>220</v>
      </c>
      <c r="E820" s="20" t="s">
        <v>539</v>
      </c>
      <c r="F820" s="40"/>
      <c r="G820" s="26">
        <f>G821</f>
        <v>0</v>
      </c>
      <c r="H820" s="175"/>
    </row>
    <row r="821" spans="1:10" ht="31.5" hidden="1" x14ac:dyDescent="0.25">
      <c r="A821" s="31" t="s">
        <v>138</v>
      </c>
      <c r="B821" s="16">
        <v>908</v>
      </c>
      <c r="C821" s="40" t="s">
        <v>241</v>
      </c>
      <c r="D821" s="40" t="s">
        <v>220</v>
      </c>
      <c r="E821" s="20" t="s">
        <v>539</v>
      </c>
      <c r="F821" s="40" t="s">
        <v>139</v>
      </c>
      <c r="G821" s="26">
        <f>G822</f>
        <v>0</v>
      </c>
      <c r="H821" s="175"/>
    </row>
    <row r="822" spans="1:10" ht="47.25" hidden="1" x14ac:dyDescent="0.25">
      <c r="A822" s="31" t="s">
        <v>140</v>
      </c>
      <c r="B822" s="16">
        <v>908</v>
      </c>
      <c r="C822" s="40" t="s">
        <v>241</v>
      </c>
      <c r="D822" s="40" t="s">
        <v>220</v>
      </c>
      <c r="E822" s="20" t="s">
        <v>539</v>
      </c>
      <c r="F822" s="40" t="s">
        <v>141</v>
      </c>
      <c r="G822" s="26">
        <v>0</v>
      </c>
      <c r="H822" s="175"/>
    </row>
    <row r="823" spans="1:10" ht="15.75" x14ac:dyDescent="0.25">
      <c r="A823" s="176" t="s">
        <v>540</v>
      </c>
      <c r="B823" s="16">
        <v>908</v>
      </c>
      <c r="C823" s="40" t="s">
        <v>241</v>
      </c>
      <c r="D823" s="40" t="s">
        <v>220</v>
      </c>
      <c r="E823" s="20" t="s">
        <v>541</v>
      </c>
      <c r="F823" s="40"/>
      <c r="G823" s="26">
        <f>G824</f>
        <v>189</v>
      </c>
      <c r="H823" s="175"/>
    </row>
    <row r="824" spans="1:10" ht="31.5" x14ac:dyDescent="0.25">
      <c r="A824" s="25" t="s">
        <v>138</v>
      </c>
      <c r="B824" s="16">
        <v>908</v>
      </c>
      <c r="C824" s="40" t="s">
        <v>241</v>
      </c>
      <c r="D824" s="40" t="s">
        <v>220</v>
      </c>
      <c r="E824" s="20" t="s">
        <v>541</v>
      </c>
      <c r="F824" s="40" t="s">
        <v>139</v>
      </c>
      <c r="G824" s="26">
        <f>G825</f>
        <v>189</v>
      </c>
      <c r="H824" s="175"/>
    </row>
    <row r="825" spans="1:10" ht="47.25" x14ac:dyDescent="0.25">
      <c r="A825" s="25" t="s">
        <v>140</v>
      </c>
      <c r="B825" s="16">
        <v>908</v>
      </c>
      <c r="C825" s="40" t="s">
        <v>241</v>
      </c>
      <c r="D825" s="40" t="s">
        <v>220</v>
      </c>
      <c r="E825" s="20" t="s">
        <v>541</v>
      </c>
      <c r="F825" s="40" t="s">
        <v>141</v>
      </c>
      <c r="G825" s="26">
        <f>15+174</f>
        <v>189</v>
      </c>
      <c r="H825" s="112"/>
      <c r="J825" s="168" t="s">
        <v>763</v>
      </c>
    </row>
    <row r="826" spans="1:10" ht="15.75" x14ac:dyDescent="0.25">
      <c r="A826" s="25" t="s">
        <v>128</v>
      </c>
      <c r="B826" s="16">
        <v>908</v>
      </c>
      <c r="C826" s="20" t="s">
        <v>241</v>
      </c>
      <c r="D826" s="20" t="s">
        <v>220</v>
      </c>
      <c r="E826" s="20" t="s">
        <v>129</v>
      </c>
      <c r="F826" s="20"/>
      <c r="G826" s="26">
        <f>G827+G837</f>
        <v>48143.199999999997</v>
      </c>
      <c r="H826" s="175"/>
    </row>
    <row r="827" spans="1:10" ht="31.5" x14ac:dyDescent="0.25">
      <c r="A827" s="25" t="s">
        <v>192</v>
      </c>
      <c r="B827" s="16">
        <v>908</v>
      </c>
      <c r="C827" s="20" t="s">
        <v>241</v>
      </c>
      <c r="D827" s="20" t="s">
        <v>220</v>
      </c>
      <c r="E827" s="20" t="s">
        <v>193</v>
      </c>
      <c r="F827" s="20"/>
      <c r="G827" s="26">
        <f>G828+G831+G834</f>
        <v>25111.200000000001</v>
      </c>
      <c r="H827" s="175"/>
    </row>
    <row r="828" spans="1:10" ht="47.25" x14ac:dyDescent="0.25">
      <c r="A828" s="99" t="s">
        <v>689</v>
      </c>
      <c r="B828" s="16">
        <v>908</v>
      </c>
      <c r="C828" s="20" t="s">
        <v>241</v>
      </c>
      <c r="D828" s="20" t="s">
        <v>220</v>
      </c>
      <c r="E828" s="20" t="s">
        <v>542</v>
      </c>
      <c r="F828" s="20"/>
      <c r="G828" s="26">
        <f>G829</f>
        <v>5000</v>
      </c>
      <c r="H828" s="175"/>
    </row>
    <row r="829" spans="1:10" ht="31.5" x14ac:dyDescent="0.25">
      <c r="A829" s="25" t="s">
        <v>138</v>
      </c>
      <c r="B829" s="16">
        <v>908</v>
      </c>
      <c r="C829" s="20" t="s">
        <v>241</v>
      </c>
      <c r="D829" s="20" t="s">
        <v>220</v>
      </c>
      <c r="E829" s="20" t="s">
        <v>542</v>
      </c>
      <c r="F829" s="20" t="s">
        <v>139</v>
      </c>
      <c r="G829" s="26">
        <f>G830</f>
        <v>5000</v>
      </c>
      <c r="H829" s="175"/>
    </row>
    <row r="830" spans="1:10" ht="47.25" x14ac:dyDescent="0.25">
      <c r="A830" s="25" t="s">
        <v>140</v>
      </c>
      <c r="B830" s="16">
        <v>908</v>
      </c>
      <c r="C830" s="20" t="s">
        <v>241</v>
      </c>
      <c r="D830" s="20" t="s">
        <v>220</v>
      </c>
      <c r="E830" s="20" t="s">
        <v>542</v>
      </c>
      <c r="F830" s="20" t="s">
        <v>141</v>
      </c>
      <c r="G830" s="26">
        <f>5000</f>
        <v>5000</v>
      </c>
      <c r="H830" s="175"/>
      <c r="I830" s="114"/>
    </row>
    <row r="831" spans="1:10" ht="31.5" x14ac:dyDescent="0.25">
      <c r="A831" s="35" t="s">
        <v>695</v>
      </c>
      <c r="B831" s="16">
        <v>908</v>
      </c>
      <c r="C831" s="20" t="s">
        <v>241</v>
      </c>
      <c r="D831" s="20" t="s">
        <v>220</v>
      </c>
      <c r="E831" s="20" t="s">
        <v>543</v>
      </c>
      <c r="F831" s="20"/>
      <c r="G831" s="26">
        <f>G832</f>
        <v>20000</v>
      </c>
      <c r="H831" s="175"/>
    </row>
    <row r="832" spans="1:10" ht="31.5" x14ac:dyDescent="0.25">
      <c r="A832" s="25" t="s">
        <v>138</v>
      </c>
      <c r="B832" s="16">
        <v>908</v>
      </c>
      <c r="C832" s="20" t="s">
        <v>241</v>
      </c>
      <c r="D832" s="20" t="s">
        <v>220</v>
      </c>
      <c r="E832" s="20" t="s">
        <v>543</v>
      </c>
      <c r="F832" s="20" t="s">
        <v>139</v>
      </c>
      <c r="G832" s="26">
        <f>G833</f>
        <v>20000</v>
      </c>
      <c r="H832" s="175"/>
    </row>
    <row r="833" spans="1:10" ht="47.25" x14ac:dyDescent="0.25">
      <c r="A833" s="25" t="s">
        <v>140</v>
      </c>
      <c r="B833" s="16">
        <v>908</v>
      </c>
      <c r="C833" s="20" t="s">
        <v>241</v>
      </c>
      <c r="D833" s="20" t="s">
        <v>220</v>
      </c>
      <c r="E833" s="20" t="s">
        <v>543</v>
      </c>
      <c r="F833" s="20" t="s">
        <v>141</v>
      </c>
      <c r="G833" s="26">
        <v>20000</v>
      </c>
      <c r="H833" s="105"/>
    </row>
    <row r="834" spans="1:10" ht="47.25" x14ac:dyDescent="0.25">
      <c r="A834" s="25" t="s">
        <v>696</v>
      </c>
      <c r="B834" s="16">
        <v>908</v>
      </c>
      <c r="C834" s="20" t="s">
        <v>241</v>
      </c>
      <c r="D834" s="20" t="s">
        <v>220</v>
      </c>
      <c r="E834" s="20" t="s">
        <v>697</v>
      </c>
      <c r="F834" s="20"/>
      <c r="G834" s="26">
        <f>G835</f>
        <v>111.2</v>
      </c>
      <c r="H834" s="107"/>
    </row>
    <row r="835" spans="1:10" ht="31.5" x14ac:dyDescent="0.25">
      <c r="A835" s="25" t="s">
        <v>138</v>
      </c>
      <c r="B835" s="16">
        <v>908</v>
      </c>
      <c r="C835" s="20" t="s">
        <v>241</v>
      </c>
      <c r="D835" s="20" t="s">
        <v>220</v>
      </c>
      <c r="E835" s="20" t="s">
        <v>697</v>
      </c>
      <c r="F835" s="20" t="s">
        <v>139</v>
      </c>
      <c r="G835" s="26">
        <f>G836</f>
        <v>111.2</v>
      </c>
      <c r="H835" s="107"/>
    </row>
    <row r="836" spans="1:10" ht="47.25" x14ac:dyDescent="0.25">
      <c r="A836" s="25" t="s">
        <v>140</v>
      </c>
      <c r="B836" s="16">
        <v>908</v>
      </c>
      <c r="C836" s="20" t="s">
        <v>241</v>
      </c>
      <c r="D836" s="20" t="s">
        <v>220</v>
      </c>
      <c r="E836" s="20" t="s">
        <v>697</v>
      </c>
      <c r="F836" s="20" t="s">
        <v>141</v>
      </c>
      <c r="G836" s="26">
        <v>111.2</v>
      </c>
      <c r="H836" s="107"/>
    </row>
    <row r="837" spans="1:10" ht="15.75" x14ac:dyDescent="0.25">
      <c r="A837" s="25" t="s">
        <v>148</v>
      </c>
      <c r="B837" s="16">
        <v>908</v>
      </c>
      <c r="C837" s="20" t="s">
        <v>241</v>
      </c>
      <c r="D837" s="20" t="s">
        <v>220</v>
      </c>
      <c r="E837" s="20" t="s">
        <v>149</v>
      </c>
      <c r="F837" s="20"/>
      <c r="G837" s="26">
        <f>G838+G844</f>
        <v>23031.999999999996</v>
      </c>
      <c r="H837" s="175"/>
    </row>
    <row r="838" spans="1:10" ht="31.5" x14ac:dyDescent="0.25">
      <c r="A838" s="35" t="s">
        <v>544</v>
      </c>
      <c r="B838" s="16">
        <v>908</v>
      </c>
      <c r="C838" s="20" t="s">
        <v>241</v>
      </c>
      <c r="D838" s="20" t="s">
        <v>220</v>
      </c>
      <c r="E838" s="20" t="s">
        <v>545</v>
      </c>
      <c r="F838" s="20"/>
      <c r="G838" s="26">
        <f>G839+G841</f>
        <v>20353.699999999997</v>
      </c>
      <c r="H838" s="175"/>
    </row>
    <row r="839" spans="1:10" ht="31.5" x14ac:dyDescent="0.25">
      <c r="A839" s="25" t="s">
        <v>138</v>
      </c>
      <c r="B839" s="16">
        <v>908</v>
      </c>
      <c r="C839" s="20" t="s">
        <v>241</v>
      </c>
      <c r="D839" s="20" t="s">
        <v>220</v>
      </c>
      <c r="E839" s="20" t="s">
        <v>545</v>
      </c>
      <c r="F839" s="20" t="s">
        <v>139</v>
      </c>
      <c r="G839" s="26">
        <f>G840</f>
        <v>20322.099999999999</v>
      </c>
      <c r="H839" s="175"/>
    </row>
    <row r="840" spans="1:10" ht="47.25" x14ac:dyDescent="0.25">
      <c r="A840" s="25" t="s">
        <v>140</v>
      </c>
      <c r="B840" s="16">
        <v>908</v>
      </c>
      <c r="C840" s="20" t="s">
        <v>241</v>
      </c>
      <c r="D840" s="20" t="s">
        <v>220</v>
      </c>
      <c r="E840" s="20" t="s">
        <v>545</v>
      </c>
      <c r="F840" s="20" t="s">
        <v>141</v>
      </c>
      <c r="G840" s="161">
        <f>10880-5000-2230+172.1+16500</f>
        <v>20322.099999999999</v>
      </c>
      <c r="H840" s="105" t="s">
        <v>759</v>
      </c>
      <c r="I840" s="114"/>
      <c r="J840" s="169" t="s">
        <v>728</v>
      </c>
    </row>
    <row r="841" spans="1:10" ht="15.75" x14ac:dyDescent="0.25">
      <c r="A841" s="25" t="s">
        <v>142</v>
      </c>
      <c r="B841" s="16">
        <v>908</v>
      </c>
      <c r="C841" s="20" t="s">
        <v>241</v>
      </c>
      <c r="D841" s="20" t="s">
        <v>220</v>
      </c>
      <c r="E841" s="20" t="s">
        <v>545</v>
      </c>
      <c r="F841" s="20" t="s">
        <v>152</v>
      </c>
      <c r="G841" s="26">
        <f>G842+G843</f>
        <v>31.6</v>
      </c>
      <c r="H841" s="175"/>
    </row>
    <row r="842" spans="1:10" ht="63" hidden="1" x14ac:dyDescent="0.25">
      <c r="A842" s="25" t="s">
        <v>191</v>
      </c>
      <c r="B842" s="16">
        <v>908</v>
      </c>
      <c r="C842" s="20" t="s">
        <v>241</v>
      </c>
      <c r="D842" s="20" t="s">
        <v>220</v>
      </c>
      <c r="E842" s="20" t="s">
        <v>545</v>
      </c>
      <c r="F842" s="20" t="s">
        <v>167</v>
      </c>
      <c r="G842" s="26">
        <v>0</v>
      </c>
      <c r="H842" s="175"/>
    </row>
    <row r="843" spans="1:10" ht="15.75" x14ac:dyDescent="0.25">
      <c r="A843" s="25" t="s">
        <v>575</v>
      </c>
      <c r="B843" s="16">
        <v>908</v>
      </c>
      <c r="C843" s="20" t="s">
        <v>241</v>
      </c>
      <c r="D843" s="20" t="s">
        <v>220</v>
      </c>
      <c r="E843" s="20" t="s">
        <v>545</v>
      </c>
      <c r="F843" s="20" t="s">
        <v>145</v>
      </c>
      <c r="G843" s="26">
        <v>31.6</v>
      </c>
      <c r="H843" s="105"/>
      <c r="I843" s="123"/>
    </row>
    <row r="844" spans="1:10" ht="15.75" x14ac:dyDescent="0.25">
      <c r="A844" s="25" t="s">
        <v>546</v>
      </c>
      <c r="B844" s="16">
        <v>908</v>
      </c>
      <c r="C844" s="20" t="s">
        <v>241</v>
      </c>
      <c r="D844" s="20" t="s">
        <v>220</v>
      </c>
      <c r="E844" s="20" t="s">
        <v>547</v>
      </c>
      <c r="F844" s="20"/>
      <c r="G844" s="26">
        <f>G845</f>
        <v>2678.3</v>
      </c>
      <c r="H844" s="175"/>
    </row>
    <row r="845" spans="1:10" ht="15.75" x14ac:dyDescent="0.25">
      <c r="A845" s="25" t="s">
        <v>142</v>
      </c>
      <c r="B845" s="16">
        <v>908</v>
      </c>
      <c r="C845" s="20" t="s">
        <v>241</v>
      </c>
      <c r="D845" s="20" t="s">
        <v>220</v>
      </c>
      <c r="E845" s="20" t="s">
        <v>547</v>
      </c>
      <c r="F845" s="20" t="s">
        <v>152</v>
      </c>
      <c r="G845" s="26">
        <f>G846</f>
        <v>2678.3</v>
      </c>
      <c r="H845" s="175"/>
    </row>
    <row r="846" spans="1:10" ht="15.75" x14ac:dyDescent="0.25">
      <c r="A846" s="25" t="s">
        <v>153</v>
      </c>
      <c r="B846" s="16">
        <v>908</v>
      </c>
      <c r="C846" s="20" t="s">
        <v>241</v>
      </c>
      <c r="D846" s="20" t="s">
        <v>220</v>
      </c>
      <c r="E846" s="20" t="s">
        <v>547</v>
      </c>
      <c r="F846" s="20" t="s">
        <v>154</v>
      </c>
      <c r="G846" s="26">
        <v>2678.3</v>
      </c>
      <c r="H846" s="175"/>
      <c r="I846" s="114"/>
    </row>
    <row r="847" spans="1:10" ht="15.75" x14ac:dyDescent="0.25">
      <c r="A847" s="23" t="s">
        <v>548</v>
      </c>
      <c r="B847" s="19">
        <v>908</v>
      </c>
      <c r="C847" s="24" t="s">
        <v>241</v>
      </c>
      <c r="D847" s="24" t="s">
        <v>222</v>
      </c>
      <c r="E847" s="24"/>
      <c r="F847" s="24"/>
      <c r="G847" s="21">
        <f>G848++G878+G874</f>
        <v>25464.6</v>
      </c>
      <c r="H847" s="175"/>
    </row>
    <row r="848" spans="1:10" ht="47.25" x14ac:dyDescent="0.25">
      <c r="A848" s="25" t="s">
        <v>549</v>
      </c>
      <c r="B848" s="16">
        <v>908</v>
      </c>
      <c r="C848" s="20" t="s">
        <v>241</v>
      </c>
      <c r="D848" s="20" t="s">
        <v>222</v>
      </c>
      <c r="E848" s="20" t="s">
        <v>550</v>
      </c>
      <c r="F848" s="20"/>
      <c r="G848" s="26">
        <f>G849+G859</f>
        <v>12375.499999999998</v>
      </c>
      <c r="H848" s="175"/>
    </row>
    <row r="849" spans="1:8" ht="47.25" x14ac:dyDescent="0.25">
      <c r="A849" s="25" t="s">
        <v>551</v>
      </c>
      <c r="B849" s="16">
        <v>908</v>
      </c>
      <c r="C849" s="20" t="s">
        <v>241</v>
      </c>
      <c r="D849" s="20" t="s">
        <v>222</v>
      </c>
      <c r="E849" s="20" t="s">
        <v>552</v>
      </c>
      <c r="F849" s="20"/>
      <c r="G849" s="26">
        <f>G850+G853+G856</f>
        <v>8697.2999999999993</v>
      </c>
      <c r="H849" s="175"/>
    </row>
    <row r="850" spans="1:8" ht="31.5" x14ac:dyDescent="0.25">
      <c r="A850" s="25" t="s">
        <v>553</v>
      </c>
      <c r="B850" s="16">
        <v>908</v>
      </c>
      <c r="C850" s="20" t="s">
        <v>241</v>
      </c>
      <c r="D850" s="20" t="s">
        <v>222</v>
      </c>
      <c r="E850" s="20" t="s">
        <v>554</v>
      </c>
      <c r="F850" s="20"/>
      <c r="G850" s="26">
        <f>G851</f>
        <v>253.4</v>
      </c>
      <c r="H850" s="175"/>
    </row>
    <row r="851" spans="1:8" ht="31.5" x14ac:dyDescent="0.25">
      <c r="A851" s="25" t="s">
        <v>138</v>
      </c>
      <c r="B851" s="16">
        <v>908</v>
      </c>
      <c r="C851" s="20" t="s">
        <v>241</v>
      </c>
      <c r="D851" s="20" t="s">
        <v>222</v>
      </c>
      <c r="E851" s="20" t="s">
        <v>554</v>
      </c>
      <c r="F851" s="20" t="s">
        <v>139</v>
      </c>
      <c r="G851" s="26">
        <f>G852</f>
        <v>253.4</v>
      </c>
      <c r="H851" s="175"/>
    </row>
    <row r="852" spans="1:8" ht="47.25" x14ac:dyDescent="0.25">
      <c r="A852" s="25" t="s">
        <v>140</v>
      </c>
      <c r="B852" s="16">
        <v>908</v>
      </c>
      <c r="C852" s="20" t="s">
        <v>241</v>
      </c>
      <c r="D852" s="20" t="s">
        <v>222</v>
      </c>
      <c r="E852" s="20" t="s">
        <v>554</v>
      </c>
      <c r="F852" s="20" t="s">
        <v>141</v>
      </c>
      <c r="G852" s="26">
        <v>253.4</v>
      </c>
      <c r="H852" s="175"/>
    </row>
    <row r="853" spans="1:8" ht="15.75" x14ac:dyDescent="0.25">
      <c r="A853" s="25" t="s">
        <v>555</v>
      </c>
      <c r="B853" s="16">
        <v>908</v>
      </c>
      <c r="C853" s="20" t="s">
        <v>241</v>
      </c>
      <c r="D853" s="20" t="s">
        <v>222</v>
      </c>
      <c r="E853" s="20" t="s">
        <v>556</v>
      </c>
      <c r="F853" s="20"/>
      <c r="G853" s="26">
        <f>G854</f>
        <v>5258.6</v>
      </c>
      <c r="H853" s="175"/>
    </row>
    <row r="854" spans="1:8" ht="31.5" x14ac:dyDescent="0.25">
      <c r="A854" s="25" t="s">
        <v>138</v>
      </c>
      <c r="B854" s="16">
        <v>908</v>
      </c>
      <c r="C854" s="20" t="s">
        <v>241</v>
      </c>
      <c r="D854" s="20" t="s">
        <v>222</v>
      </c>
      <c r="E854" s="20" t="s">
        <v>556</v>
      </c>
      <c r="F854" s="20" t="s">
        <v>139</v>
      </c>
      <c r="G854" s="26">
        <f>G855</f>
        <v>5258.6</v>
      </c>
      <c r="H854" s="175"/>
    </row>
    <row r="855" spans="1:8" ht="47.25" x14ac:dyDescent="0.25">
      <c r="A855" s="25" t="s">
        <v>140</v>
      </c>
      <c r="B855" s="16">
        <v>908</v>
      </c>
      <c r="C855" s="20" t="s">
        <v>241</v>
      </c>
      <c r="D855" s="20" t="s">
        <v>222</v>
      </c>
      <c r="E855" s="20" t="s">
        <v>556</v>
      </c>
      <c r="F855" s="20" t="s">
        <v>141</v>
      </c>
      <c r="G855" s="26">
        <v>5258.6</v>
      </c>
      <c r="H855" s="175"/>
    </row>
    <row r="856" spans="1:8" ht="15.75" x14ac:dyDescent="0.25">
      <c r="A856" s="25" t="s">
        <v>557</v>
      </c>
      <c r="B856" s="16">
        <v>908</v>
      </c>
      <c r="C856" s="20" t="s">
        <v>241</v>
      </c>
      <c r="D856" s="20" t="s">
        <v>222</v>
      </c>
      <c r="E856" s="20" t="s">
        <v>558</v>
      </c>
      <c r="F856" s="20"/>
      <c r="G856" s="26">
        <f>G857</f>
        <v>3185.3</v>
      </c>
      <c r="H856" s="175"/>
    </row>
    <row r="857" spans="1:8" ht="31.5" x14ac:dyDescent="0.25">
      <c r="A857" s="25" t="s">
        <v>138</v>
      </c>
      <c r="B857" s="16">
        <v>908</v>
      </c>
      <c r="C857" s="20" t="s">
        <v>241</v>
      </c>
      <c r="D857" s="20" t="s">
        <v>222</v>
      </c>
      <c r="E857" s="20" t="s">
        <v>558</v>
      </c>
      <c r="F857" s="20" t="s">
        <v>139</v>
      </c>
      <c r="G857" s="26">
        <f>G858</f>
        <v>3185.3</v>
      </c>
      <c r="H857" s="175"/>
    </row>
    <row r="858" spans="1:8" ht="47.25" x14ac:dyDescent="0.25">
      <c r="A858" s="25" t="s">
        <v>140</v>
      </c>
      <c r="B858" s="16">
        <v>908</v>
      </c>
      <c r="C858" s="20" t="s">
        <v>241</v>
      </c>
      <c r="D858" s="20" t="s">
        <v>222</v>
      </c>
      <c r="E858" s="20" t="s">
        <v>558</v>
      </c>
      <c r="F858" s="20" t="s">
        <v>141</v>
      </c>
      <c r="G858" s="26">
        <v>3185.3</v>
      </c>
      <c r="H858" s="175"/>
    </row>
    <row r="859" spans="1:8" ht="47.25" x14ac:dyDescent="0.25">
      <c r="A859" s="25" t="s">
        <v>559</v>
      </c>
      <c r="B859" s="16">
        <v>908</v>
      </c>
      <c r="C859" s="20" t="s">
        <v>241</v>
      </c>
      <c r="D859" s="20" t="s">
        <v>222</v>
      </c>
      <c r="E859" s="20" t="s">
        <v>560</v>
      </c>
      <c r="F859" s="20"/>
      <c r="G859" s="26">
        <f>G860+G865+G868+G871</f>
        <v>3678.1999999999994</v>
      </c>
      <c r="H859" s="175"/>
    </row>
    <row r="860" spans="1:8" ht="15.75" x14ac:dyDescent="0.25">
      <c r="A860" s="25" t="s">
        <v>557</v>
      </c>
      <c r="B860" s="16">
        <v>908</v>
      </c>
      <c r="C860" s="20" t="s">
        <v>241</v>
      </c>
      <c r="D860" s="20" t="s">
        <v>222</v>
      </c>
      <c r="E860" s="20" t="s">
        <v>561</v>
      </c>
      <c r="F860" s="20"/>
      <c r="G860" s="26">
        <f>G861+G863</f>
        <v>1112.3999999999999</v>
      </c>
      <c r="H860" s="175"/>
    </row>
    <row r="861" spans="1:8" ht="94.5" x14ac:dyDescent="0.25">
      <c r="A861" s="25" t="s">
        <v>134</v>
      </c>
      <c r="B861" s="16">
        <v>908</v>
      </c>
      <c r="C861" s="20" t="s">
        <v>241</v>
      </c>
      <c r="D861" s="20" t="s">
        <v>222</v>
      </c>
      <c r="E861" s="20" t="s">
        <v>561</v>
      </c>
      <c r="F861" s="20" t="s">
        <v>135</v>
      </c>
      <c r="G861" s="26">
        <f>G862</f>
        <v>892.8</v>
      </c>
      <c r="H861" s="175"/>
    </row>
    <row r="862" spans="1:8" ht="31.5" x14ac:dyDescent="0.25">
      <c r="A862" s="46" t="s">
        <v>349</v>
      </c>
      <c r="B862" s="16">
        <v>908</v>
      </c>
      <c r="C862" s="20" t="s">
        <v>241</v>
      </c>
      <c r="D862" s="20" t="s">
        <v>222</v>
      </c>
      <c r="E862" s="20" t="s">
        <v>561</v>
      </c>
      <c r="F862" s="20" t="s">
        <v>216</v>
      </c>
      <c r="G862" s="26">
        <f>801.5+91.3</f>
        <v>892.8</v>
      </c>
      <c r="H862" s="105"/>
    </row>
    <row r="863" spans="1:8" ht="31.5" x14ac:dyDescent="0.25">
      <c r="A863" s="25" t="s">
        <v>138</v>
      </c>
      <c r="B863" s="16">
        <v>908</v>
      </c>
      <c r="C863" s="20" t="s">
        <v>241</v>
      </c>
      <c r="D863" s="20" t="s">
        <v>222</v>
      </c>
      <c r="E863" s="20" t="s">
        <v>561</v>
      </c>
      <c r="F863" s="20" t="s">
        <v>139</v>
      </c>
      <c r="G863" s="26">
        <f>G864</f>
        <v>219.6</v>
      </c>
      <c r="H863" s="175"/>
    </row>
    <row r="864" spans="1:8" ht="47.25" x14ac:dyDescent="0.25">
      <c r="A864" s="25" t="s">
        <v>140</v>
      </c>
      <c r="B864" s="16">
        <v>908</v>
      </c>
      <c r="C864" s="20" t="s">
        <v>241</v>
      </c>
      <c r="D864" s="20" t="s">
        <v>222</v>
      </c>
      <c r="E864" s="20" t="s">
        <v>561</v>
      </c>
      <c r="F864" s="20" t="s">
        <v>141</v>
      </c>
      <c r="G864" s="26">
        <v>219.6</v>
      </c>
      <c r="H864" s="175"/>
    </row>
    <row r="865" spans="1:8" ht="15.75" x14ac:dyDescent="0.25">
      <c r="A865" s="25" t="s">
        <v>562</v>
      </c>
      <c r="B865" s="16">
        <v>908</v>
      </c>
      <c r="C865" s="20" t="s">
        <v>241</v>
      </c>
      <c r="D865" s="20" t="s">
        <v>222</v>
      </c>
      <c r="E865" s="20" t="s">
        <v>563</v>
      </c>
      <c r="F865" s="20"/>
      <c r="G865" s="26">
        <f>G866</f>
        <v>86.6</v>
      </c>
      <c r="H865" s="175"/>
    </row>
    <row r="866" spans="1:8" ht="31.5" x14ac:dyDescent="0.25">
      <c r="A866" s="25" t="s">
        <v>138</v>
      </c>
      <c r="B866" s="16">
        <v>908</v>
      </c>
      <c r="C866" s="20" t="s">
        <v>241</v>
      </c>
      <c r="D866" s="20" t="s">
        <v>222</v>
      </c>
      <c r="E866" s="20" t="s">
        <v>563</v>
      </c>
      <c r="F866" s="20" t="s">
        <v>139</v>
      </c>
      <c r="G866" s="26">
        <f>G867</f>
        <v>86.6</v>
      </c>
      <c r="H866" s="175"/>
    </row>
    <row r="867" spans="1:8" ht="47.25" x14ac:dyDescent="0.25">
      <c r="A867" s="25" t="s">
        <v>140</v>
      </c>
      <c r="B867" s="16">
        <v>908</v>
      </c>
      <c r="C867" s="20" t="s">
        <v>241</v>
      </c>
      <c r="D867" s="20" t="s">
        <v>222</v>
      </c>
      <c r="E867" s="20" t="s">
        <v>563</v>
      </c>
      <c r="F867" s="20" t="s">
        <v>141</v>
      </c>
      <c r="G867" s="26">
        <v>86.6</v>
      </c>
      <c r="H867" s="175"/>
    </row>
    <row r="868" spans="1:8" ht="47.25" x14ac:dyDescent="0.25">
      <c r="A868" s="45" t="s">
        <v>564</v>
      </c>
      <c r="B868" s="16">
        <v>908</v>
      </c>
      <c r="C868" s="20" t="s">
        <v>241</v>
      </c>
      <c r="D868" s="20" t="s">
        <v>222</v>
      </c>
      <c r="E868" s="20" t="s">
        <v>565</v>
      </c>
      <c r="F868" s="20"/>
      <c r="G868" s="26">
        <f>G869</f>
        <v>2130.6</v>
      </c>
      <c r="H868" s="175"/>
    </row>
    <row r="869" spans="1:8" ht="31.5" x14ac:dyDescent="0.25">
      <c r="A869" s="25" t="s">
        <v>138</v>
      </c>
      <c r="B869" s="16">
        <v>908</v>
      </c>
      <c r="C869" s="20" t="s">
        <v>241</v>
      </c>
      <c r="D869" s="20" t="s">
        <v>222</v>
      </c>
      <c r="E869" s="20" t="s">
        <v>565</v>
      </c>
      <c r="F869" s="20" t="s">
        <v>139</v>
      </c>
      <c r="G869" s="26">
        <f>G870</f>
        <v>2130.6</v>
      </c>
      <c r="H869" s="175"/>
    </row>
    <row r="870" spans="1:8" ht="47.25" x14ac:dyDescent="0.25">
      <c r="A870" s="25" t="s">
        <v>140</v>
      </c>
      <c r="B870" s="16">
        <v>908</v>
      </c>
      <c r="C870" s="20" t="s">
        <v>241</v>
      </c>
      <c r="D870" s="20" t="s">
        <v>222</v>
      </c>
      <c r="E870" s="20" t="s">
        <v>565</v>
      </c>
      <c r="F870" s="20" t="s">
        <v>141</v>
      </c>
      <c r="G870" s="26">
        <v>2130.6</v>
      </c>
      <c r="H870" s="175"/>
    </row>
    <row r="871" spans="1:8" ht="31.5" x14ac:dyDescent="0.25">
      <c r="A871" s="45" t="s">
        <v>566</v>
      </c>
      <c r="B871" s="16">
        <v>908</v>
      </c>
      <c r="C871" s="20" t="s">
        <v>241</v>
      </c>
      <c r="D871" s="20" t="s">
        <v>222</v>
      </c>
      <c r="E871" s="20" t="s">
        <v>567</v>
      </c>
      <c r="F871" s="20"/>
      <c r="G871" s="26">
        <f>G872</f>
        <v>348.6</v>
      </c>
      <c r="H871" s="175"/>
    </row>
    <row r="872" spans="1:8" ht="31.5" x14ac:dyDescent="0.25">
      <c r="A872" s="25" t="s">
        <v>138</v>
      </c>
      <c r="B872" s="16">
        <v>908</v>
      </c>
      <c r="C872" s="20" t="s">
        <v>241</v>
      </c>
      <c r="D872" s="20" t="s">
        <v>222</v>
      </c>
      <c r="E872" s="20" t="s">
        <v>567</v>
      </c>
      <c r="F872" s="20" t="s">
        <v>139</v>
      </c>
      <c r="G872" s="26">
        <f>G873</f>
        <v>348.6</v>
      </c>
      <c r="H872" s="175"/>
    </row>
    <row r="873" spans="1:8" ht="47.25" x14ac:dyDescent="0.25">
      <c r="A873" s="25" t="s">
        <v>140</v>
      </c>
      <c r="B873" s="16">
        <v>908</v>
      </c>
      <c r="C873" s="20" t="s">
        <v>241</v>
      </c>
      <c r="D873" s="20" t="s">
        <v>222</v>
      </c>
      <c r="E873" s="20" t="s">
        <v>567</v>
      </c>
      <c r="F873" s="20" t="s">
        <v>141</v>
      </c>
      <c r="G873" s="26">
        <v>348.6</v>
      </c>
      <c r="H873" s="175"/>
    </row>
    <row r="874" spans="1:8" ht="63" x14ac:dyDescent="0.25">
      <c r="A874" s="25" t="s">
        <v>719</v>
      </c>
      <c r="B874" s="16">
        <v>908</v>
      </c>
      <c r="C874" s="20" t="s">
        <v>241</v>
      </c>
      <c r="D874" s="20" t="s">
        <v>222</v>
      </c>
      <c r="E874" s="20" t="s">
        <v>721</v>
      </c>
      <c r="F874" s="20"/>
      <c r="G874" s="26">
        <f>G875</f>
        <v>600</v>
      </c>
      <c r="H874" s="175"/>
    </row>
    <row r="875" spans="1:8" ht="31.5" x14ac:dyDescent="0.25">
      <c r="A875" s="80" t="s">
        <v>720</v>
      </c>
      <c r="B875" s="16">
        <v>908</v>
      </c>
      <c r="C875" s="20" t="s">
        <v>241</v>
      </c>
      <c r="D875" s="20" t="s">
        <v>222</v>
      </c>
      <c r="E875" s="20" t="s">
        <v>722</v>
      </c>
      <c r="F875" s="20"/>
      <c r="G875" s="26">
        <f>G876</f>
        <v>600</v>
      </c>
      <c r="H875" s="175"/>
    </row>
    <row r="876" spans="1:8" ht="31.5" x14ac:dyDescent="0.25">
      <c r="A876" s="25" t="s">
        <v>138</v>
      </c>
      <c r="B876" s="16">
        <v>908</v>
      </c>
      <c r="C876" s="20" t="s">
        <v>241</v>
      </c>
      <c r="D876" s="20" t="s">
        <v>222</v>
      </c>
      <c r="E876" s="20" t="s">
        <v>722</v>
      </c>
      <c r="F876" s="20" t="s">
        <v>139</v>
      </c>
      <c r="G876" s="26">
        <f>G877</f>
        <v>600</v>
      </c>
      <c r="H876" s="175"/>
    </row>
    <row r="877" spans="1:8" ht="47.25" x14ac:dyDescent="0.25">
      <c r="A877" s="25" t="s">
        <v>140</v>
      </c>
      <c r="B877" s="16">
        <v>908</v>
      </c>
      <c r="C877" s="20" t="s">
        <v>241</v>
      </c>
      <c r="D877" s="20" t="s">
        <v>222</v>
      </c>
      <c r="E877" s="20" t="s">
        <v>722</v>
      </c>
      <c r="F877" s="20" t="s">
        <v>141</v>
      </c>
      <c r="G877" s="26">
        <v>600</v>
      </c>
      <c r="H877" s="105"/>
    </row>
    <row r="878" spans="1:8" ht="15.75" x14ac:dyDescent="0.25">
      <c r="A878" s="25" t="s">
        <v>128</v>
      </c>
      <c r="B878" s="16">
        <v>908</v>
      </c>
      <c r="C878" s="20" t="s">
        <v>241</v>
      </c>
      <c r="D878" s="20" t="s">
        <v>222</v>
      </c>
      <c r="E878" s="20" t="s">
        <v>129</v>
      </c>
      <c r="F878" s="20"/>
      <c r="G878" s="26">
        <f>G879+G892</f>
        <v>12489.099999999999</v>
      </c>
      <c r="H878" s="175"/>
    </row>
    <row r="879" spans="1:8" ht="31.5" x14ac:dyDescent="0.25">
      <c r="A879" s="25" t="s">
        <v>192</v>
      </c>
      <c r="B879" s="16">
        <v>908</v>
      </c>
      <c r="C879" s="20" t="s">
        <v>241</v>
      </c>
      <c r="D879" s="20" t="s">
        <v>222</v>
      </c>
      <c r="E879" s="20" t="s">
        <v>193</v>
      </c>
      <c r="F879" s="20"/>
      <c r="G879" s="26">
        <f>G880+G883+G886+G889</f>
        <v>12033.199999999999</v>
      </c>
      <c r="H879" s="175"/>
    </row>
    <row r="880" spans="1:8" ht="31.5" x14ac:dyDescent="0.25">
      <c r="A880" s="25" t="s">
        <v>568</v>
      </c>
      <c r="B880" s="16">
        <v>908</v>
      </c>
      <c r="C880" s="20" t="s">
        <v>241</v>
      </c>
      <c r="D880" s="20" t="s">
        <v>222</v>
      </c>
      <c r="E880" s="20" t="s">
        <v>569</v>
      </c>
      <c r="F880" s="20"/>
      <c r="G880" s="26">
        <f>G881</f>
        <v>6302.4</v>
      </c>
      <c r="H880" s="175"/>
    </row>
    <row r="881" spans="1:9" ht="31.5" x14ac:dyDescent="0.25">
      <c r="A881" s="25" t="s">
        <v>138</v>
      </c>
      <c r="B881" s="16">
        <v>908</v>
      </c>
      <c r="C881" s="20" t="s">
        <v>241</v>
      </c>
      <c r="D881" s="20" t="s">
        <v>222</v>
      </c>
      <c r="E881" s="20" t="s">
        <v>569</v>
      </c>
      <c r="F881" s="20" t="s">
        <v>139</v>
      </c>
      <c r="G881" s="26">
        <f>G882</f>
        <v>6302.4</v>
      </c>
      <c r="H881" s="175"/>
    </row>
    <row r="882" spans="1:9" ht="47.25" x14ac:dyDescent="0.25">
      <c r="A882" s="25" t="s">
        <v>140</v>
      </c>
      <c r="B882" s="16">
        <v>908</v>
      </c>
      <c r="C882" s="20" t="s">
        <v>241</v>
      </c>
      <c r="D882" s="20" t="s">
        <v>222</v>
      </c>
      <c r="E882" s="20" t="s">
        <v>569</v>
      </c>
      <c r="F882" s="20" t="s">
        <v>141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698</v>
      </c>
      <c r="B883" s="16">
        <v>908</v>
      </c>
      <c r="C883" s="20" t="s">
        <v>241</v>
      </c>
      <c r="D883" s="20" t="s">
        <v>222</v>
      </c>
      <c r="E883" s="20" t="s">
        <v>699</v>
      </c>
      <c r="F883" s="20"/>
      <c r="G883" s="26">
        <f>G884</f>
        <v>2132</v>
      </c>
      <c r="H883" s="175"/>
    </row>
    <row r="884" spans="1:9" ht="31.5" x14ac:dyDescent="0.25">
      <c r="A884" s="25" t="s">
        <v>138</v>
      </c>
      <c r="B884" s="16">
        <v>908</v>
      </c>
      <c r="C884" s="20" t="s">
        <v>241</v>
      </c>
      <c r="D884" s="20" t="s">
        <v>222</v>
      </c>
      <c r="E884" s="20" t="s">
        <v>699</v>
      </c>
      <c r="F884" s="20" t="s">
        <v>139</v>
      </c>
      <c r="G884" s="26">
        <f>G885</f>
        <v>2132</v>
      </c>
      <c r="H884" s="175"/>
    </row>
    <row r="885" spans="1:9" ht="47.25" x14ac:dyDescent="0.25">
      <c r="A885" s="25" t="s">
        <v>140</v>
      </c>
      <c r="B885" s="16">
        <v>908</v>
      </c>
      <c r="C885" s="20" t="s">
        <v>241</v>
      </c>
      <c r="D885" s="20" t="s">
        <v>222</v>
      </c>
      <c r="E885" s="20" t="s">
        <v>699</v>
      </c>
      <c r="F885" s="20" t="s">
        <v>141</v>
      </c>
      <c r="G885" s="26">
        <v>2132</v>
      </c>
      <c r="H885" s="105"/>
    </row>
    <row r="886" spans="1:9" ht="47.25" x14ac:dyDescent="0.25">
      <c r="A886" s="25" t="s">
        <v>700</v>
      </c>
      <c r="B886" s="16">
        <v>908</v>
      </c>
      <c r="C886" s="20" t="s">
        <v>241</v>
      </c>
      <c r="D886" s="20" t="s">
        <v>222</v>
      </c>
      <c r="E886" s="20" t="s">
        <v>570</v>
      </c>
      <c r="F886" s="20"/>
      <c r="G886" s="26">
        <f>G887</f>
        <v>2000</v>
      </c>
      <c r="H886" s="175"/>
    </row>
    <row r="887" spans="1:9" ht="31.5" x14ac:dyDescent="0.25">
      <c r="A887" s="25" t="s">
        <v>138</v>
      </c>
      <c r="B887" s="16">
        <v>908</v>
      </c>
      <c r="C887" s="20" t="s">
        <v>241</v>
      </c>
      <c r="D887" s="20" t="s">
        <v>222</v>
      </c>
      <c r="E887" s="20" t="s">
        <v>570</v>
      </c>
      <c r="F887" s="20" t="s">
        <v>139</v>
      </c>
      <c r="G887" s="26">
        <f>G888</f>
        <v>2000</v>
      </c>
      <c r="H887" s="175"/>
    </row>
    <row r="888" spans="1:9" ht="47.25" x14ac:dyDescent="0.25">
      <c r="A888" s="25" t="s">
        <v>140</v>
      </c>
      <c r="B888" s="16">
        <v>908</v>
      </c>
      <c r="C888" s="20" t="s">
        <v>241</v>
      </c>
      <c r="D888" s="20" t="s">
        <v>222</v>
      </c>
      <c r="E888" s="20" t="s">
        <v>570</v>
      </c>
      <c r="F888" s="20" t="s">
        <v>141</v>
      </c>
      <c r="G888" s="26">
        <v>2000</v>
      </c>
      <c r="H888" s="105"/>
    </row>
    <row r="889" spans="1:9" ht="63" x14ac:dyDescent="0.25">
      <c r="A889" s="25" t="s">
        <v>701</v>
      </c>
      <c r="B889" s="16">
        <v>908</v>
      </c>
      <c r="C889" s="20" t="s">
        <v>241</v>
      </c>
      <c r="D889" s="20" t="s">
        <v>222</v>
      </c>
      <c r="E889" s="20" t="s">
        <v>702</v>
      </c>
      <c r="F889" s="20"/>
      <c r="G889" s="26">
        <f>G890</f>
        <v>1598.8</v>
      </c>
      <c r="H889" s="107"/>
    </row>
    <row r="890" spans="1:9" ht="31.5" x14ac:dyDescent="0.25">
      <c r="A890" s="25" t="s">
        <v>138</v>
      </c>
      <c r="B890" s="16">
        <v>908</v>
      </c>
      <c r="C890" s="20" t="s">
        <v>241</v>
      </c>
      <c r="D890" s="20" t="s">
        <v>222</v>
      </c>
      <c r="E890" s="20" t="s">
        <v>702</v>
      </c>
      <c r="F890" s="20" t="s">
        <v>139</v>
      </c>
      <c r="G890" s="26">
        <f>G891</f>
        <v>1598.8</v>
      </c>
      <c r="H890" s="107"/>
    </row>
    <row r="891" spans="1:9" ht="47.25" x14ac:dyDescent="0.25">
      <c r="A891" s="25" t="s">
        <v>140</v>
      </c>
      <c r="B891" s="16">
        <v>908</v>
      </c>
      <c r="C891" s="20" t="s">
        <v>241</v>
      </c>
      <c r="D891" s="20" t="s">
        <v>222</v>
      </c>
      <c r="E891" s="20" t="s">
        <v>702</v>
      </c>
      <c r="F891" s="20" t="s">
        <v>141</v>
      </c>
      <c r="G891" s="26">
        <v>1598.8</v>
      </c>
      <c r="H891" s="107"/>
    </row>
    <row r="892" spans="1:9" ht="15.75" x14ac:dyDescent="0.25">
      <c r="A892" s="25" t="s">
        <v>148</v>
      </c>
      <c r="B892" s="16">
        <v>908</v>
      </c>
      <c r="C892" s="20" t="s">
        <v>241</v>
      </c>
      <c r="D892" s="20" t="s">
        <v>222</v>
      </c>
      <c r="E892" s="20" t="s">
        <v>149</v>
      </c>
      <c r="F892" s="20"/>
      <c r="G892" s="26">
        <f>G893</f>
        <v>455.9</v>
      </c>
      <c r="H892" s="175"/>
    </row>
    <row r="893" spans="1:9" ht="15.75" x14ac:dyDescent="0.25">
      <c r="A893" s="25" t="s">
        <v>571</v>
      </c>
      <c r="B893" s="16">
        <v>908</v>
      </c>
      <c r="C893" s="20" t="s">
        <v>241</v>
      </c>
      <c r="D893" s="20" t="s">
        <v>222</v>
      </c>
      <c r="E893" s="20" t="s">
        <v>572</v>
      </c>
      <c r="F893" s="20"/>
      <c r="G893" s="26">
        <f>G894</f>
        <v>455.9</v>
      </c>
      <c r="H893" s="175"/>
    </row>
    <row r="894" spans="1:9" ht="31.5" x14ac:dyDescent="0.25">
      <c r="A894" s="25" t="s">
        <v>138</v>
      </c>
      <c r="B894" s="16">
        <v>908</v>
      </c>
      <c r="C894" s="20" t="s">
        <v>241</v>
      </c>
      <c r="D894" s="20" t="s">
        <v>222</v>
      </c>
      <c r="E894" s="20" t="s">
        <v>572</v>
      </c>
      <c r="F894" s="20" t="s">
        <v>139</v>
      </c>
      <c r="G894" s="26">
        <f>G895</f>
        <v>455.9</v>
      </c>
      <c r="H894" s="175"/>
    </row>
    <row r="895" spans="1:9" ht="47.25" x14ac:dyDescent="0.25">
      <c r="A895" s="25" t="s">
        <v>140</v>
      </c>
      <c r="B895" s="16">
        <v>908</v>
      </c>
      <c r="C895" s="20" t="s">
        <v>241</v>
      </c>
      <c r="D895" s="20" t="s">
        <v>222</v>
      </c>
      <c r="E895" s="20" t="s">
        <v>572</v>
      </c>
      <c r="F895" s="20" t="s">
        <v>141</v>
      </c>
      <c r="G895" s="27">
        <v>455.9</v>
      </c>
      <c r="H895" s="175"/>
    </row>
    <row r="896" spans="1:9" ht="15.75" hidden="1" x14ac:dyDescent="0.25">
      <c r="A896" s="25" t="s">
        <v>573</v>
      </c>
      <c r="B896" s="16">
        <v>908</v>
      </c>
      <c r="C896" s="20" t="s">
        <v>241</v>
      </c>
      <c r="D896" s="20" t="s">
        <v>222</v>
      </c>
      <c r="E896" s="20" t="s">
        <v>574</v>
      </c>
      <c r="F896" s="20"/>
      <c r="G896" s="27">
        <f>G897</f>
        <v>0</v>
      </c>
      <c r="H896" s="175"/>
    </row>
    <row r="897" spans="1:10" ht="15.75" hidden="1" x14ac:dyDescent="0.25">
      <c r="A897" s="25" t="s">
        <v>142</v>
      </c>
      <c r="B897" s="16">
        <v>908</v>
      </c>
      <c r="C897" s="20" t="s">
        <v>241</v>
      </c>
      <c r="D897" s="20" t="s">
        <v>222</v>
      </c>
      <c r="E897" s="20" t="s">
        <v>574</v>
      </c>
      <c r="F897" s="20" t="s">
        <v>152</v>
      </c>
      <c r="G897" s="27">
        <f>G898</f>
        <v>0</v>
      </c>
      <c r="H897" s="175"/>
    </row>
    <row r="898" spans="1:10" ht="15.75" hidden="1" x14ac:dyDescent="0.25">
      <c r="A898" s="25" t="s">
        <v>575</v>
      </c>
      <c r="B898" s="16">
        <v>908</v>
      </c>
      <c r="C898" s="20" t="s">
        <v>241</v>
      </c>
      <c r="D898" s="20" t="s">
        <v>222</v>
      </c>
      <c r="E898" s="20" t="s">
        <v>574</v>
      </c>
      <c r="F898" s="20" t="s">
        <v>145</v>
      </c>
      <c r="G898" s="27">
        <v>0</v>
      </c>
      <c r="H898" s="175"/>
    </row>
    <row r="899" spans="1:10" ht="31.5" x14ac:dyDescent="0.25">
      <c r="A899" s="23" t="s">
        <v>576</v>
      </c>
      <c r="B899" s="19">
        <v>908</v>
      </c>
      <c r="C899" s="24" t="s">
        <v>241</v>
      </c>
      <c r="D899" s="24" t="s">
        <v>241</v>
      </c>
      <c r="E899" s="24"/>
      <c r="F899" s="24"/>
      <c r="G899" s="21">
        <f>G900</f>
        <v>21124.69</v>
      </c>
      <c r="H899" s="175"/>
    </row>
    <row r="900" spans="1:10" ht="15.75" x14ac:dyDescent="0.25">
      <c r="A900" s="25" t="s">
        <v>128</v>
      </c>
      <c r="B900" s="16">
        <v>908</v>
      </c>
      <c r="C900" s="20" t="s">
        <v>241</v>
      </c>
      <c r="D900" s="20" t="s">
        <v>241</v>
      </c>
      <c r="E900" s="20" t="s">
        <v>129</v>
      </c>
      <c r="F900" s="20"/>
      <c r="G900" s="26">
        <f>G901+G909</f>
        <v>21124.69</v>
      </c>
      <c r="H900" s="175"/>
    </row>
    <row r="901" spans="1:10" ht="31.5" x14ac:dyDescent="0.25">
      <c r="A901" s="25" t="s">
        <v>130</v>
      </c>
      <c r="B901" s="16">
        <v>908</v>
      </c>
      <c r="C901" s="20" t="s">
        <v>241</v>
      </c>
      <c r="D901" s="20" t="s">
        <v>241</v>
      </c>
      <c r="E901" s="20" t="s">
        <v>131</v>
      </c>
      <c r="F901" s="20"/>
      <c r="G901" s="26">
        <f>G902</f>
        <v>13501.699999999999</v>
      </c>
      <c r="H901" s="175"/>
    </row>
    <row r="902" spans="1:10" ht="47.25" x14ac:dyDescent="0.25">
      <c r="A902" s="25" t="s">
        <v>132</v>
      </c>
      <c r="B902" s="16">
        <v>908</v>
      </c>
      <c r="C902" s="20" t="s">
        <v>241</v>
      </c>
      <c r="D902" s="20" t="s">
        <v>241</v>
      </c>
      <c r="E902" s="20" t="s">
        <v>133</v>
      </c>
      <c r="F902" s="20"/>
      <c r="G902" s="26">
        <f>G903+G907+G905</f>
        <v>13501.699999999999</v>
      </c>
      <c r="H902" s="175"/>
    </row>
    <row r="903" spans="1:10" ht="94.5" x14ac:dyDescent="0.25">
      <c r="A903" s="25" t="s">
        <v>134</v>
      </c>
      <c r="B903" s="16">
        <v>908</v>
      </c>
      <c r="C903" s="20" t="s">
        <v>241</v>
      </c>
      <c r="D903" s="20" t="s">
        <v>241</v>
      </c>
      <c r="E903" s="20" t="s">
        <v>133</v>
      </c>
      <c r="F903" s="20" t="s">
        <v>135</v>
      </c>
      <c r="G903" s="26">
        <f>G904</f>
        <v>13327.8</v>
      </c>
      <c r="H903" s="175"/>
    </row>
    <row r="904" spans="1:10" ht="31.5" x14ac:dyDescent="0.25">
      <c r="A904" s="25" t="s">
        <v>136</v>
      </c>
      <c r="B904" s="16">
        <v>908</v>
      </c>
      <c r="C904" s="20" t="s">
        <v>241</v>
      </c>
      <c r="D904" s="20" t="s">
        <v>241</v>
      </c>
      <c r="E904" s="20" t="s">
        <v>133</v>
      </c>
      <c r="F904" s="20" t="s">
        <v>137</v>
      </c>
      <c r="G904" s="165">
        <f>13259.3+28.4+100-59.9</f>
        <v>13327.8</v>
      </c>
      <c r="H904" s="105" t="s">
        <v>757</v>
      </c>
      <c r="I904" s="123"/>
      <c r="J904" s="169" t="s">
        <v>764</v>
      </c>
    </row>
    <row r="905" spans="1:10" ht="31.5" x14ac:dyDescent="0.25">
      <c r="A905" s="25" t="s">
        <v>138</v>
      </c>
      <c r="B905" s="16">
        <v>908</v>
      </c>
      <c r="C905" s="20" t="s">
        <v>241</v>
      </c>
      <c r="D905" s="20" t="s">
        <v>241</v>
      </c>
      <c r="E905" s="20" t="s">
        <v>133</v>
      </c>
      <c r="F905" s="20" t="s">
        <v>139</v>
      </c>
      <c r="G905" s="26">
        <f>G906</f>
        <v>25</v>
      </c>
      <c r="H905" s="175"/>
    </row>
    <row r="906" spans="1:10" ht="47.25" x14ac:dyDescent="0.25">
      <c r="A906" s="25" t="s">
        <v>140</v>
      </c>
      <c r="B906" s="16">
        <v>908</v>
      </c>
      <c r="C906" s="20" t="s">
        <v>241</v>
      </c>
      <c r="D906" s="20" t="s">
        <v>241</v>
      </c>
      <c r="E906" s="20" t="s">
        <v>133</v>
      </c>
      <c r="F906" s="20" t="s">
        <v>141</v>
      </c>
      <c r="G906" s="27">
        <v>25</v>
      </c>
      <c r="H906" s="105"/>
      <c r="I906" s="123"/>
    </row>
    <row r="907" spans="1:10" ht="15.75" x14ac:dyDescent="0.25">
      <c r="A907" s="25" t="s">
        <v>142</v>
      </c>
      <c r="B907" s="16">
        <v>908</v>
      </c>
      <c r="C907" s="20" t="s">
        <v>241</v>
      </c>
      <c r="D907" s="20" t="s">
        <v>241</v>
      </c>
      <c r="E907" s="20" t="s">
        <v>133</v>
      </c>
      <c r="F907" s="20" t="s">
        <v>152</v>
      </c>
      <c r="G907" s="26">
        <f>G908</f>
        <v>148.9</v>
      </c>
      <c r="H907" s="175"/>
    </row>
    <row r="908" spans="1:10" ht="15.75" x14ac:dyDescent="0.25">
      <c r="A908" s="25" t="s">
        <v>575</v>
      </c>
      <c r="B908" s="16">
        <v>908</v>
      </c>
      <c r="C908" s="20" t="s">
        <v>241</v>
      </c>
      <c r="D908" s="20" t="s">
        <v>241</v>
      </c>
      <c r="E908" s="20" t="s">
        <v>133</v>
      </c>
      <c r="F908" s="20" t="s">
        <v>145</v>
      </c>
      <c r="G908" s="161">
        <f>89+59.9</f>
        <v>148.9</v>
      </c>
      <c r="H908" s="156" t="s">
        <v>756</v>
      </c>
    </row>
    <row r="909" spans="1:10" ht="15.75" x14ac:dyDescent="0.25">
      <c r="A909" s="25" t="s">
        <v>148</v>
      </c>
      <c r="B909" s="16">
        <v>908</v>
      </c>
      <c r="C909" s="20" t="s">
        <v>241</v>
      </c>
      <c r="D909" s="20" t="s">
        <v>241</v>
      </c>
      <c r="E909" s="20" t="s">
        <v>149</v>
      </c>
      <c r="F909" s="20"/>
      <c r="G909" s="26">
        <f>G913+G910</f>
        <v>7622.99</v>
      </c>
      <c r="H909" s="175"/>
    </row>
    <row r="910" spans="1:10" ht="31.5" x14ac:dyDescent="0.25">
      <c r="A910" s="25" t="s">
        <v>577</v>
      </c>
      <c r="B910" s="16">
        <v>908</v>
      </c>
      <c r="C910" s="20" t="s">
        <v>241</v>
      </c>
      <c r="D910" s="20" t="s">
        <v>241</v>
      </c>
      <c r="E910" s="20" t="s">
        <v>578</v>
      </c>
      <c r="F910" s="20"/>
      <c r="G910" s="27">
        <f>G911</f>
        <v>1461</v>
      </c>
      <c r="H910" s="175"/>
    </row>
    <row r="911" spans="1:10" ht="15.75" x14ac:dyDescent="0.25">
      <c r="A911" s="25" t="s">
        <v>142</v>
      </c>
      <c r="B911" s="16">
        <v>908</v>
      </c>
      <c r="C911" s="20" t="s">
        <v>241</v>
      </c>
      <c r="D911" s="20" t="s">
        <v>241</v>
      </c>
      <c r="E911" s="20" t="s">
        <v>578</v>
      </c>
      <c r="F911" s="20" t="s">
        <v>152</v>
      </c>
      <c r="G911" s="27">
        <f>G912</f>
        <v>1461</v>
      </c>
      <c r="H911" s="175"/>
    </row>
    <row r="912" spans="1:10" ht="63" x14ac:dyDescent="0.25">
      <c r="A912" s="25" t="s">
        <v>191</v>
      </c>
      <c r="B912" s="16">
        <v>908</v>
      </c>
      <c r="C912" s="20" t="s">
        <v>241</v>
      </c>
      <c r="D912" s="20" t="s">
        <v>241</v>
      </c>
      <c r="E912" s="20" t="s">
        <v>578</v>
      </c>
      <c r="F912" s="20" t="s">
        <v>167</v>
      </c>
      <c r="G912" s="27">
        <v>1461</v>
      </c>
      <c r="H912" s="175"/>
    </row>
    <row r="913" spans="1:10" ht="31.5" x14ac:dyDescent="0.25">
      <c r="A913" s="25" t="s">
        <v>347</v>
      </c>
      <c r="B913" s="16">
        <v>908</v>
      </c>
      <c r="C913" s="20" t="s">
        <v>241</v>
      </c>
      <c r="D913" s="20" t="s">
        <v>241</v>
      </c>
      <c r="E913" s="20" t="s">
        <v>348</v>
      </c>
      <c r="F913" s="20"/>
      <c r="G913" s="26">
        <f>G914+G916</f>
        <v>6161.99</v>
      </c>
      <c r="H913" s="175"/>
    </row>
    <row r="914" spans="1:10" ht="94.5" x14ac:dyDescent="0.25">
      <c r="A914" s="25" t="s">
        <v>134</v>
      </c>
      <c r="B914" s="16">
        <v>908</v>
      </c>
      <c r="C914" s="20" t="s">
        <v>241</v>
      </c>
      <c r="D914" s="20" t="s">
        <v>241</v>
      </c>
      <c r="E914" s="20" t="s">
        <v>348</v>
      </c>
      <c r="F914" s="20" t="s">
        <v>135</v>
      </c>
      <c r="G914" s="26">
        <f>G915</f>
        <v>4505.49</v>
      </c>
      <c r="H914" s="175"/>
    </row>
    <row r="915" spans="1:10" ht="31.5" x14ac:dyDescent="0.25">
      <c r="A915" s="25" t="s">
        <v>349</v>
      </c>
      <c r="B915" s="16">
        <v>908</v>
      </c>
      <c r="C915" s="20" t="s">
        <v>241</v>
      </c>
      <c r="D915" s="20" t="s">
        <v>241</v>
      </c>
      <c r="E915" s="20" t="s">
        <v>348</v>
      </c>
      <c r="F915" s="20" t="s">
        <v>216</v>
      </c>
      <c r="G915" s="155">
        <f>6196.89-1411.4-100-180</f>
        <v>4505.49</v>
      </c>
      <c r="H915" s="105" t="s">
        <v>770</v>
      </c>
      <c r="I915" s="123"/>
      <c r="J915" s="168" t="s">
        <v>769</v>
      </c>
    </row>
    <row r="916" spans="1:10" ht="31.5" x14ac:dyDescent="0.25">
      <c r="A916" s="25" t="s">
        <v>138</v>
      </c>
      <c r="B916" s="16">
        <v>908</v>
      </c>
      <c r="C916" s="20" t="s">
        <v>241</v>
      </c>
      <c r="D916" s="20" t="s">
        <v>241</v>
      </c>
      <c r="E916" s="20" t="s">
        <v>348</v>
      </c>
      <c r="F916" s="20" t="s">
        <v>139</v>
      </c>
      <c r="G916" s="26">
        <f>G917</f>
        <v>1656.5</v>
      </c>
      <c r="H916" s="175"/>
    </row>
    <row r="917" spans="1:10" ht="47.25" x14ac:dyDescent="0.25">
      <c r="A917" s="25" t="s">
        <v>140</v>
      </c>
      <c r="B917" s="16">
        <v>908</v>
      </c>
      <c r="C917" s="20" t="s">
        <v>241</v>
      </c>
      <c r="D917" s="20" t="s">
        <v>241</v>
      </c>
      <c r="E917" s="20" t="s">
        <v>348</v>
      </c>
      <c r="F917" s="20" t="s">
        <v>141</v>
      </c>
      <c r="G917" s="155">
        <f>1341.9+928.5-198.8-595.1+180</f>
        <v>1656.5</v>
      </c>
      <c r="H917" s="105" t="s">
        <v>771</v>
      </c>
      <c r="I917" s="124"/>
      <c r="J917" s="168"/>
    </row>
    <row r="918" spans="1:10" ht="15.75" x14ac:dyDescent="0.25">
      <c r="A918" s="23" t="s">
        <v>250</v>
      </c>
      <c r="B918" s="19">
        <v>908</v>
      </c>
      <c r="C918" s="24" t="s">
        <v>251</v>
      </c>
      <c r="D918" s="24"/>
      <c r="E918" s="24"/>
      <c r="F918" s="24"/>
      <c r="G918" s="21">
        <f t="shared" ref="G918:G923" si="5">G919</f>
        <v>87.1</v>
      </c>
      <c r="H918" s="175"/>
    </row>
    <row r="919" spans="1:10" ht="31.5" x14ac:dyDescent="0.25">
      <c r="A919" s="23" t="s">
        <v>265</v>
      </c>
      <c r="B919" s="19">
        <v>908</v>
      </c>
      <c r="C919" s="24" t="s">
        <v>251</v>
      </c>
      <c r="D919" s="24" t="s">
        <v>127</v>
      </c>
      <c r="E919" s="24"/>
      <c r="F919" s="24"/>
      <c r="G919" s="21">
        <f t="shared" si="5"/>
        <v>87.1</v>
      </c>
      <c r="H919" s="175"/>
    </row>
    <row r="920" spans="1:10" ht="15.75" x14ac:dyDescent="0.25">
      <c r="A920" s="25" t="s">
        <v>128</v>
      </c>
      <c r="B920" s="16">
        <v>908</v>
      </c>
      <c r="C920" s="20" t="s">
        <v>251</v>
      </c>
      <c r="D920" s="20" t="s">
        <v>127</v>
      </c>
      <c r="E920" s="20" t="s">
        <v>129</v>
      </c>
      <c r="F920" s="20"/>
      <c r="G920" s="21">
        <f t="shared" si="5"/>
        <v>87.1</v>
      </c>
      <c r="H920" s="175"/>
    </row>
    <row r="921" spans="1:10" ht="15.75" x14ac:dyDescent="0.25">
      <c r="A921" s="25" t="s">
        <v>148</v>
      </c>
      <c r="B921" s="16">
        <v>908</v>
      </c>
      <c r="C921" s="20" t="s">
        <v>251</v>
      </c>
      <c r="D921" s="20" t="s">
        <v>127</v>
      </c>
      <c r="E921" s="20" t="s">
        <v>149</v>
      </c>
      <c r="F921" s="20"/>
      <c r="G921" s="26">
        <f t="shared" si="5"/>
        <v>87.1</v>
      </c>
      <c r="H921" s="175"/>
    </row>
    <row r="922" spans="1:10" ht="15.75" x14ac:dyDescent="0.25">
      <c r="A922" s="25" t="s">
        <v>579</v>
      </c>
      <c r="B922" s="16">
        <v>908</v>
      </c>
      <c r="C922" s="20" t="s">
        <v>251</v>
      </c>
      <c r="D922" s="20" t="s">
        <v>127</v>
      </c>
      <c r="E922" s="20" t="s">
        <v>580</v>
      </c>
      <c r="F922" s="20"/>
      <c r="G922" s="26">
        <f t="shared" si="5"/>
        <v>87.1</v>
      </c>
      <c r="H922" s="175"/>
    </row>
    <row r="923" spans="1:10" ht="15.75" x14ac:dyDescent="0.25">
      <c r="A923" s="25" t="s">
        <v>142</v>
      </c>
      <c r="B923" s="16">
        <v>908</v>
      </c>
      <c r="C923" s="20" t="s">
        <v>251</v>
      </c>
      <c r="D923" s="20" t="s">
        <v>127</v>
      </c>
      <c r="E923" s="20" t="s">
        <v>580</v>
      </c>
      <c r="F923" s="20" t="s">
        <v>152</v>
      </c>
      <c r="G923" s="26">
        <f t="shared" si="5"/>
        <v>87.1</v>
      </c>
      <c r="H923" s="175"/>
    </row>
    <row r="924" spans="1:10" ht="63" x14ac:dyDescent="0.25">
      <c r="A924" s="25" t="s">
        <v>191</v>
      </c>
      <c r="B924" s="16">
        <v>908</v>
      </c>
      <c r="C924" s="20" t="s">
        <v>251</v>
      </c>
      <c r="D924" s="20" t="s">
        <v>127</v>
      </c>
      <c r="E924" s="20" t="s">
        <v>580</v>
      </c>
      <c r="F924" s="20" t="s">
        <v>167</v>
      </c>
      <c r="G924" s="26">
        <v>87.1</v>
      </c>
      <c r="H924" s="175"/>
    </row>
    <row r="925" spans="1:10" ht="31.5" x14ac:dyDescent="0.25">
      <c r="A925" s="19" t="s">
        <v>581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5"/>
    </row>
    <row r="926" spans="1:10" ht="15.75" x14ac:dyDescent="0.25">
      <c r="A926" s="23" t="s">
        <v>124</v>
      </c>
      <c r="B926" s="19">
        <v>910</v>
      </c>
      <c r="C926" s="24" t="s">
        <v>125</v>
      </c>
      <c r="D926" s="24"/>
      <c r="E926" s="24"/>
      <c r="F926" s="24"/>
      <c r="G926" s="21">
        <f>G927+G935+G945+G953</f>
        <v>7042.5</v>
      </c>
      <c r="H926" s="175"/>
    </row>
    <row r="927" spans="1:10" ht="47.25" x14ac:dyDescent="0.25">
      <c r="A927" s="23" t="s">
        <v>582</v>
      </c>
      <c r="B927" s="19">
        <v>910</v>
      </c>
      <c r="C927" s="24" t="s">
        <v>125</v>
      </c>
      <c r="D927" s="24" t="s">
        <v>220</v>
      </c>
      <c r="E927" s="24"/>
      <c r="F927" s="24"/>
      <c r="G927" s="21">
        <f>G928</f>
        <v>4188.8</v>
      </c>
      <c r="H927" s="175"/>
    </row>
    <row r="928" spans="1:10" ht="15.75" x14ac:dyDescent="0.25">
      <c r="A928" s="25" t="s">
        <v>128</v>
      </c>
      <c r="B928" s="16">
        <v>910</v>
      </c>
      <c r="C928" s="20" t="s">
        <v>125</v>
      </c>
      <c r="D928" s="20" t="s">
        <v>220</v>
      </c>
      <c r="E928" s="20" t="s">
        <v>129</v>
      </c>
      <c r="F928" s="20"/>
      <c r="G928" s="26">
        <f>G929</f>
        <v>4188.8</v>
      </c>
      <c r="H928" s="175"/>
    </row>
    <row r="929" spans="1:10" ht="31.5" x14ac:dyDescent="0.25">
      <c r="A929" s="25" t="s">
        <v>130</v>
      </c>
      <c r="B929" s="16">
        <v>910</v>
      </c>
      <c r="C929" s="20" t="s">
        <v>125</v>
      </c>
      <c r="D929" s="20" t="s">
        <v>220</v>
      </c>
      <c r="E929" s="20" t="s">
        <v>131</v>
      </c>
      <c r="F929" s="20"/>
      <c r="G929" s="26">
        <f>G930</f>
        <v>4188.8</v>
      </c>
      <c r="H929" s="175"/>
    </row>
    <row r="930" spans="1:10" ht="47.25" x14ac:dyDescent="0.25">
      <c r="A930" s="25" t="s">
        <v>583</v>
      </c>
      <c r="B930" s="16">
        <v>910</v>
      </c>
      <c r="C930" s="20" t="s">
        <v>125</v>
      </c>
      <c r="D930" s="20" t="s">
        <v>220</v>
      </c>
      <c r="E930" s="20" t="s">
        <v>584</v>
      </c>
      <c r="F930" s="20"/>
      <c r="G930" s="26">
        <f>G931+G933</f>
        <v>4188.8</v>
      </c>
      <c r="H930" s="175"/>
    </row>
    <row r="931" spans="1:10" ht="94.5" x14ac:dyDescent="0.25">
      <c r="A931" s="25" t="s">
        <v>134</v>
      </c>
      <c r="B931" s="16">
        <v>910</v>
      </c>
      <c r="C931" s="20" t="s">
        <v>125</v>
      </c>
      <c r="D931" s="20" t="s">
        <v>220</v>
      </c>
      <c r="E931" s="20" t="s">
        <v>584</v>
      </c>
      <c r="F931" s="20" t="s">
        <v>135</v>
      </c>
      <c r="G931" s="26">
        <f>G932+G933</f>
        <v>4188.8</v>
      </c>
      <c r="H931" s="175"/>
    </row>
    <row r="932" spans="1:10" ht="31.5" x14ac:dyDescent="0.25">
      <c r="A932" s="25" t="s">
        <v>136</v>
      </c>
      <c r="B932" s="16">
        <v>910</v>
      </c>
      <c r="C932" s="20" t="s">
        <v>125</v>
      </c>
      <c r="D932" s="20" t="s">
        <v>220</v>
      </c>
      <c r="E932" s="20" t="s">
        <v>584</v>
      </c>
      <c r="F932" s="20" t="s">
        <v>137</v>
      </c>
      <c r="G932" s="27">
        <v>4188.8</v>
      </c>
      <c r="H932" s="175"/>
      <c r="J932" s="168" t="s">
        <v>765</v>
      </c>
    </row>
    <row r="933" spans="1:10" ht="47.25" hidden="1" x14ac:dyDescent="0.25">
      <c r="A933" s="25" t="s">
        <v>205</v>
      </c>
      <c r="B933" s="16">
        <v>910</v>
      </c>
      <c r="C933" s="20" t="s">
        <v>125</v>
      </c>
      <c r="D933" s="20" t="s">
        <v>220</v>
      </c>
      <c r="E933" s="20" t="s">
        <v>584</v>
      </c>
      <c r="F933" s="20" t="s">
        <v>139</v>
      </c>
      <c r="G933" s="26">
        <f>G934</f>
        <v>0</v>
      </c>
      <c r="H933" s="175"/>
    </row>
    <row r="934" spans="1:10" ht="47.25" hidden="1" x14ac:dyDescent="0.25">
      <c r="A934" s="25" t="s">
        <v>140</v>
      </c>
      <c r="B934" s="16">
        <v>910</v>
      </c>
      <c r="C934" s="20" t="s">
        <v>125</v>
      </c>
      <c r="D934" s="20" t="s">
        <v>220</v>
      </c>
      <c r="E934" s="20" t="s">
        <v>584</v>
      </c>
      <c r="F934" s="20" t="s">
        <v>141</v>
      </c>
      <c r="G934" s="26"/>
      <c r="H934" s="175"/>
    </row>
    <row r="935" spans="1:10" ht="78.75" x14ac:dyDescent="0.25">
      <c r="A935" s="23" t="s">
        <v>585</v>
      </c>
      <c r="B935" s="19">
        <v>910</v>
      </c>
      <c r="C935" s="24" t="s">
        <v>125</v>
      </c>
      <c r="D935" s="24" t="s">
        <v>222</v>
      </c>
      <c r="E935" s="24"/>
      <c r="F935" s="24"/>
      <c r="G935" s="21">
        <f>G936</f>
        <v>1138.7</v>
      </c>
      <c r="H935" s="175"/>
    </row>
    <row r="936" spans="1:10" ht="15.75" x14ac:dyDescent="0.25">
      <c r="A936" s="25" t="s">
        <v>128</v>
      </c>
      <c r="B936" s="16">
        <v>910</v>
      </c>
      <c r="C936" s="20" t="s">
        <v>125</v>
      </c>
      <c r="D936" s="20" t="s">
        <v>222</v>
      </c>
      <c r="E936" s="20" t="s">
        <v>129</v>
      </c>
      <c r="F936" s="24"/>
      <c r="G936" s="26">
        <f>G937</f>
        <v>1138.7</v>
      </c>
      <c r="H936" s="175"/>
    </row>
    <row r="937" spans="1:10" ht="31.5" x14ac:dyDescent="0.25">
      <c r="A937" s="25" t="s">
        <v>130</v>
      </c>
      <c r="B937" s="16">
        <v>910</v>
      </c>
      <c r="C937" s="20" t="s">
        <v>125</v>
      </c>
      <c r="D937" s="20" t="s">
        <v>222</v>
      </c>
      <c r="E937" s="20" t="s">
        <v>131</v>
      </c>
      <c r="F937" s="24"/>
      <c r="G937" s="26">
        <f>G938</f>
        <v>1138.7</v>
      </c>
      <c r="H937" s="175"/>
    </row>
    <row r="938" spans="1:10" ht="47.25" x14ac:dyDescent="0.25">
      <c r="A938" s="25" t="s">
        <v>586</v>
      </c>
      <c r="B938" s="16">
        <v>910</v>
      </c>
      <c r="C938" s="20" t="s">
        <v>125</v>
      </c>
      <c r="D938" s="20" t="s">
        <v>222</v>
      </c>
      <c r="E938" s="20" t="s">
        <v>587</v>
      </c>
      <c r="F938" s="20"/>
      <c r="G938" s="26">
        <f>G939+G941+G943</f>
        <v>1138.7</v>
      </c>
      <c r="H938" s="175"/>
    </row>
    <row r="939" spans="1:10" ht="94.5" x14ac:dyDescent="0.25">
      <c r="A939" s="25" t="s">
        <v>134</v>
      </c>
      <c r="B939" s="16">
        <v>910</v>
      </c>
      <c r="C939" s="20" t="s">
        <v>125</v>
      </c>
      <c r="D939" s="20" t="s">
        <v>222</v>
      </c>
      <c r="E939" s="20" t="s">
        <v>587</v>
      </c>
      <c r="F939" s="20" t="s">
        <v>135</v>
      </c>
      <c r="G939" s="26">
        <f>G940</f>
        <v>1003.7</v>
      </c>
      <c r="H939" s="175"/>
    </row>
    <row r="940" spans="1:10" ht="31.5" x14ac:dyDescent="0.25">
      <c r="A940" s="25" t="s">
        <v>136</v>
      </c>
      <c r="B940" s="16">
        <v>910</v>
      </c>
      <c r="C940" s="20" t="s">
        <v>125</v>
      </c>
      <c r="D940" s="20" t="s">
        <v>222</v>
      </c>
      <c r="E940" s="20" t="s">
        <v>587</v>
      </c>
      <c r="F940" s="20" t="s">
        <v>137</v>
      </c>
      <c r="G940" s="26">
        <v>1003.7</v>
      </c>
      <c r="H940" s="175"/>
    </row>
    <row r="941" spans="1:10" ht="47.25" x14ac:dyDescent="0.25">
      <c r="A941" s="25" t="s">
        <v>205</v>
      </c>
      <c r="B941" s="16">
        <v>910</v>
      </c>
      <c r="C941" s="20" t="s">
        <v>125</v>
      </c>
      <c r="D941" s="20" t="s">
        <v>222</v>
      </c>
      <c r="E941" s="20" t="s">
        <v>587</v>
      </c>
      <c r="F941" s="20" t="s">
        <v>139</v>
      </c>
      <c r="G941" s="26">
        <f>G942</f>
        <v>135</v>
      </c>
      <c r="H941" s="175"/>
    </row>
    <row r="942" spans="1:10" ht="47.25" x14ac:dyDescent="0.25">
      <c r="A942" s="25" t="s">
        <v>140</v>
      </c>
      <c r="B942" s="16">
        <v>910</v>
      </c>
      <c r="C942" s="20" t="s">
        <v>125</v>
      </c>
      <c r="D942" s="20" t="s">
        <v>222</v>
      </c>
      <c r="E942" s="20" t="s">
        <v>587</v>
      </c>
      <c r="F942" s="20" t="s">
        <v>141</v>
      </c>
      <c r="G942" s="26">
        <v>135</v>
      </c>
      <c r="H942" s="175"/>
    </row>
    <row r="943" spans="1:10" ht="15.75" hidden="1" x14ac:dyDescent="0.25">
      <c r="A943" s="25" t="s">
        <v>142</v>
      </c>
      <c r="B943" s="16">
        <v>910</v>
      </c>
      <c r="C943" s="20" t="s">
        <v>125</v>
      </c>
      <c r="D943" s="20" t="s">
        <v>222</v>
      </c>
      <c r="E943" s="20" t="s">
        <v>587</v>
      </c>
      <c r="F943" s="20" t="s">
        <v>152</v>
      </c>
      <c r="G943" s="26">
        <f>G944</f>
        <v>0</v>
      </c>
      <c r="H943" s="175"/>
    </row>
    <row r="944" spans="1:10" ht="15.75" hidden="1" x14ac:dyDescent="0.25">
      <c r="A944" s="25" t="s">
        <v>575</v>
      </c>
      <c r="B944" s="16">
        <v>910</v>
      </c>
      <c r="C944" s="20" t="s">
        <v>125</v>
      </c>
      <c r="D944" s="20" t="s">
        <v>222</v>
      </c>
      <c r="E944" s="20" t="s">
        <v>587</v>
      </c>
      <c r="F944" s="20" t="s">
        <v>145</v>
      </c>
      <c r="G944" s="26">
        <v>0</v>
      </c>
      <c r="H944" s="175"/>
    </row>
    <row r="945" spans="1:10" ht="63" x14ac:dyDescent="0.25">
      <c r="A945" s="23" t="s">
        <v>126</v>
      </c>
      <c r="B945" s="19">
        <v>910</v>
      </c>
      <c r="C945" s="24" t="s">
        <v>125</v>
      </c>
      <c r="D945" s="24" t="s">
        <v>127</v>
      </c>
      <c r="E945" s="24"/>
      <c r="F945" s="24"/>
      <c r="G945" s="21">
        <f>G946</f>
        <v>1682.5</v>
      </c>
      <c r="H945" s="175"/>
    </row>
    <row r="946" spans="1:10" s="111" customFormat="1" ht="15.75" x14ac:dyDescent="0.25">
      <c r="A946" s="25" t="s">
        <v>128</v>
      </c>
      <c r="B946" s="16">
        <v>910</v>
      </c>
      <c r="C946" s="20" t="s">
        <v>125</v>
      </c>
      <c r="D946" s="20" t="s">
        <v>127</v>
      </c>
      <c r="E946" s="20" t="s">
        <v>129</v>
      </c>
      <c r="F946" s="20"/>
      <c r="G946" s="26">
        <f>G947</f>
        <v>1682.5</v>
      </c>
      <c r="H946" s="175"/>
      <c r="I946" s="127"/>
    </row>
    <row r="947" spans="1:10" s="111" customFormat="1" ht="31.5" x14ac:dyDescent="0.25">
      <c r="A947" s="25" t="s">
        <v>130</v>
      </c>
      <c r="B947" s="16">
        <v>910</v>
      </c>
      <c r="C947" s="20" t="s">
        <v>125</v>
      </c>
      <c r="D947" s="20" t="s">
        <v>127</v>
      </c>
      <c r="E947" s="20" t="s">
        <v>131</v>
      </c>
      <c r="F947" s="20"/>
      <c r="G947" s="26">
        <f>G948</f>
        <v>1682.5</v>
      </c>
      <c r="H947" s="175"/>
      <c r="I947" s="127"/>
    </row>
    <row r="948" spans="1:10" s="111" customFormat="1" ht="47.25" x14ac:dyDescent="0.25">
      <c r="A948" s="25" t="s">
        <v>132</v>
      </c>
      <c r="B948" s="16">
        <v>910</v>
      </c>
      <c r="C948" s="20" t="s">
        <v>125</v>
      </c>
      <c r="D948" s="20" t="s">
        <v>127</v>
      </c>
      <c r="E948" s="20" t="s">
        <v>133</v>
      </c>
      <c r="F948" s="20"/>
      <c r="G948" s="26">
        <f>G949+G951</f>
        <v>1682.5</v>
      </c>
      <c r="H948" s="175"/>
      <c r="I948" s="127"/>
    </row>
    <row r="949" spans="1:10" ht="94.5" x14ac:dyDescent="0.25">
      <c r="A949" s="25" t="s">
        <v>134</v>
      </c>
      <c r="B949" s="16">
        <v>910</v>
      </c>
      <c r="C949" s="20" t="s">
        <v>125</v>
      </c>
      <c r="D949" s="20" t="s">
        <v>127</v>
      </c>
      <c r="E949" s="20" t="s">
        <v>133</v>
      </c>
      <c r="F949" s="20" t="s">
        <v>135</v>
      </c>
      <c r="G949" s="26">
        <f>G950</f>
        <v>1664.2</v>
      </c>
      <c r="H949" s="175"/>
    </row>
    <row r="950" spans="1:10" ht="31.5" x14ac:dyDescent="0.25">
      <c r="A950" s="25" t="s">
        <v>136</v>
      </c>
      <c r="B950" s="16">
        <v>910</v>
      </c>
      <c r="C950" s="20" t="s">
        <v>125</v>
      </c>
      <c r="D950" s="20" t="s">
        <v>127</v>
      </c>
      <c r="E950" s="20" t="s">
        <v>133</v>
      </c>
      <c r="F950" s="20" t="s">
        <v>137</v>
      </c>
      <c r="G950" s="26">
        <v>1664.2</v>
      </c>
      <c r="H950" s="175"/>
      <c r="J950" s="171" t="s">
        <v>766</v>
      </c>
    </row>
    <row r="951" spans="1:10" ht="47.25" x14ac:dyDescent="0.25">
      <c r="A951" s="25" t="s">
        <v>205</v>
      </c>
      <c r="B951" s="16">
        <v>910</v>
      </c>
      <c r="C951" s="20" t="s">
        <v>125</v>
      </c>
      <c r="D951" s="20" t="s">
        <v>127</v>
      </c>
      <c r="E951" s="20" t="s">
        <v>133</v>
      </c>
      <c r="F951" s="20" t="s">
        <v>139</v>
      </c>
      <c r="G951" s="26">
        <f>G952</f>
        <v>18.3</v>
      </c>
      <c r="H951" s="175"/>
    </row>
    <row r="952" spans="1:10" ht="47.25" x14ac:dyDescent="0.25">
      <c r="A952" s="25" t="s">
        <v>140</v>
      </c>
      <c r="B952" s="16">
        <v>910</v>
      </c>
      <c r="C952" s="20" t="s">
        <v>125</v>
      </c>
      <c r="D952" s="20" t="s">
        <v>127</v>
      </c>
      <c r="E952" s="20" t="s">
        <v>133</v>
      </c>
      <c r="F952" s="20" t="s">
        <v>141</v>
      </c>
      <c r="G952" s="26">
        <v>18.3</v>
      </c>
      <c r="H952" s="175"/>
    </row>
    <row r="953" spans="1:10" ht="15.75" x14ac:dyDescent="0.25">
      <c r="A953" s="23" t="s">
        <v>146</v>
      </c>
      <c r="B953" s="19">
        <v>910</v>
      </c>
      <c r="C953" s="24" t="s">
        <v>125</v>
      </c>
      <c r="D953" s="24" t="s">
        <v>147</v>
      </c>
      <c r="E953" s="109"/>
      <c r="F953" s="20"/>
      <c r="G953" s="21">
        <f>G954+G958</f>
        <v>32.5</v>
      </c>
      <c r="H953" s="175"/>
    </row>
    <row r="954" spans="1:10" ht="47.25" x14ac:dyDescent="0.25">
      <c r="A954" s="25" t="s">
        <v>168</v>
      </c>
      <c r="B954" s="16">
        <v>910</v>
      </c>
      <c r="C954" s="20" t="s">
        <v>125</v>
      </c>
      <c r="D954" s="20" t="s">
        <v>147</v>
      </c>
      <c r="E954" s="20" t="s">
        <v>169</v>
      </c>
      <c r="F954" s="20"/>
      <c r="G954" s="26">
        <f>G955</f>
        <v>0.5</v>
      </c>
      <c r="H954" s="175"/>
    </row>
    <row r="955" spans="1:10" ht="63" x14ac:dyDescent="0.25">
      <c r="A955" s="31" t="s">
        <v>703</v>
      </c>
      <c r="B955" s="16">
        <v>910</v>
      </c>
      <c r="C955" s="20" t="s">
        <v>125</v>
      </c>
      <c r="D955" s="20" t="s">
        <v>147</v>
      </c>
      <c r="E955" s="40" t="s">
        <v>704</v>
      </c>
      <c r="F955" s="20"/>
      <c r="G955" s="26">
        <f>G956</f>
        <v>0.5</v>
      </c>
      <c r="H955" s="175"/>
    </row>
    <row r="956" spans="1:10" ht="31.5" x14ac:dyDescent="0.25">
      <c r="A956" s="25" t="s">
        <v>138</v>
      </c>
      <c r="B956" s="16">
        <v>910</v>
      </c>
      <c r="C956" s="20" t="s">
        <v>125</v>
      </c>
      <c r="D956" s="20" t="s">
        <v>147</v>
      </c>
      <c r="E956" s="40" t="s">
        <v>704</v>
      </c>
      <c r="F956" s="20" t="s">
        <v>139</v>
      </c>
      <c r="G956" s="26">
        <f>G957</f>
        <v>0.5</v>
      </c>
      <c r="H956" s="175"/>
    </row>
    <row r="957" spans="1:10" ht="47.25" x14ac:dyDescent="0.25">
      <c r="A957" s="25" t="s">
        <v>140</v>
      </c>
      <c r="B957" s="16">
        <v>910</v>
      </c>
      <c r="C957" s="20" t="s">
        <v>125</v>
      </c>
      <c r="D957" s="20" t="s">
        <v>147</v>
      </c>
      <c r="E957" s="40" t="s">
        <v>704</v>
      </c>
      <c r="F957" s="20" t="s">
        <v>141</v>
      </c>
      <c r="G957" s="26">
        <v>0.5</v>
      </c>
      <c r="H957" s="175"/>
    </row>
    <row r="958" spans="1:10" ht="15.75" x14ac:dyDescent="0.25">
      <c r="A958" s="31" t="s">
        <v>128</v>
      </c>
      <c r="B958" s="16">
        <v>910</v>
      </c>
      <c r="C958" s="20" t="s">
        <v>125</v>
      </c>
      <c r="D958" s="20" t="s">
        <v>147</v>
      </c>
      <c r="E958" s="20" t="s">
        <v>129</v>
      </c>
      <c r="F958" s="20"/>
      <c r="G958" s="26">
        <f>G959</f>
        <v>32</v>
      </c>
      <c r="H958" s="175"/>
    </row>
    <row r="959" spans="1:10" ht="31.5" x14ac:dyDescent="0.25">
      <c r="A959" s="31" t="s">
        <v>192</v>
      </c>
      <c r="B959" s="16">
        <v>910</v>
      </c>
      <c r="C959" s="20" t="s">
        <v>125</v>
      </c>
      <c r="D959" s="20" t="s">
        <v>147</v>
      </c>
      <c r="E959" s="20" t="s">
        <v>193</v>
      </c>
      <c r="F959" s="20"/>
      <c r="G959" s="26">
        <f>G960</f>
        <v>32</v>
      </c>
      <c r="H959" s="175"/>
    </row>
    <row r="960" spans="1:10" ht="63" x14ac:dyDescent="0.25">
      <c r="A960" s="31" t="s">
        <v>703</v>
      </c>
      <c r="B960" s="16">
        <v>910</v>
      </c>
      <c r="C960" s="20" t="s">
        <v>125</v>
      </c>
      <c r="D960" s="20" t="s">
        <v>147</v>
      </c>
      <c r="E960" s="20" t="s">
        <v>705</v>
      </c>
      <c r="F960" s="20"/>
      <c r="G960" s="26">
        <f>G961</f>
        <v>32</v>
      </c>
      <c r="H960" s="175"/>
    </row>
    <row r="961" spans="1:12" ht="31.5" x14ac:dyDescent="0.25">
      <c r="A961" s="25" t="s">
        <v>138</v>
      </c>
      <c r="B961" s="16">
        <v>910</v>
      </c>
      <c r="C961" s="20" t="s">
        <v>125</v>
      </c>
      <c r="D961" s="20" t="s">
        <v>147</v>
      </c>
      <c r="E961" s="20" t="s">
        <v>705</v>
      </c>
      <c r="F961" s="20" t="s">
        <v>139</v>
      </c>
      <c r="G961" s="26">
        <f>G962</f>
        <v>32</v>
      </c>
      <c r="H961" s="175"/>
    </row>
    <row r="962" spans="1:12" ht="47.25" x14ac:dyDescent="0.25">
      <c r="A962" s="25" t="s">
        <v>140</v>
      </c>
      <c r="B962" s="16">
        <v>910</v>
      </c>
      <c r="C962" s="20" t="s">
        <v>125</v>
      </c>
      <c r="D962" s="20" t="s">
        <v>147</v>
      </c>
      <c r="E962" s="20" t="s">
        <v>705</v>
      </c>
      <c r="F962" s="20" t="s">
        <v>141</v>
      </c>
      <c r="G962" s="26">
        <v>32</v>
      </c>
      <c r="H962" s="110"/>
    </row>
    <row r="963" spans="1:12" ht="31.5" x14ac:dyDescent="0.25">
      <c r="A963" s="23" t="s">
        <v>588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5"/>
    </row>
    <row r="964" spans="1:12" ht="15.75" x14ac:dyDescent="0.25">
      <c r="A964" s="23" t="s">
        <v>589</v>
      </c>
      <c r="B964" s="19">
        <v>913</v>
      </c>
      <c r="C964" s="24" t="s">
        <v>245</v>
      </c>
      <c r="D964" s="20"/>
      <c r="E964" s="20"/>
      <c r="F964" s="20"/>
      <c r="G964" s="26">
        <f>G965</f>
        <v>6309.8</v>
      </c>
      <c r="H964" s="175"/>
    </row>
    <row r="965" spans="1:12" ht="15.75" x14ac:dyDescent="0.25">
      <c r="A965" s="23" t="s">
        <v>590</v>
      </c>
      <c r="B965" s="19">
        <v>913</v>
      </c>
      <c r="C965" s="24" t="s">
        <v>245</v>
      </c>
      <c r="D965" s="24" t="s">
        <v>220</v>
      </c>
      <c r="E965" s="24"/>
      <c r="F965" s="24"/>
      <c r="G965" s="26">
        <f>G966</f>
        <v>6309.8</v>
      </c>
      <c r="H965" s="175"/>
    </row>
    <row r="966" spans="1:12" ht="15.75" x14ac:dyDescent="0.25">
      <c r="A966" s="25" t="s">
        <v>128</v>
      </c>
      <c r="B966" s="16">
        <v>913</v>
      </c>
      <c r="C966" s="20" t="s">
        <v>245</v>
      </c>
      <c r="D966" s="20" t="s">
        <v>220</v>
      </c>
      <c r="E966" s="20" t="s">
        <v>129</v>
      </c>
      <c r="F966" s="20"/>
      <c r="G966" s="26">
        <f>G967</f>
        <v>6309.8</v>
      </c>
      <c r="H966" s="175"/>
    </row>
    <row r="967" spans="1:12" ht="31.5" x14ac:dyDescent="0.25">
      <c r="A967" s="25" t="s">
        <v>591</v>
      </c>
      <c r="B967" s="16">
        <v>913</v>
      </c>
      <c r="C967" s="20" t="s">
        <v>245</v>
      </c>
      <c r="D967" s="20" t="s">
        <v>220</v>
      </c>
      <c r="E967" s="20" t="s">
        <v>592</v>
      </c>
      <c r="F967" s="20"/>
      <c r="G967" s="26">
        <f>G968</f>
        <v>6309.8</v>
      </c>
      <c r="H967" s="175"/>
    </row>
    <row r="968" spans="1:12" ht="31.5" x14ac:dyDescent="0.25">
      <c r="A968" s="25" t="s">
        <v>317</v>
      </c>
      <c r="B968" s="16">
        <v>913</v>
      </c>
      <c r="C968" s="20" t="s">
        <v>245</v>
      </c>
      <c r="D968" s="20" t="s">
        <v>220</v>
      </c>
      <c r="E968" s="20" t="s">
        <v>593</v>
      </c>
      <c r="F968" s="20"/>
      <c r="G968" s="26">
        <f>G969+G971+G973</f>
        <v>6309.8</v>
      </c>
      <c r="H968" s="175"/>
    </row>
    <row r="969" spans="1:12" ht="94.5" x14ac:dyDescent="0.25">
      <c r="A969" s="25" t="s">
        <v>134</v>
      </c>
      <c r="B969" s="16">
        <v>913</v>
      </c>
      <c r="C969" s="20" t="s">
        <v>245</v>
      </c>
      <c r="D969" s="20" t="s">
        <v>220</v>
      </c>
      <c r="E969" s="20" t="s">
        <v>593</v>
      </c>
      <c r="F969" s="20" t="s">
        <v>135</v>
      </c>
      <c r="G969" s="26">
        <f>G970</f>
        <v>5371.7</v>
      </c>
      <c r="H969" s="175"/>
    </row>
    <row r="970" spans="1:12" ht="31.5" x14ac:dyDescent="0.25">
      <c r="A970" s="25" t="s">
        <v>215</v>
      </c>
      <c r="B970" s="16">
        <v>913</v>
      </c>
      <c r="C970" s="20" t="s">
        <v>245</v>
      </c>
      <c r="D970" s="20" t="s">
        <v>220</v>
      </c>
      <c r="E970" s="20" t="s">
        <v>593</v>
      </c>
      <c r="F970" s="20" t="s">
        <v>216</v>
      </c>
      <c r="G970" s="27">
        <v>5371.7</v>
      </c>
      <c r="H970" s="175"/>
    </row>
    <row r="971" spans="1:12" ht="31.5" x14ac:dyDescent="0.25">
      <c r="A971" s="25" t="s">
        <v>138</v>
      </c>
      <c r="B971" s="16">
        <v>913</v>
      </c>
      <c r="C971" s="20" t="s">
        <v>245</v>
      </c>
      <c r="D971" s="20" t="s">
        <v>220</v>
      </c>
      <c r="E971" s="20" t="s">
        <v>593</v>
      </c>
      <c r="F971" s="20" t="s">
        <v>139</v>
      </c>
      <c r="G971" s="26">
        <f>G972</f>
        <v>928.1</v>
      </c>
      <c r="H971" s="175"/>
    </row>
    <row r="972" spans="1:12" ht="47.25" x14ac:dyDescent="0.25">
      <c r="A972" s="25" t="s">
        <v>140</v>
      </c>
      <c r="B972" s="16">
        <v>913</v>
      </c>
      <c r="C972" s="20" t="s">
        <v>245</v>
      </c>
      <c r="D972" s="20" t="s">
        <v>220</v>
      </c>
      <c r="E972" s="20" t="s">
        <v>593</v>
      </c>
      <c r="F972" s="20" t="s">
        <v>141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142</v>
      </c>
      <c r="B973" s="16">
        <v>913</v>
      </c>
      <c r="C973" s="20" t="s">
        <v>245</v>
      </c>
      <c r="D973" s="20" t="s">
        <v>220</v>
      </c>
      <c r="E973" s="20" t="s">
        <v>593</v>
      </c>
      <c r="F973" s="20" t="s">
        <v>152</v>
      </c>
      <c r="G973" s="26">
        <f>G974</f>
        <v>10</v>
      </c>
      <c r="H973" s="175"/>
    </row>
    <row r="974" spans="1:12" ht="15.75" x14ac:dyDescent="0.25">
      <c r="A974" s="25" t="s">
        <v>575</v>
      </c>
      <c r="B974" s="16">
        <v>913</v>
      </c>
      <c r="C974" s="20" t="s">
        <v>245</v>
      </c>
      <c r="D974" s="20" t="s">
        <v>220</v>
      </c>
      <c r="E974" s="20" t="s">
        <v>593</v>
      </c>
      <c r="F974" s="20" t="s">
        <v>145</v>
      </c>
      <c r="G974" s="26">
        <v>10</v>
      </c>
      <c r="H974" s="175"/>
    </row>
    <row r="975" spans="1:12" ht="18.75" x14ac:dyDescent="0.3">
      <c r="A975" s="48" t="s">
        <v>594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5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595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596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'пр.2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'пр.2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'пр.2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'пр.2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'пр.2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'пр.2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'пр.2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'пр.2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'пр.2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'пр.2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597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1099" zoomScaleNormal="100" zoomScaleSheetLayoutView="100" workbookViewId="0">
      <selection activeCell="M1118" sqref="M1118"/>
    </sheetView>
  </sheetViews>
  <sheetFormatPr defaultRowHeight="15" x14ac:dyDescent="0.25"/>
  <cols>
    <col min="1" max="1" width="55" style="203" customWidth="1"/>
    <col min="2" max="2" width="6.42578125" style="203" customWidth="1"/>
    <col min="3" max="3" width="6" style="203" customWidth="1"/>
    <col min="4" max="4" width="5.140625" style="203" customWidth="1"/>
    <col min="5" max="5" width="15.85546875" style="203" customWidth="1"/>
    <col min="6" max="6" width="7" style="203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customWidth="1"/>
    <col min="13" max="13" width="10.85546875" customWidth="1"/>
    <col min="14" max="14" width="9.28515625" customWidth="1"/>
    <col min="15" max="15" width="7.42578125" customWidth="1"/>
    <col min="16" max="16" width="8" customWidth="1"/>
    <col min="17" max="17" width="7.7109375" customWidth="1"/>
    <col min="18" max="18" width="7.140625" customWidth="1"/>
    <col min="19" max="23" width="8.140625" style="202" customWidth="1"/>
    <col min="24" max="24" width="6.7109375" customWidth="1"/>
    <col min="25" max="27" width="7.42578125" style="202" customWidth="1"/>
  </cols>
  <sheetData>
    <row r="1" spans="1:9" ht="18.75" customHeight="1" x14ac:dyDescent="0.25">
      <c r="A1" s="63"/>
      <c r="B1" s="63"/>
      <c r="C1" s="63"/>
      <c r="D1" s="63"/>
      <c r="G1" s="462" t="s">
        <v>1566</v>
      </c>
      <c r="H1" s="462"/>
      <c r="I1" s="203"/>
    </row>
    <row r="2" spans="1:9" ht="18.75" customHeight="1" x14ac:dyDescent="0.25">
      <c r="A2" s="63"/>
      <c r="B2" s="63"/>
      <c r="C2" s="63"/>
      <c r="D2" s="63"/>
      <c r="G2" s="462" t="s">
        <v>1565</v>
      </c>
      <c r="H2" s="462"/>
      <c r="I2" s="203"/>
    </row>
    <row r="3" spans="1:9" s="202" customFormat="1" ht="18.75" customHeight="1" x14ac:dyDescent="0.25">
      <c r="A3" s="63"/>
      <c r="B3" s="63"/>
      <c r="C3" s="63"/>
      <c r="D3" s="63"/>
      <c r="E3" s="203"/>
      <c r="F3" s="203"/>
      <c r="G3" s="462" t="s">
        <v>1557</v>
      </c>
      <c r="H3" s="462"/>
      <c r="I3" s="203"/>
    </row>
    <row r="4" spans="1:9" ht="15.75" x14ac:dyDescent="0.25">
      <c r="A4" s="471"/>
      <c r="B4" s="471"/>
      <c r="C4" s="471"/>
      <c r="D4" s="471"/>
      <c r="E4" s="471"/>
      <c r="F4" s="471"/>
      <c r="I4" s="203"/>
    </row>
    <row r="5" spans="1:9" ht="15.75" x14ac:dyDescent="0.25">
      <c r="A5" s="468" t="s">
        <v>1304</v>
      </c>
      <c r="B5" s="468"/>
      <c r="C5" s="468"/>
      <c r="D5" s="468"/>
      <c r="E5" s="468"/>
      <c r="F5" s="468"/>
      <c r="G5" s="468"/>
      <c r="H5" s="468"/>
      <c r="I5" s="203"/>
    </row>
    <row r="6" spans="1:9" ht="15.75" x14ac:dyDescent="0.25">
      <c r="A6" s="346"/>
      <c r="B6" s="346"/>
      <c r="C6" s="346"/>
      <c r="D6" s="346"/>
      <c r="E6" s="346"/>
      <c r="F6" s="346"/>
      <c r="I6" s="203"/>
    </row>
    <row r="7" spans="1:9" ht="15.75" x14ac:dyDescent="0.25">
      <c r="A7" s="13"/>
      <c r="B7" s="13"/>
      <c r="C7" s="13"/>
      <c r="D7" s="13"/>
      <c r="E7" s="13"/>
      <c r="F7" s="13"/>
      <c r="G7" s="268" t="s">
        <v>1</v>
      </c>
      <c r="H7" s="268"/>
      <c r="I7" s="203"/>
    </row>
    <row r="8" spans="1:9" ht="63" x14ac:dyDescent="0.25">
      <c r="A8" s="345" t="s">
        <v>117</v>
      </c>
      <c r="B8" s="345" t="s">
        <v>118</v>
      </c>
      <c r="C8" s="15" t="s">
        <v>119</v>
      </c>
      <c r="D8" s="15" t="s">
        <v>120</v>
      </c>
      <c r="E8" s="15" t="s">
        <v>121</v>
      </c>
      <c r="F8" s="15" t="s">
        <v>122</v>
      </c>
      <c r="G8" s="372" t="s">
        <v>1037</v>
      </c>
      <c r="H8" s="372" t="s">
        <v>1305</v>
      </c>
      <c r="I8" s="203"/>
    </row>
    <row r="9" spans="1:9" s="202" customFormat="1" ht="15.75" x14ac:dyDescent="0.25">
      <c r="A9" s="294" t="s">
        <v>1429</v>
      </c>
      <c r="B9" s="345"/>
      <c r="C9" s="15"/>
      <c r="D9" s="15"/>
      <c r="E9" s="15"/>
      <c r="F9" s="15"/>
      <c r="G9" s="59">
        <v>12478.69</v>
      </c>
      <c r="H9" s="59">
        <v>25451.88</v>
      </c>
      <c r="I9" s="203"/>
    </row>
    <row r="10" spans="1:9" ht="31.5" x14ac:dyDescent="0.25">
      <c r="A10" s="19" t="s">
        <v>123</v>
      </c>
      <c r="B10" s="19">
        <v>901</v>
      </c>
      <c r="C10" s="20"/>
      <c r="D10" s="20"/>
      <c r="E10" s="20"/>
      <c r="F10" s="20"/>
      <c r="G10" s="21">
        <f>G11+G25</f>
        <v>13506</v>
      </c>
      <c r="H10" s="21">
        <f>H11+H25</f>
        <v>13506</v>
      </c>
      <c r="I10" s="203"/>
    </row>
    <row r="11" spans="1:9" ht="15.75" x14ac:dyDescent="0.25">
      <c r="A11" s="23" t="s">
        <v>124</v>
      </c>
      <c r="B11" s="19">
        <v>901</v>
      </c>
      <c r="C11" s="24" t="s">
        <v>125</v>
      </c>
      <c r="D11" s="20"/>
      <c r="E11" s="20"/>
      <c r="F11" s="20"/>
      <c r="G11" s="21">
        <f t="shared" ref="G11:H13" si="0">G12</f>
        <v>13506</v>
      </c>
      <c r="H11" s="21">
        <f t="shared" si="0"/>
        <v>13506</v>
      </c>
      <c r="I11" s="203"/>
    </row>
    <row r="12" spans="1:9" ht="51" customHeight="1" x14ac:dyDescent="0.25">
      <c r="A12" s="23" t="s">
        <v>126</v>
      </c>
      <c r="B12" s="19">
        <v>901</v>
      </c>
      <c r="C12" s="24" t="s">
        <v>125</v>
      </c>
      <c r="D12" s="24" t="s">
        <v>127</v>
      </c>
      <c r="E12" s="24"/>
      <c r="F12" s="24"/>
      <c r="G12" s="21">
        <f t="shared" si="0"/>
        <v>13506</v>
      </c>
      <c r="H12" s="21">
        <f t="shared" si="0"/>
        <v>13506</v>
      </c>
      <c r="I12" s="203"/>
    </row>
    <row r="13" spans="1:9" ht="31.5" x14ac:dyDescent="0.25">
      <c r="A13" s="23" t="s">
        <v>927</v>
      </c>
      <c r="B13" s="19">
        <v>901</v>
      </c>
      <c r="C13" s="24" t="s">
        <v>125</v>
      </c>
      <c r="D13" s="24" t="s">
        <v>127</v>
      </c>
      <c r="E13" s="24" t="s">
        <v>868</v>
      </c>
      <c r="F13" s="24"/>
      <c r="G13" s="21">
        <f t="shared" si="0"/>
        <v>13506</v>
      </c>
      <c r="H13" s="21">
        <f t="shared" si="0"/>
        <v>13506</v>
      </c>
      <c r="I13" s="203"/>
    </row>
    <row r="14" spans="1:9" ht="15.75" x14ac:dyDescent="0.25">
      <c r="A14" s="23" t="s">
        <v>928</v>
      </c>
      <c r="B14" s="19">
        <v>901</v>
      </c>
      <c r="C14" s="24" t="s">
        <v>125</v>
      </c>
      <c r="D14" s="24" t="s">
        <v>127</v>
      </c>
      <c r="E14" s="24" t="s">
        <v>869</v>
      </c>
      <c r="F14" s="24"/>
      <c r="G14" s="21">
        <f>G15+G22</f>
        <v>13506</v>
      </c>
      <c r="H14" s="21">
        <f>H15+H22</f>
        <v>13506</v>
      </c>
      <c r="I14" s="203"/>
    </row>
    <row r="15" spans="1:9" ht="31.5" x14ac:dyDescent="0.25">
      <c r="A15" s="25" t="s">
        <v>907</v>
      </c>
      <c r="B15" s="16">
        <v>901</v>
      </c>
      <c r="C15" s="20" t="s">
        <v>125</v>
      </c>
      <c r="D15" s="20" t="s">
        <v>127</v>
      </c>
      <c r="E15" s="20" t="s">
        <v>870</v>
      </c>
      <c r="F15" s="20"/>
      <c r="G15" s="26">
        <f>G16+G18+G20</f>
        <v>13086</v>
      </c>
      <c r="H15" s="26">
        <f>H16+H18+H20</f>
        <v>13086</v>
      </c>
      <c r="I15" s="203"/>
    </row>
    <row r="16" spans="1:9" ht="78.75" x14ac:dyDescent="0.25">
      <c r="A16" s="25" t="s">
        <v>134</v>
      </c>
      <c r="B16" s="16">
        <v>901</v>
      </c>
      <c r="C16" s="20" t="s">
        <v>125</v>
      </c>
      <c r="D16" s="20" t="s">
        <v>127</v>
      </c>
      <c r="E16" s="20" t="s">
        <v>870</v>
      </c>
      <c r="F16" s="20" t="s">
        <v>135</v>
      </c>
      <c r="G16" s="26">
        <f>G17</f>
        <v>12081</v>
      </c>
      <c r="H16" s="26">
        <f>H17</f>
        <v>12081</v>
      </c>
      <c r="I16" s="203"/>
    </row>
    <row r="17" spans="1:12" ht="31.5" x14ac:dyDescent="0.25">
      <c r="A17" s="25" t="s">
        <v>136</v>
      </c>
      <c r="B17" s="16">
        <v>901</v>
      </c>
      <c r="C17" s="20" t="s">
        <v>125</v>
      </c>
      <c r="D17" s="20" t="s">
        <v>127</v>
      </c>
      <c r="E17" s="20" t="s">
        <v>870</v>
      </c>
      <c r="F17" s="20" t="s">
        <v>137</v>
      </c>
      <c r="G17" s="26">
        <v>12081</v>
      </c>
      <c r="H17" s="26">
        <f t="shared" ref="H17:H97" si="1">G17</f>
        <v>12081</v>
      </c>
      <c r="I17" s="203"/>
    </row>
    <row r="18" spans="1:12" ht="31.5" x14ac:dyDescent="0.25">
      <c r="A18" s="25" t="s">
        <v>138</v>
      </c>
      <c r="B18" s="16">
        <v>901</v>
      </c>
      <c r="C18" s="20" t="s">
        <v>125</v>
      </c>
      <c r="D18" s="20" t="s">
        <v>127</v>
      </c>
      <c r="E18" s="20" t="s">
        <v>870</v>
      </c>
      <c r="F18" s="20" t="s">
        <v>139</v>
      </c>
      <c r="G18" s="26">
        <f>G19</f>
        <v>977</v>
      </c>
      <c r="H18" s="26">
        <f>H19</f>
        <v>977</v>
      </c>
      <c r="I18" s="203"/>
    </row>
    <row r="19" spans="1:12" ht="31.5" x14ac:dyDescent="0.25">
      <c r="A19" s="25" t="s">
        <v>140</v>
      </c>
      <c r="B19" s="16">
        <v>901</v>
      </c>
      <c r="C19" s="20" t="s">
        <v>125</v>
      </c>
      <c r="D19" s="20" t="s">
        <v>127</v>
      </c>
      <c r="E19" s="20" t="s">
        <v>870</v>
      </c>
      <c r="F19" s="20" t="s">
        <v>141</v>
      </c>
      <c r="G19" s="26">
        <v>977</v>
      </c>
      <c r="H19" s="26">
        <f t="shared" si="1"/>
        <v>977</v>
      </c>
      <c r="I19" s="203"/>
    </row>
    <row r="20" spans="1:12" ht="15.75" x14ac:dyDescent="0.25">
      <c r="A20" s="25" t="s">
        <v>142</v>
      </c>
      <c r="B20" s="16">
        <v>901</v>
      </c>
      <c r="C20" s="20" t="s">
        <v>125</v>
      </c>
      <c r="D20" s="20" t="s">
        <v>127</v>
      </c>
      <c r="E20" s="20" t="s">
        <v>870</v>
      </c>
      <c r="F20" s="20" t="s">
        <v>143</v>
      </c>
      <c r="G20" s="26">
        <f>G21</f>
        <v>28</v>
      </c>
      <c r="H20" s="26">
        <f>H21</f>
        <v>28</v>
      </c>
      <c r="I20" s="203"/>
    </row>
    <row r="21" spans="1:12" ht="15.75" x14ac:dyDescent="0.25">
      <c r="A21" s="25" t="s">
        <v>575</v>
      </c>
      <c r="B21" s="16">
        <v>901</v>
      </c>
      <c r="C21" s="20" t="s">
        <v>125</v>
      </c>
      <c r="D21" s="20" t="s">
        <v>127</v>
      </c>
      <c r="E21" s="20" t="s">
        <v>870</v>
      </c>
      <c r="F21" s="20" t="s">
        <v>145</v>
      </c>
      <c r="G21" s="26">
        <v>28</v>
      </c>
      <c r="H21" s="26">
        <v>28</v>
      </c>
      <c r="I21" s="203"/>
    </row>
    <row r="22" spans="1:12" ht="47.25" x14ac:dyDescent="0.25">
      <c r="A22" s="25" t="s">
        <v>849</v>
      </c>
      <c r="B22" s="16">
        <v>901</v>
      </c>
      <c r="C22" s="20" t="s">
        <v>125</v>
      </c>
      <c r="D22" s="20" t="s">
        <v>127</v>
      </c>
      <c r="E22" s="20" t="s">
        <v>872</v>
      </c>
      <c r="F22" s="20"/>
      <c r="G22" s="26">
        <f>G23</f>
        <v>420</v>
      </c>
      <c r="H22" s="26">
        <f>H23</f>
        <v>420</v>
      </c>
      <c r="I22" s="203"/>
    </row>
    <row r="23" spans="1:12" ht="78.75" x14ac:dyDescent="0.25">
      <c r="A23" s="25" t="s">
        <v>134</v>
      </c>
      <c r="B23" s="16">
        <v>901</v>
      </c>
      <c r="C23" s="20" t="s">
        <v>125</v>
      </c>
      <c r="D23" s="20" t="s">
        <v>127</v>
      </c>
      <c r="E23" s="20" t="s">
        <v>872</v>
      </c>
      <c r="F23" s="20" t="s">
        <v>135</v>
      </c>
      <c r="G23" s="26">
        <f>G24</f>
        <v>420</v>
      </c>
      <c r="H23" s="26">
        <f>H24</f>
        <v>420</v>
      </c>
      <c r="I23" s="203"/>
    </row>
    <row r="24" spans="1:12" ht="31.5" x14ac:dyDescent="0.25">
      <c r="A24" s="25" t="s">
        <v>136</v>
      </c>
      <c r="B24" s="16">
        <v>901</v>
      </c>
      <c r="C24" s="20" t="s">
        <v>125</v>
      </c>
      <c r="D24" s="20" t="s">
        <v>127</v>
      </c>
      <c r="E24" s="20" t="s">
        <v>872</v>
      </c>
      <c r="F24" s="20" t="s">
        <v>137</v>
      </c>
      <c r="G24" s="26">
        <v>420</v>
      </c>
      <c r="H24" s="26">
        <v>420</v>
      </c>
      <c r="I24" s="203"/>
    </row>
    <row r="25" spans="1:12" s="202" customFormat="1" ht="15.75" hidden="1" x14ac:dyDescent="0.25">
      <c r="A25" s="23" t="s">
        <v>146</v>
      </c>
      <c r="B25" s="19">
        <v>901</v>
      </c>
      <c r="C25" s="24" t="s">
        <v>125</v>
      </c>
      <c r="D25" s="24" t="s">
        <v>147</v>
      </c>
      <c r="E25" s="24"/>
      <c r="F25" s="24"/>
      <c r="G25" s="21">
        <f t="shared" ref="G25:H29" si="2">G26</f>
        <v>0</v>
      </c>
      <c r="H25" s="21">
        <f t="shared" si="2"/>
        <v>0</v>
      </c>
      <c r="I25" s="203"/>
    </row>
    <row r="26" spans="1:12" s="202" customFormat="1" ht="15.75" hidden="1" x14ac:dyDescent="0.25">
      <c r="A26" s="23" t="s">
        <v>148</v>
      </c>
      <c r="B26" s="19">
        <v>901</v>
      </c>
      <c r="C26" s="24" t="s">
        <v>125</v>
      </c>
      <c r="D26" s="24" t="s">
        <v>147</v>
      </c>
      <c r="E26" s="24" t="s">
        <v>876</v>
      </c>
      <c r="F26" s="24"/>
      <c r="G26" s="21">
        <f t="shared" si="2"/>
        <v>0</v>
      </c>
      <c r="H26" s="21">
        <f t="shared" si="2"/>
        <v>0</v>
      </c>
      <c r="I26" s="203"/>
    </row>
    <row r="27" spans="1:12" s="202" customFormat="1" ht="31.5" hidden="1" x14ac:dyDescent="0.25">
      <c r="A27" s="23" t="s">
        <v>880</v>
      </c>
      <c r="B27" s="19">
        <v>901</v>
      </c>
      <c r="C27" s="24" t="s">
        <v>125</v>
      </c>
      <c r="D27" s="24" t="s">
        <v>147</v>
      </c>
      <c r="E27" s="24" t="s">
        <v>875</v>
      </c>
      <c r="F27" s="24"/>
      <c r="G27" s="21">
        <f t="shared" si="2"/>
        <v>0</v>
      </c>
      <c r="H27" s="21">
        <f t="shared" si="2"/>
        <v>0</v>
      </c>
      <c r="I27" s="203"/>
    </row>
    <row r="28" spans="1:12" s="202" customFormat="1" ht="15.75" hidden="1" x14ac:dyDescent="0.25">
      <c r="A28" s="25" t="s">
        <v>1151</v>
      </c>
      <c r="B28" s="16">
        <v>901</v>
      </c>
      <c r="C28" s="20" t="s">
        <v>125</v>
      </c>
      <c r="D28" s="20" t="s">
        <v>147</v>
      </c>
      <c r="E28" s="20" t="s">
        <v>1152</v>
      </c>
      <c r="F28" s="20"/>
      <c r="G28" s="26">
        <f t="shared" si="2"/>
        <v>0</v>
      </c>
      <c r="H28" s="26">
        <f t="shared" si="2"/>
        <v>0</v>
      </c>
      <c r="I28" s="203"/>
    </row>
    <row r="29" spans="1:12" s="202" customFormat="1" ht="15.75" hidden="1" x14ac:dyDescent="0.25">
      <c r="A29" s="25" t="s">
        <v>142</v>
      </c>
      <c r="B29" s="16">
        <v>901</v>
      </c>
      <c r="C29" s="20" t="s">
        <v>125</v>
      </c>
      <c r="D29" s="20" t="s">
        <v>147</v>
      </c>
      <c r="E29" s="20" t="s">
        <v>1152</v>
      </c>
      <c r="F29" s="20" t="s">
        <v>152</v>
      </c>
      <c r="G29" s="26">
        <f>G30</f>
        <v>0</v>
      </c>
      <c r="H29" s="26">
        <f t="shared" si="2"/>
        <v>0</v>
      </c>
      <c r="I29" s="203"/>
    </row>
    <row r="30" spans="1:12" s="202" customFormat="1" ht="15.75" hidden="1" x14ac:dyDescent="0.25">
      <c r="A30" s="25" t="s">
        <v>1151</v>
      </c>
      <c r="B30" s="16">
        <v>901</v>
      </c>
      <c r="C30" s="20" t="s">
        <v>125</v>
      </c>
      <c r="D30" s="20" t="s">
        <v>147</v>
      </c>
      <c r="E30" s="20" t="s">
        <v>1152</v>
      </c>
      <c r="F30" s="20" t="s">
        <v>1153</v>
      </c>
      <c r="G30" s="26">
        <v>0</v>
      </c>
      <c r="H30" s="26">
        <v>0</v>
      </c>
      <c r="I30" s="203"/>
      <c r="L30" s="202" t="s">
        <v>1309</v>
      </c>
    </row>
    <row r="31" spans="1:12" ht="21.75" customHeight="1" x14ac:dyDescent="0.25">
      <c r="A31" s="19" t="s">
        <v>155</v>
      </c>
      <c r="B31" s="19">
        <v>902</v>
      </c>
      <c r="C31" s="20"/>
      <c r="D31" s="20"/>
      <c r="E31" s="20"/>
      <c r="F31" s="20"/>
      <c r="G31" s="21">
        <f>G32+G172+G191+G218+G165</f>
        <v>79272.81</v>
      </c>
      <c r="H31" s="21">
        <f>H32+H172+H191+H218+H165</f>
        <v>66093.72</v>
      </c>
      <c r="I31" s="203"/>
    </row>
    <row r="32" spans="1:12" ht="15.75" x14ac:dyDescent="0.25">
      <c r="A32" s="23" t="s">
        <v>124</v>
      </c>
      <c r="B32" s="19">
        <v>902</v>
      </c>
      <c r="C32" s="24" t="s">
        <v>125</v>
      </c>
      <c r="D32" s="20"/>
      <c r="E32" s="20"/>
      <c r="F32" s="20"/>
      <c r="G32" s="21">
        <f>G52+G113+G130+G122+G33</f>
        <v>57018.81</v>
      </c>
      <c r="H32" s="21">
        <f>H52+H113+H130+H122+H33</f>
        <v>43873.119999999995</v>
      </c>
      <c r="I32" s="203"/>
    </row>
    <row r="33" spans="1:9" s="202" customFormat="1" ht="47.25" x14ac:dyDescent="0.25">
      <c r="A33" s="23" t="s">
        <v>582</v>
      </c>
      <c r="B33" s="19">
        <v>902</v>
      </c>
      <c r="C33" s="24" t="s">
        <v>125</v>
      </c>
      <c r="D33" s="24" t="s">
        <v>220</v>
      </c>
      <c r="E33" s="20"/>
      <c r="F33" s="20"/>
      <c r="G33" s="21">
        <f>G34+G44</f>
        <v>4867.3999999999996</v>
      </c>
      <c r="H33" s="21">
        <f>H34+H44</f>
        <v>4867.3999999999996</v>
      </c>
      <c r="I33" s="203"/>
    </row>
    <row r="34" spans="1:9" s="202" customFormat="1" ht="31.5" x14ac:dyDescent="0.25">
      <c r="A34" s="23" t="s">
        <v>927</v>
      </c>
      <c r="B34" s="19">
        <v>902</v>
      </c>
      <c r="C34" s="24" t="s">
        <v>125</v>
      </c>
      <c r="D34" s="24" t="s">
        <v>220</v>
      </c>
      <c r="E34" s="24" t="s">
        <v>868</v>
      </c>
      <c r="F34" s="20"/>
      <c r="G34" s="21">
        <f>G35</f>
        <v>4826.8999999999996</v>
      </c>
      <c r="H34" s="21">
        <f>H35</f>
        <v>4826.8999999999996</v>
      </c>
      <c r="I34" s="203"/>
    </row>
    <row r="35" spans="1:9" s="202" customFormat="1" ht="15.75" x14ac:dyDescent="0.25">
      <c r="A35" s="23" t="s">
        <v>928</v>
      </c>
      <c r="B35" s="19">
        <v>902</v>
      </c>
      <c r="C35" s="24" t="s">
        <v>125</v>
      </c>
      <c r="D35" s="24" t="s">
        <v>220</v>
      </c>
      <c r="E35" s="24" t="s">
        <v>869</v>
      </c>
      <c r="F35" s="20"/>
      <c r="G35" s="21">
        <f>G36+G41</f>
        <v>4826.8999999999996</v>
      </c>
      <c r="H35" s="21">
        <f>H36+H41</f>
        <v>4826.8999999999996</v>
      </c>
      <c r="I35" s="203"/>
    </row>
    <row r="36" spans="1:9" s="202" customFormat="1" ht="31.5" x14ac:dyDescent="0.25">
      <c r="A36" s="25" t="s">
        <v>583</v>
      </c>
      <c r="B36" s="16">
        <v>902</v>
      </c>
      <c r="C36" s="20" t="s">
        <v>125</v>
      </c>
      <c r="D36" s="20" t="s">
        <v>220</v>
      </c>
      <c r="E36" s="20" t="s">
        <v>1345</v>
      </c>
      <c r="F36" s="20"/>
      <c r="G36" s="26">
        <f>G37+G39</f>
        <v>4826.8999999999996</v>
      </c>
      <c r="H36" s="26">
        <f>H37+H39</f>
        <v>4826.8999999999996</v>
      </c>
      <c r="I36" s="203"/>
    </row>
    <row r="37" spans="1:9" s="202" customFormat="1" ht="78.75" x14ac:dyDescent="0.25">
      <c r="A37" s="25" t="s">
        <v>134</v>
      </c>
      <c r="B37" s="16">
        <v>902</v>
      </c>
      <c r="C37" s="20" t="s">
        <v>125</v>
      </c>
      <c r="D37" s="20" t="s">
        <v>220</v>
      </c>
      <c r="E37" s="20" t="s">
        <v>1345</v>
      </c>
      <c r="F37" s="20" t="s">
        <v>135</v>
      </c>
      <c r="G37" s="26">
        <f>G38</f>
        <v>4736.8999999999996</v>
      </c>
      <c r="H37" s="26">
        <f>H38</f>
        <v>4736.8999999999996</v>
      </c>
      <c r="I37" s="203"/>
    </row>
    <row r="38" spans="1:9" s="202" customFormat="1" ht="31.5" x14ac:dyDescent="0.25">
      <c r="A38" s="25" t="s">
        <v>136</v>
      </c>
      <c r="B38" s="16">
        <v>902</v>
      </c>
      <c r="C38" s="20" t="s">
        <v>125</v>
      </c>
      <c r="D38" s="20" t="s">
        <v>220</v>
      </c>
      <c r="E38" s="20" t="s">
        <v>1345</v>
      </c>
      <c r="F38" s="20" t="s">
        <v>137</v>
      </c>
      <c r="G38" s="27">
        <v>4736.8999999999996</v>
      </c>
      <c r="H38" s="26">
        <f>G38</f>
        <v>4736.8999999999996</v>
      </c>
      <c r="I38" s="203"/>
    </row>
    <row r="39" spans="1:9" s="202" customFormat="1" ht="31.5" x14ac:dyDescent="0.25">
      <c r="A39" s="25" t="s">
        <v>205</v>
      </c>
      <c r="B39" s="16">
        <v>902</v>
      </c>
      <c r="C39" s="20" t="s">
        <v>125</v>
      </c>
      <c r="D39" s="20" t="s">
        <v>220</v>
      </c>
      <c r="E39" s="20" t="s">
        <v>1345</v>
      </c>
      <c r="F39" s="20" t="s">
        <v>139</v>
      </c>
      <c r="G39" s="26">
        <f>G40</f>
        <v>90</v>
      </c>
      <c r="H39" s="26">
        <f>H40</f>
        <v>90</v>
      </c>
      <c r="I39" s="203"/>
    </row>
    <row r="40" spans="1:9" s="202" customFormat="1" ht="32.65" customHeight="1" x14ac:dyDescent="0.25">
      <c r="A40" s="25" t="s">
        <v>140</v>
      </c>
      <c r="B40" s="16">
        <v>902</v>
      </c>
      <c r="C40" s="20" t="s">
        <v>125</v>
      </c>
      <c r="D40" s="20" t="s">
        <v>220</v>
      </c>
      <c r="E40" s="20" t="s">
        <v>1345</v>
      </c>
      <c r="F40" s="20" t="s">
        <v>141</v>
      </c>
      <c r="G40" s="26">
        <v>90</v>
      </c>
      <c r="H40" s="26">
        <f>G40</f>
        <v>90</v>
      </c>
      <c r="I40" s="203"/>
    </row>
    <row r="41" spans="1:9" s="202" customFormat="1" ht="47.25" hidden="1" x14ac:dyDescent="0.25">
      <c r="A41" s="25" t="s">
        <v>849</v>
      </c>
      <c r="B41" s="16">
        <v>902</v>
      </c>
      <c r="C41" s="20" t="s">
        <v>125</v>
      </c>
      <c r="D41" s="20" t="s">
        <v>220</v>
      </c>
      <c r="E41" s="20" t="s">
        <v>872</v>
      </c>
      <c r="F41" s="20"/>
      <c r="G41" s="26">
        <f>G42</f>
        <v>0</v>
      </c>
      <c r="H41" s="26">
        <f>G41</f>
        <v>0</v>
      </c>
      <c r="I41" s="203"/>
    </row>
    <row r="42" spans="1:9" s="202" customFormat="1" ht="78.75" hidden="1" x14ac:dyDescent="0.25">
      <c r="A42" s="25" t="s">
        <v>134</v>
      </c>
      <c r="B42" s="16">
        <v>902</v>
      </c>
      <c r="C42" s="20" t="s">
        <v>125</v>
      </c>
      <c r="D42" s="20" t="s">
        <v>220</v>
      </c>
      <c r="E42" s="20" t="s">
        <v>872</v>
      </c>
      <c r="F42" s="20" t="s">
        <v>135</v>
      </c>
      <c r="G42" s="26">
        <f>G43</f>
        <v>0</v>
      </c>
      <c r="H42" s="26">
        <f>G42</f>
        <v>0</v>
      </c>
      <c r="I42" s="203"/>
    </row>
    <row r="43" spans="1:9" s="202" customFormat="1" ht="31.5" hidden="1" x14ac:dyDescent="0.25">
      <c r="A43" s="25" t="s">
        <v>136</v>
      </c>
      <c r="B43" s="16">
        <v>902</v>
      </c>
      <c r="C43" s="20" t="s">
        <v>125</v>
      </c>
      <c r="D43" s="20" t="s">
        <v>220</v>
      </c>
      <c r="E43" s="20" t="s">
        <v>872</v>
      </c>
      <c r="F43" s="20" t="s">
        <v>137</v>
      </c>
      <c r="G43" s="26">
        <f>42-42</f>
        <v>0</v>
      </c>
      <c r="H43" s="26">
        <f>G43</f>
        <v>0</v>
      </c>
      <c r="I43" s="203"/>
    </row>
    <row r="44" spans="1:9" s="202" customFormat="1" ht="47.25" x14ac:dyDescent="0.25">
      <c r="A44" s="23" t="s">
        <v>1381</v>
      </c>
      <c r="B44" s="19">
        <v>902</v>
      </c>
      <c r="C44" s="24" t="s">
        <v>125</v>
      </c>
      <c r="D44" s="24" t="s">
        <v>220</v>
      </c>
      <c r="E44" s="24" t="s">
        <v>169</v>
      </c>
      <c r="F44" s="24"/>
      <c r="G44" s="21">
        <f>G45</f>
        <v>40.5</v>
      </c>
      <c r="H44" s="21">
        <f>H45</f>
        <v>40.5</v>
      </c>
      <c r="I44" s="203"/>
    </row>
    <row r="45" spans="1:9" s="202" customFormat="1" ht="63" x14ac:dyDescent="0.25">
      <c r="A45" s="215" t="s">
        <v>853</v>
      </c>
      <c r="B45" s="19">
        <v>902</v>
      </c>
      <c r="C45" s="24" t="s">
        <v>125</v>
      </c>
      <c r="D45" s="24" t="s">
        <v>220</v>
      </c>
      <c r="E45" s="7" t="s">
        <v>860</v>
      </c>
      <c r="F45" s="24"/>
      <c r="G45" s="21">
        <f>G46+G49</f>
        <v>40.5</v>
      </c>
      <c r="H45" s="21">
        <f>H46+H49</f>
        <v>40.5</v>
      </c>
      <c r="I45" s="203"/>
    </row>
    <row r="46" spans="1:9" s="202" customFormat="1" ht="47.25" x14ac:dyDescent="0.25">
      <c r="A46" s="31" t="s">
        <v>1105</v>
      </c>
      <c r="B46" s="16">
        <v>902</v>
      </c>
      <c r="C46" s="20" t="s">
        <v>125</v>
      </c>
      <c r="D46" s="20" t="s">
        <v>220</v>
      </c>
      <c r="E46" s="40" t="s">
        <v>1003</v>
      </c>
      <c r="F46" s="20"/>
      <c r="G46" s="26">
        <f>G47</f>
        <v>40.5</v>
      </c>
      <c r="H46" s="26">
        <f>H47</f>
        <v>40.5</v>
      </c>
      <c r="I46" s="203"/>
    </row>
    <row r="47" spans="1:9" s="202" customFormat="1" ht="31.5" x14ac:dyDescent="0.25">
      <c r="A47" s="25" t="s">
        <v>138</v>
      </c>
      <c r="B47" s="16">
        <v>902</v>
      </c>
      <c r="C47" s="20" t="s">
        <v>125</v>
      </c>
      <c r="D47" s="20" t="s">
        <v>220</v>
      </c>
      <c r="E47" s="40" t="s">
        <v>1003</v>
      </c>
      <c r="F47" s="20" t="s">
        <v>139</v>
      </c>
      <c r="G47" s="26">
        <f>G48</f>
        <v>40.5</v>
      </c>
      <c r="H47" s="26">
        <f>H48</f>
        <v>40.5</v>
      </c>
      <c r="I47" s="203"/>
    </row>
    <row r="48" spans="1:9" s="202" customFormat="1" ht="31.5" x14ac:dyDescent="0.25">
      <c r="A48" s="25" t="s">
        <v>140</v>
      </c>
      <c r="B48" s="16">
        <v>902</v>
      </c>
      <c r="C48" s="20" t="s">
        <v>125</v>
      </c>
      <c r="D48" s="20" t="s">
        <v>220</v>
      </c>
      <c r="E48" s="40" t="s">
        <v>704</v>
      </c>
      <c r="F48" s="20" t="s">
        <v>141</v>
      </c>
      <c r="G48" s="26">
        <f>0.5+40</f>
        <v>40.5</v>
      </c>
      <c r="H48" s="26">
        <f>G48</f>
        <v>40.5</v>
      </c>
      <c r="I48" s="203"/>
    </row>
    <row r="49" spans="1:9" s="202" customFormat="1" ht="47.25" hidden="1" x14ac:dyDescent="0.25">
      <c r="A49" s="31" t="s">
        <v>703</v>
      </c>
      <c r="B49" s="16">
        <v>902</v>
      </c>
      <c r="C49" s="20" t="s">
        <v>125</v>
      </c>
      <c r="D49" s="20" t="s">
        <v>220</v>
      </c>
      <c r="E49" s="20" t="s">
        <v>1002</v>
      </c>
      <c r="F49" s="20"/>
      <c r="G49" s="26">
        <f>G50</f>
        <v>0</v>
      </c>
      <c r="H49" s="26">
        <f>H50</f>
        <v>0</v>
      </c>
      <c r="I49" s="203"/>
    </row>
    <row r="50" spans="1:9" s="202" customFormat="1" ht="31.5" hidden="1" x14ac:dyDescent="0.25">
      <c r="A50" s="25" t="s">
        <v>138</v>
      </c>
      <c r="B50" s="16">
        <v>902</v>
      </c>
      <c r="C50" s="20" t="s">
        <v>125</v>
      </c>
      <c r="D50" s="20" t="s">
        <v>220</v>
      </c>
      <c r="E50" s="20" t="s">
        <v>1002</v>
      </c>
      <c r="F50" s="20" t="s">
        <v>139</v>
      </c>
      <c r="G50" s="26">
        <f>G51</f>
        <v>0</v>
      </c>
      <c r="H50" s="26">
        <f>H51</f>
        <v>0</v>
      </c>
      <c r="I50" s="203"/>
    </row>
    <row r="51" spans="1:9" s="202" customFormat="1" ht="31.5" hidden="1" x14ac:dyDescent="0.25">
      <c r="A51" s="25" t="s">
        <v>140</v>
      </c>
      <c r="B51" s="16">
        <v>902</v>
      </c>
      <c r="C51" s="20" t="s">
        <v>125</v>
      </c>
      <c r="D51" s="20" t="s">
        <v>220</v>
      </c>
      <c r="E51" s="20" t="s">
        <v>1002</v>
      </c>
      <c r="F51" s="20" t="s">
        <v>141</v>
      </c>
      <c r="G51" s="26"/>
      <c r="H51" s="26"/>
      <c r="I51" s="203"/>
    </row>
    <row r="52" spans="1:9" ht="63" x14ac:dyDescent="0.25">
      <c r="A52" s="23" t="s">
        <v>156</v>
      </c>
      <c r="B52" s="19">
        <v>902</v>
      </c>
      <c r="C52" s="24" t="s">
        <v>125</v>
      </c>
      <c r="D52" s="24" t="s">
        <v>157</v>
      </c>
      <c r="E52" s="24"/>
      <c r="F52" s="24"/>
      <c r="G52" s="21">
        <f>G53+G89</f>
        <v>44810.21</v>
      </c>
      <c r="H52" s="21">
        <f>H53+H89</f>
        <v>31621.519999999997</v>
      </c>
      <c r="I52" s="203"/>
    </row>
    <row r="53" spans="1:9" ht="31.5" x14ac:dyDescent="0.25">
      <c r="A53" s="23" t="s">
        <v>927</v>
      </c>
      <c r="B53" s="19">
        <v>902</v>
      </c>
      <c r="C53" s="24" t="s">
        <v>125</v>
      </c>
      <c r="D53" s="24" t="s">
        <v>157</v>
      </c>
      <c r="E53" s="24" t="s">
        <v>868</v>
      </c>
      <c r="F53" s="24"/>
      <c r="G53" s="44">
        <f>G54+G70</f>
        <v>44126.71</v>
      </c>
      <c r="H53" s="44">
        <f>H54+H70</f>
        <v>30938.019999999997</v>
      </c>
      <c r="I53" s="203"/>
    </row>
    <row r="54" spans="1:9" ht="15.75" x14ac:dyDescent="0.25">
      <c r="A54" s="23" t="s">
        <v>928</v>
      </c>
      <c r="B54" s="19">
        <v>902</v>
      </c>
      <c r="C54" s="24" t="s">
        <v>125</v>
      </c>
      <c r="D54" s="24" t="s">
        <v>157</v>
      </c>
      <c r="E54" s="24" t="s">
        <v>869</v>
      </c>
      <c r="F54" s="24"/>
      <c r="G54" s="44">
        <f>G55+G64+G67</f>
        <v>40818.11</v>
      </c>
      <c r="H54" s="44">
        <f>H55+H64+H67</f>
        <v>27844.92</v>
      </c>
      <c r="I54" s="203"/>
    </row>
    <row r="55" spans="1:9" ht="31.5" x14ac:dyDescent="0.25">
      <c r="A55" s="25" t="s">
        <v>907</v>
      </c>
      <c r="B55" s="16">
        <v>902</v>
      </c>
      <c r="C55" s="20" t="s">
        <v>125</v>
      </c>
      <c r="D55" s="20" t="s">
        <v>157</v>
      </c>
      <c r="E55" s="20" t="s">
        <v>870</v>
      </c>
      <c r="F55" s="20"/>
      <c r="G55" s="26">
        <f>G56+G58+G60+G62</f>
        <v>37155.71</v>
      </c>
      <c r="H55" s="26">
        <f>H56+H58+H60+H62</f>
        <v>24182.519999999997</v>
      </c>
      <c r="I55" s="203"/>
    </row>
    <row r="56" spans="1:9" ht="78.75" x14ac:dyDescent="0.25">
      <c r="A56" s="25" t="s">
        <v>134</v>
      </c>
      <c r="B56" s="16">
        <v>902</v>
      </c>
      <c r="C56" s="20" t="s">
        <v>125</v>
      </c>
      <c r="D56" s="20" t="s">
        <v>157</v>
      </c>
      <c r="E56" s="20" t="s">
        <v>870</v>
      </c>
      <c r="F56" s="20" t="s">
        <v>135</v>
      </c>
      <c r="G56" s="26">
        <f>G57</f>
        <v>31521.309999999998</v>
      </c>
      <c r="H56" s="26">
        <f>H57</f>
        <v>18548.12</v>
      </c>
      <c r="I56" s="203"/>
    </row>
    <row r="57" spans="1:9" ht="31.5" x14ac:dyDescent="0.25">
      <c r="A57" s="25" t="s">
        <v>136</v>
      </c>
      <c r="B57" s="16">
        <v>902</v>
      </c>
      <c r="C57" s="20" t="s">
        <v>125</v>
      </c>
      <c r="D57" s="20" t="s">
        <v>157</v>
      </c>
      <c r="E57" s="20" t="s">
        <v>870</v>
      </c>
      <c r="F57" s="20" t="s">
        <v>137</v>
      </c>
      <c r="G57" s="26">
        <f>44000-G9</f>
        <v>31521.309999999998</v>
      </c>
      <c r="H57" s="26">
        <f>44000-H9</f>
        <v>18548.12</v>
      </c>
      <c r="I57" s="203"/>
    </row>
    <row r="58" spans="1:9" ht="31.5" x14ac:dyDescent="0.25">
      <c r="A58" s="25" t="s">
        <v>138</v>
      </c>
      <c r="B58" s="16">
        <v>902</v>
      </c>
      <c r="C58" s="20" t="s">
        <v>125</v>
      </c>
      <c r="D58" s="20" t="s">
        <v>157</v>
      </c>
      <c r="E58" s="20" t="s">
        <v>870</v>
      </c>
      <c r="F58" s="20" t="s">
        <v>139</v>
      </c>
      <c r="G58" s="26">
        <f>G59</f>
        <v>5559.4</v>
      </c>
      <c r="H58" s="26">
        <f>H59</f>
        <v>5559.4</v>
      </c>
      <c r="I58" s="203"/>
    </row>
    <row r="59" spans="1:9" ht="31.5" x14ac:dyDescent="0.25">
      <c r="A59" s="25" t="s">
        <v>140</v>
      </c>
      <c r="B59" s="16">
        <v>902</v>
      </c>
      <c r="C59" s="20" t="s">
        <v>125</v>
      </c>
      <c r="D59" s="20" t="s">
        <v>157</v>
      </c>
      <c r="E59" s="20" t="s">
        <v>870</v>
      </c>
      <c r="F59" s="20" t="s">
        <v>141</v>
      </c>
      <c r="G59" s="26">
        <v>5559.4</v>
      </c>
      <c r="H59" s="26">
        <f>G59</f>
        <v>5559.4</v>
      </c>
      <c r="I59" s="203"/>
    </row>
    <row r="60" spans="1:9" ht="31.5" hidden="1" x14ac:dyDescent="0.25">
      <c r="A60" s="25" t="s">
        <v>255</v>
      </c>
      <c r="B60" s="16">
        <v>902</v>
      </c>
      <c r="C60" s="20" t="s">
        <v>125</v>
      </c>
      <c r="D60" s="20" t="s">
        <v>157</v>
      </c>
      <c r="E60" s="20" t="s">
        <v>870</v>
      </c>
      <c r="F60" s="20" t="s">
        <v>256</v>
      </c>
      <c r="G60" s="26">
        <f>G61</f>
        <v>0</v>
      </c>
      <c r="H60" s="26">
        <f>H61</f>
        <v>0</v>
      </c>
      <c r="I60" s="203"/>
    </row>
    <row r="61" spans="1:9" ht="31.5" hidden="1" x14ac:dyDescent="0.25">
      <c r="A61" s="25" t="s">
        <v>257</v>
      </c>
      <c r="B61" s="16">
        <v>902</v>
      </c>
      <c r="C61" s="20" t="s">
        <v>125</v>
      </c>
      <c r="D61" s="20" t="s">
        <v>157</v>
      </c>
      <c r="E61" s="20" t="s">
        <v>870</v>
      </c>
      <c r="F61" s="20" t="s">
        <v>258</v>
      </c>
      <c r="G61" s="26">
        <v>0</v>
      </c>
      <c r="H61" s="26">
        <f t="shared" si="1"/>
        <v>0</v>
      </c>
      <c r="I61" s="203"/>
    </row>
    <row r="62" spans="1:9" ht="15.75" x14ac:dyDescent="0.25">
      <c r="A62" s="25" t="s">
        <v>142</v>
      </c>
      <c r="B62" s="16">
        <v>902</v>
      </c>
      <c r="C62" s="20" t="s">
        <v>125</v>
      </c>
      <c r="D62" s="20" t="s">
        <v>157</v>
      </c>
      <c r="E62" s="20" t="s">
        <v>870</v>
      </c>
      <c r="F62" s="20" t="s">
        <v>152</v>
      </c>
      <c r="G62" s="26">
        <f>G63</f>
        <v>75</v>
      </c>
      <c r="H62" s="26">
        <f>H63</f>
        <v>75</v>
      </c>
      <c r="I62" s="203"/>
    </row>
    <row r="63" spans="1:9" ht="15.75" x14ac:dyDescent="0.25">
      <c r="A63" s="25" t="s">
        <v>575</v>
      </c>
      <c r="B63" s="16">
        <v>902</v>
      </c>
      <c r="C63" s="20" t="s">
        <v>125</v>
      </c>
      <c r="D63" s="20" t="s">
        <v>157</v>
      </c>
      <c r="E63" s="20" t="s">
        <v>870</v>
      </c>
      <c r="F63" s="20" t="s">
        <v>145</v>
      </c>
      <c r="G63" s="26">
        <v>75</v>
      </c>
      <c r="H63" s="26">
        <f t="shared" si="1"/>
        <v>75</v>
      </c>
      <c r="I63" s="203"/>
    </row>
    <row r="64" spans="1:9" ht="31.5" x14ac:dyDescent="0.25">
      <c r="A64" s="25" t="s">
        <v>850</v>
      </c>
      <c r="B64" s="16">
        <v>902</v>
      </c>
      <c r="C64" s="20" t="s">
        <v>125</v>
      </c>
      <c r="D64" s="20" t="s">
        <v>157</v>
      </c>
      <c r="E64" s="20" t="s">
        <v>871</v>
      </c>
      <c r="F64" s="20"/>
      <c r="G64" s="26">
        <f>G65</f>
        <v>2071.4</v>
      </c>
      <c r="H64" s="26">
        <f t="shared" si="1"/>
        <v>2071.4</v>
      </c>
      <c r="I64" s="203"/>
    </row>
    <row r="65" spans="1:9" ht="78.75" x14ac:dyDescent="0.25">
      <c r="A65" s="25" t="s">
        <v>134</v>
      </c>
      <c r="B65" s="16">
        <v>902</v>
      </c>
      <c r="C65" s="20" t="s">
        <v>125</v>
      </c>
      <c r="D65" s="20" t="s">
        <v>157</v>
      </c>
      <c r="E65" s="20" t="s">
        <v>871</v>
      </c>
      <c r="F65" s="20" t="s">
        <v>135</v>
      </c>
      <c r="G65" s="26">
        <f>G66</f>
        <v>2071.4</v>
      </c>
      <c r="H65" s="26">
        <f>H66</f>
        <v>2071.4</v>
      </c>
      <c r="I65" s="203"/>
    </row>
    <row r="66" spans="1:9" ht="31.5" x14ac:dyDescent="0.25">
      <c r="A66" s="25" t="s">
        <v>136</v>
      </c>
      <c r="B66" s="16">
        <v>902</v>
      </c>
      <c r="C66" s="20" t="s">
        <v>125</v>
      </c>
      <c r="D66" s="20" t="s">
        <v>157</v>
      </c>
      <c r="E66" s="20" t="s">
        <v>871</v>
      </c>
      <c r="F66" s="20" t="s">
        <v>137</v>
      </c>
      <c r="G66" s="26">
        <v>2071.4</v>
      </c>
      <c r="H66" s="26">
        <f t="shared" si="1"/>
        <v>2071.4</v>
      </c>
      <c r="I66" s="203"/>
    </row>
    <row r="67" spans="1:9" ht="47.25" x14ac:dyDescent="0.25">
      <c r="A67" s="25" t="s">
        <v>849</v>
      </c>
      <c r="B67" s="16">
        <v>902</v>
      </c>
      <c r="C67" s="20" t="s">
        <v>125</v>
      </c>
      <c r="D67" s="20" t="s">
        <v>157</v>
      </c>
      <c r="E67" s="20" t="s">
        <v>872</v>
      </c>
      <c r="F67" s="20"/>
      <c r="G67" s="26">
        <f>G68</f>
        <v>1591</v>
      </c>
      <c r="H67" s="26">
        <f>H68</f>
        <v>1591</v>
      </c>
      <c r="I67" s="203"/>
    </row>
    <row r="68" spans="1:9" ht="78.75" x14ac:dyDescent="0.25">
      <c r="A68" s="25" t="s">
        <v>134</v>
      </c>
      <c r="B68" s="16">
        <v>902</v>
      </c>
      <c r="C68" s="20" t="s">
        <v>125</v>
      </c>
      <c r="D68" s="20" t="s">
        <v>157</v>
      </c>
      <c r="E68" s="20" t="s">
        <v>872</v>
      </c>
      <c r="F68" s="20" t="s">
        <v>135</v>
      </c>
      <c r="G68" s="26">
        <f>G69</f>
        <v>1591</v>
      </c>
      <c r="H68" s="26">
        <f>H69</f>
        <v>1591</v>
      </c>
      <c r="I68" s="203"/>
    </row>
    <row r="69" spans="1:9" ht="31.5" x14ac:dyDescent="0.25">
      <c r="A69" s="25" t="s">
        <v>136</v>
      </c>
      <c r="B69" s="16">
        <v>902</v>
      </c>
      <c r="C69" s="20" t="s">
        <v>125</v>
      </c>
      <c r="D69" s="20" t="s">
        <v>157</v>
      </c>
      <c r="E69" s="20" t="s">
        <v>872</v>
      </c>
      <c r="F69" s="20" t="s">
        <v>137</v>
      </c>
      <c r="G69" s="26">
        <v>1591</v>
      </c>
      <c r="H69" s="26">
        <f t="shared" si="1"/>
        <v>1591</v>
      </c>
      <c r="I69" s="203"/>
    </row>
    <row r="70" spans="1:9" ht="31.5" x14ac:dyDescent="0.25">
      <c r="A70" s="23" t="s">
        <v>895</v>
      </c>
      <c r="B70" s="19">
        <v>902</v>
      </c>
      <c r="C70" s="24" t="s">
        <v>125</v>
      </c>
      <c r="D70" s="24" t="s">
        <v>157</v>
      </c>
      <c r="E70" s="24" t="s">
        <v>873</v>
      </c>
      <c r="F70" s="24"/>
      <c r="G70" s="21">
        <f>G71+G74+G79+G84</f>
        <v>3308.6</v>
      </c>
      <c r="H70" s="21">
        <f>H71+H74+H79+H84</f>
        <v>3093.1</v>
      </c>
      <c r="I70" s="203"/>
    </row>
    <row r="71" spans="1:9" ht="47.25" hidden="1" x14ac:dyDescent="0.25">
      <c r="A71" s="25" t="s">
        <v>789</v>
      </c>
      <c r="B71" s="16">
        <v>902</v>
      </c>
      <c r="C71" s="20" t="s">
        <v>125</v>
      </c>
      <c r="D71" s="20" t="s">
        <v>157</v>
      </c>
      <c r="E71" s="20" t="s">
        <v>929</v>
      </c>
      <c r="F71" s="24"/>
      <c r="G71" s="26">
        <f>G72</f>
        <v>0</v>
      </c>
      <c r="H71" s="26">
        <f>H72</f>
        <v>0</v>
      </c>
      <c r="I71" s="203"/>
    </row>
    <row r="72" spans="1:9" ht="31.5" hidden="1" x14ac:dyDescent="0.25">
      <c r="A72" s="25" t="s">
        <v>138</v>
      </c>
      <c r="B72" s="16">
        <v>902</v>
      </c>
      <c r="C72" s="20" t="s">
        <v>125</v>
      </c>
      <c r="D72" s="20" t="s">
        <v>157</v>
      </c>
      <c r="E72" s="20" t="s">
        <v>929</v>
      </c>
      <c r="F72" s="20" t="s">
        <v>139</v>
      </c>
      <c r="G72" s="26">
        <f>G73</f>
        <v>0</v>
      </c>
      <c r="H72" s="26">
        <f>H73</f>
        <v>0</v>
      </c>
      <c r="I72" s="203"/>
    </row>
    <row r="73" spans="1:9" ht="31.5" hidden="1" x14ac:dyDescent="0.25">
      <c r="A73" s="25" t="s">
        <v>140</v>
      </c>
      <c r="B73" s="16">
        <v>902</v>
      </c>
      <c r="C73" s="20" t="s">
        <v>125</v>
      </c>
      <c r="D73" s="20" t="s">
        <v>157</v>
      </c>
      <c r="E73" s="20" t="s">
        <v>929</v>
      </c>
      <c r="F73" s="20" t="s">
        <v>141</v>
      </c>
      <c r="G73" s="373">
        <v>0</v>
      </c>
      <c r="H73" s="373">
        <v>0</v>
      </c>
      <c r="I73" s="203"/>
    </row>
    <row r="74" spans="1:9" ht="47.25" x14ac:dyDescent="0.25">
      <c r="A74" s="31" t="s">
        <v>196</v>
      </c>
      <c r="B74" s="16">
        <v>902</v>
      </c>
      <c r="C74" s="20" t="s">
        <v>125</v>
      </c>
      <c r="D74" s="20" t="s">
        <v>157</v>
      </c>
      <c r="E74" s="20" t="s">
        <v>930</v>
      </c>
      <c r="F74" s="20"/>
      <c r="G74" s="26">
        <f>G75+G77</f>
        <v>563.20000000000005</v>
      </c>
      <c r="H74" s="26">
        <f>H75+H77</f>
        <v>347.7</v>
      </c>
      <c r="I74" s="203"/>
    </row>
    <row r="75" spans="1:9" ht="78.75" x14ac:dyDescent="0.25">
      <c r="A75" s="25" t="s">
        <v>134</v>
      </c>
      <c r="B75" s="16">
        <v>902</v>
      </c>
      <c r="C75" s="20" t="s">
        <v>125</v>
      </c>
      <c r="D75" s="20" t="s">
        <v>157</v>
      </c>
      <c r="E75" s="20" t="s">
        <v>930</v>
      </c>
      <c r="F75" s="20" t="s">
        <v>135</v>
      </c>
      <c r="G75" s="26">
        <f>G76</f>
        <v>563.20000000000005</v>
      </c>
      <c r="H75" s="26">
        <f>H76</f>
        <v>347.7</v>
      </c>
      <c r="I75" s="203"/>
    </row>
    <row r="76" spans="1:9" ht="31.5" x14ac:dyDescent="0.25">
      <c r="A76" s="25" t="s">
        <v>136</v>
      </c>
      <c r="B76" s="16">
        <v>902</v>
      </c>
      <c r="C76" s="20" t="s">
        <v>125</v>
      </c>
      <c r="D76" s="20" t="s">
        <v>157</v>
      </c>
      <c r="E76" s="20" t="s">
        <v>930</v>
      </c>
      <c r="F76" s="20" t="s">
        <v>137</v>
      </c>
      <c r="G76" s="26">
        <v>563.20000000000005</v>
      </c>
      <c r="H76" s="26">
        <v>347.7</v>
      </c>
      <c r="I76" s="203"/>
    </row>
    <row r="77" spans="1:9" ht="31.5" hidden="1" x14ac:dyDescent="0.25">
      <c r="A77" s="25" t="s">
        <v>138</v>
      </c>
      <c r="B77" s="16">
        <v>902</v>
      </c>
      <c r="C77" s="20" t="s">
        <v>125</v>
      </c>
      <c r="D77" s="20" t="s">
        <v>157</v>
      </c>
      <c r="E77" s="20" t="s">
        <v>930</v>
      </c>
      <c r="F77" s="20" t="s">
        <v>139</v>
      </c>
      <c r="G77" s="26">
        <f>G78</f>
        <v>0</v>
      </c>
      <c r="H77" s="26">
        <f>H78</f>
        <v>0</v>
      </c>
      <c r="I77" s="203"/>
    </row>
    <row r="78" spans="1:9" ht="31.5" hidden="1" x14ac:dyDescent="0.25">
      <c r="A78" s="25" t="s">
        <v>140</v>
      </c>
      <c r="B78" s="16">
        <v>902</v>
      </c>
      <c r="C78" s="20" t="s">
        <v>125</v>
      </c>
      <c r="D78" s="20" t="s">
        <v>157</v>
      </c>
      <c r="E78" s="20" t="s">
        <v>930</v>
      </c>
      <c r="F78" s="20" t="s">
        <v>141</v>
      </c>
      <c r="G78" s="373">
        <v>0</v>
      </c>
      <c r="H78" s="373">
        <v>0</v>
      </c>
      <c r="I78" s="203"/>
    </row>
    <row r="79" spans="1:9" ht="47.25" x14ac:dyDescent="0.25">
      <c r="A79" s="31" t="s">
        <v>201</v>
      </c>
      <c r="B79" s="16">
        <v>902</v>
      </c>
      <c r="C79" s="20" t="s">
        <v>125</v>
      </c>
      <c r="D79" s="20" t="s">
        <v>157</v>
      </c>
      <c r="E79" s="20" t="s">
        <v>1038</v>
      </c>
      <c r="F79" s="20"/>
      <c r="G79" s="26">
        <f>G80+G82</f>
        <v>1411.1</v>
      </c>
      <c r="H79" s="26">
        <f>H80+H82</f>
        <v>1411.1</v>
      </c>
      <c r="I79" s="203"/>
    </row>
    <row r="80" spans="1:9" ht="78.75" x14ac:dyDescent="0.25">
      <c r="A80" s="25" t="s">
        <v>134</v>
      </c>
      <c r="B80" s="16">
        <v>902</v>
      </c>
      <c r="C80" s="20" t="s">
        <v>125</v>
      </c>
      <c r="D80" s="20" t="s">
        <v>157</v>
      </c>
      <c r="E80" s="20" t="s">
        <v>1038</v>
      </c>
      <c r="F80" s="20" t="s">
        <v>135</v>
      </c>
      <c r="G80" s="26">
        <f>G81</f>
        <v>1372.1</v>
      </c>
      <c r="H80" s="26">
        <f>H81</f>
        <v>1372.1</v>
      </c>
      <c r="I80" s="203"/>
    </row>
    <row r="81" spans="1:9" ht="31.5" x14ac:dyDescent="0.25">
      <c r="A81" s="25" t="s">
        <v>136</v>
      </c>
      <c r="B81" s="16">
        <v>902</v>
      </c>
      <c r="C81" s="20" t="s">
        <v>125</v>
      </c>
      <c r="D81" s="20" t="s">
        <v>157</v>
      </c>
      <c r="E81" s="20" t="s">
        <v>1038</v>
      </c>
      <c r="F81" s="20" t="s">
        <v>137</v>
      </c>
      <c r="G81" s="26">
        <f>1372.1</f>
        <v>1372.1</v>
      </c>
      <c r="H81" s="26">
        <f t="shared" si="1"/>
        <v>1372.1</v>
      </c>
      <c r="I81" s="203"/>
    </row>
    <row r="82" spans="1:9" ht="31.5" x14ac:dyDescent="0.25">
      <c r="A82" s="25" t="s">
        <v>138</v>
      </c>
      <c r="B82" s="16">
        <v>902</v>
      </c>
      <c r="C82" s="20" t="s">
        <v>125</v>
      </c>
      <c r="D82" s="20" t="s">
        <v>157</v>
      </c>
      <c r="E82" s="20" t="s">
        <v>1038</v>
      </c>
      <c r="F82" s="20" t="s">
        <v>139</v>
      </c>
      <c r="G82" s="26">
        <f>G83</f>
        <v>39</v>
      </c>
      <c r="H82" s="26">
        <f>H83</f>
        <v>39</v>
      </c>
      <c r="I82" s="203"/>
    </row>
    <row r="83" spans="1:9" ht="31.5" x14ac:dyDescent="0.25">
      <c r="A83" s="25" t="s">
        <v>140</v>
      </c>
      <c r="B83" s="16">
        <v>902</v>
      </c>
      <c r="C83" s="20" t="s">
        <v>125</v>
      </c>
      <c r="D83" s="20" t="s">
        <v>157</v>
      </c>
      <c r="E83" s="20" t="s">
        <v>1038</v>
      </c>
      <c r="F83" s="20" t="s">
        <v>141</v>
      </c>
      <c r="G83" s="26">
        <f>61.2-19.5-2.7</f>
        <v>39</v>
      </c>
      <c r="H83" s="26">
        <f t="shared" si="1"/>
        <v>39</v>
      </c>
      <c r="I83" s="203"/>
    </row>
    <row r="84" spans="1:9" ht="47.25" x14ac:dyDescent="0.25">
      <c r="A84" s="31" t="s">
        <v>203</v>
      </c>
      <c r="B84" s="16">
        <v>902</v>
      </c>
      <c r="C84" s="20" t="s">
        <v>125</v>
      </c>
      <c r="D84" s="20" t="s">
        <v>157</v>
      </c>
      <c r="E84" s="20" t="s">
        <v>931</v>
      </c>
      <c r="F84" s="20"/>
      <c r="G84" s="26">
        <f>G85+G87</f>
        <v>1334.3</v>
      </c>
      <c r="H84" s="26">
        <f>H85+H87</f>
        <v>1334.3</v>
      </c>
      <c r="I84" s="203"/>
    </row>
    <row r="85" spans="1:9" ht="78.75" x14ac:dyDescent="0.25">
      <c r="A85" s="25" t="s">
        <v>134</v>
      </c>
      <c r="B85" s="16">
        <v>902</v>
      </c>
      <c r="C85" s="20" t="s">
        <v>125</v>
      </c>
      <c r="D85" s="20" t="s">
        <v>157</v>
      </c>
      <c r="E85" s="20" t="s">
        <v>931</v>
      </c>
      <c r="F85" s="20" t="s">
        <v>135</v>
      </c>
      <c r="G85" s="26">
        <f>G86</f>
        <v>1300.3</v>
      </c>
      <c r="H85" s="26">
        <f>H86</f>
        <v>1300.3</v>
      </c>
      <c r="I85" s="203"/>
    </row>
    <row r="86" spans="1:9" ht="31.5" x14ac:dyDescent="0.25">
      <c r="A86" s="25" t="s">
        <v>136</v>
      </c>
      <c r="B86" s="16">
        <v>902</v>
      </c>
      <c r="C86" s="20" t="s">
        <v>125</v>
      </c>
      <c r="D86" s="20" t="s">
        <v>157</v>
      </c>
      <c r="E86" s="20" t="s">
        <v>931</v>
      </c>
      <c r="F86" s="20" t="s">
        <v>137</v>
      </c>
      <c r="G86" s="26">
        <v>1300.3</v>
      </c>
      <c r="H86" s="26">
        <f t="shared" si="1"/>
        <v>1300.3</v>
      </c>
      <c r="I86" s="203"/>
    </row>
    <row r="87" spans="1:9" ht="31.5" x14ac:dyDescent="0.25">
      <c r="A87" s="25" t="s">
        <v>205</v>
      </c>
      <c r="B87" s="16">
        <v>902</v>
      </c>
      <c r="C87" s="20" t="s">
        <v>125</v>
      </c>
      <c r="D87" s="20" t="s">
        <v>157</v>
      </c>
      <c r="E87" s="20" t="s">
        <v>931</v>
      </c>
      <c r="F87" s="20" t="s">
        <v>139</v>
      </c>
      <c r="G87" s="26">
        <f>G88</f>
        <v>34</v>
      </c>
      <c r="H87" s="26">
        <f>H88</f>
        <v>34</v>
      </c>
      <c r="I87" s="203"/>
    </row>
    <row r="88" spans="1:9" ht="31.5" x14ac:dyDescent="0.25">
      <c r="A88" s="25" t="s">
        <v>140</v>
      </c>
      <c r="B88" s="16">
        <v>902</v>
      </c>
      <c r="C88" s="20" t="s">
        <v>125</v>
      </c>
      <c r="D88" s="20" t="s">
        <v>157</v>
      </c>
      <c r="E88" s="20" t="s">
        <v>931</v>
      </c>
      <c r="F88" s="20" t="s">
        <v>141</v>
      </c>
      <c r="G88" s="26">
        <v>34</v>
      </c>
      <c r="H88" s="26">
        <f t="shared" si="1"/>
        <v>34</v>
      </c>
      <c r="I88" s="203"/>
    </row>
    <row r="89" spans="1:9" ht="47.25" x14ac:dyDescent="0.25">
      <c r="A89" s="23" t="s">
        <v>1381</v>
      </c>
      <c r="B89" s="19">
        <v>902</v>
      </c>
      <c r="C89" s="24" t="s">
        <v>125</v>
      </c>
      <c r="D89" s="24" t="s">
        <v>157</v>
      </c>
      <c r="E89" s="24" t="s">
        <v>169</v>
      </c>
      <c r="F89" s="24"/>
      <c r="G89" s="21">
        <f>G90+G94+G106</f>
        <v>683.5</v>
      </c>
      <c r="H89" s="21">
        <f>H90+H94+H106</f>
        <v>683.5</v>
      </c>
      <c r="I89" s="203"/>
    </row>
    <row r="90" spans="1:9" ht="63" x14ac:dyDescent="0.25">
      <c r="A90" s="290" t="s">
        <v>1356</v>
      </c>
      <c r="B90" s="19">
        <v>902</v>
      </c>
      <c r="C90" s="24" t="s">
        <v>125</v>
      </c>
      <c r="D90" s="24" t="s">
        <v>157</v>
      </c>
      <c r="E90" s="7" t="s">
        <v>859</v>
      </c>
      <c r="F90" s="24"/>
      <c r="G90" s="21">
        <f t="shared" ref="G90:H92" si="3">G91</f>
        <v>606</v>
      </c>
      <c r="H90" s="21">
        <f t="shared" si="3"/>
        <v>606</v>
      </c>
      <c r="I90" s="203"/>
    </row>
    <row r="91" spans="1:9" ht="47.25" x14ac:dyDescent="0.25">
      <c r="A91" s="29" t="s">
        <v>1323</v>
      </c>
      <c r="B91" s="16">
        <v>902</v>
      </c>
      <c r="C91" s="20" t="s">
        <v>125</v>
      </c>
      <c r="D91" s="20" t="s">
        <v>157</v>
      </c>
      <c r="E91" s="40" t="s">
        <v>851</v>
      </c>
      <c r="F91" s="20"/>
      <c r="G91" s="26">
        <f t="shared" si="3"/>
        <v>606</v>
      </c>
      <c r="H91" s="26">
        <f t="shared" si="3"/>
        <v>606</v>
      </c>
      <c r="I91" s="203"/>
    </row>
    <row r="92" spans="1:9" ht="31.5" x14ac:dyDescent="0.25">
      <c r="A92" s="25" t="s">
        <v>138</v>
      </c>
      <c r="B92" s="16">
        <v>902</v>
      </c>
      <c r="C92" s="20" t="s">
        <v>125</v>
      </c>
      <c r="D92" s="20" t="s">
        <v>157</v>
      </c>
      <c r="E92" s="40" t="s">
        <v>851</v>
      </c>
      <c r="F92" s="20" t="s">
        <v>139</v>
      </c>
      <c r="G92" s="26">
        <f t="shared" si="3"/>
        <v>606</v>
      </c>
      <c r="H92" s="26">
        <f t="shared" si="3"/>
        <v>606</v>
      </c>
      <c r="I92" s="203"/>
    </row>
    <row r="93" spans="1:9" ht="31.5" x14ac:dyDescent="0.25">
      <c r="A93" s="25" t="s">
        <v>140</v>
      </c>
      <c r="B93" s="16">
        <v>902</v>
      </c>
      <c r="C93" s="20" t="s">
        <v>125</v>
      </c>
      <c r="D93" s="20" t="s">
        <v>157</v>
      </c>
      <c r="E93" s="40" t="s">
        <v>851</v>
      </c>
      <c r="F93" s="20" t="s">
        <v>141</v>
      </c>
      <c r="G93" s="26">
        <v>606</v>
      </c>
      <c r="H93" s="26">
        <f t="shared" si="1"/>
        <v>606</v>
      </c>
      <c r="I93" s="203"/>
    </row>
    <row r="94" spans="1:9" ht="63" x14ac:dyDescent="0.25">
      <c r="A94" s="215" t="s">
        <v>853</v>
      </c>
      <c r="B94" s="19">
        <v>902</v>
      </c>
      <c r="C94" s="24" t="s">
        <v>125</v>
      </c>
      <c r="D94" s="24" t="s">
        <v>157</v>
      </c>
      <c r="E94" s="7" t="s">
        <v>860</v>
      </c>
      <c r="F94" s="24"/>
      <c r="G94" s="21">
        <f>G95+G100+G103</f>
        <v>77</v>
      </c>
      <c r="H94" s="21">
        <f>H95+H100+H103</f>
        <v>77</v>
      </c>
      <c r="I94" s="203"/>
    </row>
    <row r="95" spans="1:9" ht="47.25" x14ac:dyDescent="0.25">
      <c r="A95" s="176" t="s">
        <v>172</v>
      </c>
      <c r="B95" s="16">
        <v>902</v>
      </c>
      <c r="C95" s="20" t="s">
        <v>125</v>
      </c>
      <c r="D95" s="20" t="s">
        <v>157</v>
      </c>
      <c r="E95" s="40" t="s">
        <v>852</v>
      </c>
      <c r="F95" s="20"/>
      <c r="G95" s="26">
        <f>G96+G98</f>
        <v>77</v>
      </c>
      <c r="H95" s="26">
        <f>H96+H98</f>
        <v>77</v>
      </c>
      <c r="I95" s="203"/>
    </row>
    <row r="96" spans="1:9" ht="78.75" x14ac:dyDescent="0.25">
      <c r="A96" s="25" t="s">
        <v>134</v>
      </c>
      <c r="B96" s="16">
        <v>902</v>
      </c>
      <c r="C96" s="20" t="s">
        <v>125</v>
      </c>
      <c r="D96" s="20" t="s">
        <v>157</v>
      </c>
      <c r="E96" s="40" t="s">
        <v>852</v>
      </c>
      <c r="F96" s="20" t="s">
        <v>135</v>
      </c>
      <c r="G96" s="26">
        <f>G97</f>
        <v>37</v>
      </c>
      <c r="H96" s="26">
        <f>H97</f>
        <v>37</v>
      </c>
      <c r="I96" s="203"/>
    </row>
    <row r="97" spans="1:9" ht="31.5" x14ac:dyDescent="0.25">
      <c r="A97" s="25" t="s">
        <v>136</v>
      </c>
      <c r="B97" s="16">
        <v>902</v>
      </c>
      <c r="C97" s="20" t="s">
        <v>125</v>
      </c>
      <c r="D97" s="20" t="s">
        <v>157</v>
      </c>
      <c r="E97" s="40" t="s">
        <v>852</v>
      </c>
      <c r="F97" s="20" t="s">
        <v>137</v>
      </c>
      <c r="G97" s="26">
        <f>37</f>
        <v>37</v>
      </c>
      <c r="H97" s="26">
        <f t="shared" si="1"/>
        <v>37</v>
      </c>
      <c r="I97" s="203"/>
    </row>
    <row r="98" spans="1:9" ht="31.5" x14ac:dyDescent="0.25">
      <c r="A98" s="25" t="s">
        <v>138</v>
      </c>
      <c r="B98" s="16">
        <v>902</v>
      </c>
      <c r="C98" s="20" t="s">
        <v>125</v>
      </c>
      <c r="D98" s="20" t="s">
        <v>157</v>
      </c>
      <c r="E98" s="40" t="s">
        <v>852</v>
      </c>
      <c r="F98" s="20" t="s">
        <v>139</v>
      </c>
      <c r="G98" s="26">
        <f>G99</f>
        <v>40</v>
      </c>
      <c r="H98" s="26">
        <f>H99</f>
        <v>40</v>
      </c>
      <c r="I98" s="203"/>
    </row>
    <row r="99" spans="1:9" ht="31.5" x14ac:dyDescent="0.25">
      <c r="A99" s="25" t="s">
        <v>140</v>
      </c>
      <c r="B99" s="16">
        <v>902</v>
      </c>
      <c r="C99" s="20" t="s">
        <v>125</v>
      </c>
      <c r="D99" s="20" t="s">
        <v>157</v>
      </c>
      <c r="E99" s="40" t="s">
        <v>852</v>
      </c>
      <c r="F99" s="20" t="s">
        <v>141</v>
      </c>
      <c r="G99" s="26">
        <f>40</f>
        <v>40</v>
      </c>
      <c r="H99" s="26">
        <f t="shared" ref="H99:H178" si="4">G99</f>
        <v>40</v>
      </c>
      <c r="I99" s="203"/>
    </row>
    <row r="100" spans="1:9" s="202" customFormat="1" ht="47.25" hidden="1" x14ac:dyDescent="0.25">
      <c r="A100" s="31" t="s">
        <v>1105</v>
      </c>
      <c r="B100" s="16">
        <v>902</v>
      </c>
      <c r="C100" s="20" t="s">
        <v>125</v>
      </c>
      <c r="D100" s="20" t="s">
        <v>157</v>
      </c>
      <c r="E100" s="40" t="s">
        <v>1003</v>
      </c>
      <c r="F100" s="20"/>
      <c r="G100" s="26">
        <f>G101</f>
        <v>0</v>
      </c>
      <c r="H100" s="26">
        <f>H101</f>
        <v>0</v>
      </c>
      <c r="I100" s="203"/>
    </row>
    <row r="101" spans="1:9" s="202" customFormat="1" ht="31.5" hidden="1" x14ac:dyDescent="0.25">
      <c r="A101" s="25" t="s">
        <v>138</v>
      </c>
      <c r="B101" s="16">
        <v>902</v>
      </c>
      <c r="C101" s="20" t="s">
        <v>125</v>
      </c>
      <c r="D101" s="20" t="s">
        <v>157</v>
      </c>
      <c r="E101" s="40" t="s">
        <v>1003</v>
      </c>
      <c r="F101" s="20" t="s">
        <v>139</v>
      </c>
      <c r="G101" s="26">
        <f>G102</f>
        <v>0</v>
      </c>
      <c r="H101" s="26">
        <f>H102</f>
        <v>0</v>
      </c>
      <c r="I101" s="203"/>
    </row>
    <row r="102" spans="1:9" s="202" customFormat="1" ht="31.5" hidden="1" x14ac:dyDescent="0.25">
      <c r="A102" s="25" t="s">
        <v>140</v>
      </c>
      <c r="B102" s="16">
        <v>902</v>
      </c>
      <c r="C102" s="20" t="s">
        <v>125</v>
      </c>
      <c r="D102" s="20" t="s">
        <v>157</v>
      </c>
      <c r="E102" s="40" t="s">
        <v>704</v>
      </c>
      <c r="F102" s="20" t="s">
        <v>141</v>
      </c>
      <c r="G102" s="26">
        <v>0</v>
      </c>
      <c r="H102" s="26">
        <v>0</v>
      </c>
      <c r="I102" s="203"/>
    </row>
    <row r="103" spans="1:9" s="202" customFormat="1" ht="47.25" hidden="1" x14ac:dyDescent="0.25">
      <c r="A103" s="31" t="s">
        <v>703</v>
      </c>
      <c r="B103" s="16">
        <v>902</v>
      </c>
      <c r="C103" s="20" t="s">
        <v>125</v>
      </c>
      <c r="D103" s="20" t="s">
        <v>157</v>
      </c>
      <c r="E103" s="20" t="s">
        <v>1002</v>
      </c>
      <c r="F103" s="20"/>
      <c r="G103" s="26">
        <f>G104</f>
        <v>0</v>
      </c>
      <c r="H103" s="26">
        <f>H104</f>
        <v>0</v>
      </c>
      <c r="I103" s="203"/>
    </row>
    <row r="104" spans="1:9" s="202" customFormat="1" ht="31.5" hidden="1" x14ac:dyDescent="0.25">
      <c r="A104" s="25" t="s">
        <v>138</v>
      </c>
      <c r="B104" s="16">
        <v>902</v>
      </c>
      <c r="C104" s="20" t="s">
        <v>125</v>
      </c>
      <c r="D104" s="20" t="s">
        <v>157</v>
      </c>
      <c r="E104" s="20" t="s">
        <v>1002</v>
      </c>
      <c r="F104" s="20" t="s">
        <v>139</v>
      </c>
      <c r="G104" s="26">
        <f>G105</f>
        <v>0</v>
      </c>
      <c r="H104" s="26">
        <f>H105</f>
        <v>0</v>
      </c>
      <c r="I104" s="203"/>
    </row>
    <row r="105" spans="1:9" s="202" customFormat="1" ht="31.5" hidden="1" x14ac:dyDescent="0.25">
      <c r="A105" s="25" t="s">
        <v>140</v>
      </c>
      <c r="B105" s="16">
        <v>902</v>
      </c>
      <c r="C105" s="20" t="s">
        <v>125</v>
      </c>
      <c r="D105" s="20" t="s">
        <v>157</v>
      </c>
      <c r="E105" s="20" t="s">
        <v>1002</v>
      </c>
      <c r="F105" s="20" t="s">
        <v>141</v>
      </c>
      <c r="G105" s="26">
        <v>0</v>
      </c>
      <c r="H105" s="26">
        <v>0</v>
      </c>
      <c r="I105" s="203"/>
    </row>
    <row r="106" spans="1:9" ht="63" x14ac:dyDescent="0.25">
      <c r="A106" s="216" t="s">
        <v>1013</v>
      </c>
      <c r="B106" s="19">
        <v>902</v>
      </c>
      <c r="C106" s="24" t="s">
        <v>125</v>
      </c>
      <c r="D106" s="24" t="s">
        <v>157</v>
      </c>
      <c r="E106" s="7" t="s">
        <v>861</v>
      </c>
      <c r="F106" s="24"/>
      <c r="G106" s="21">
        <f>G107+G110</f>
        <v>0.5</v>
      </c>
      <c r="H106" s="21">
        <f>H107+H110</f>
        <v>0.5</v>
      </c>
      <c r="I106" s="203"/>
    </row>
    <row r="107" spans="1:9" ht="47.25" x14ac:dyDescent="0.25">
      <c r="A107" s="33" t="s">
        <v>198</v>
      </c>
      <c r="B107" s="16">
        <v>902</v>
      </c>
      <c r="C107" s="20" t="s">
        <v>125</v>
      </c>
      <c r="D107" s="20" t="s">
        <v>157</v>
      </c>
      <c r="E107" s="40" t="s">
        <v>854</v>
      </c>
      <c r="F107" s="20"/>
      <c r="G107" s="26">
        <f>G108</f>
        <v>0.5</v>
      </c>
      <c r="H107" s="26">
        <f>H108</f>
        <v>0.5</v>
      </c>
      <c r="I107" s="203"/>
    </row>
    <row r="108" spans="1:9" ht="31.5" x14ac:dyDescent="0.25">
      <c r="A108" s="25" t="s">
        <v>138</v>
      </c>
      <c r="B108" s="16">
        <v>902</v>
      </c>
      <c r="C108" s="20" t="s">
        <v>125</v>
      </c>
      <c r="D108" s="20" t="s">
        <v>157</v>
      </c>
      <c r="E108" s="40" t="s">
        <v>854</v>
      </c>
      <c r="F108" s="20" t="s">
        <v>139</v>
      </c>
      <c r="G108" s="26">
        <f>G109</f>
        <v>0.5</v>
      </c>
      <c r="H108" s="26">
        <f>H109</f>
        <v>0.5</v>
      </c>
      <c r="I108" s="203"/>
    </row>
    <row r="109" spans="1:9" ht="31.5" x14ac:dyDescent="0.25">
      <c r="A109" s="25" t="s">
        <v>140</v>
      </c>
      <c r="B109" s="16">
        <v>902</v>
      </c>
      <c r="C109" s="20" t="s">
        <v>125</v>
      </c>
      <c r="D109" s="20" t="s">
        <v>157</v>
      </c>
      <c r="E109" s="40" t="s">
        <v>854</v>
      </c>
      <c r="F109" s="20" t="s">
        <v>141</v>
      </c>
      <c r="G109" s="26">
        <f>0.5</f>
        <v>0.5</v>
      </c>
      <c r="H109" s="26">
        <f t="shared" si="4"/>
        <v>0.5</v>
      </c>
      <c r="I109" s="203"/>
    </row>
    <row r="110" spans="1:9" ht="47.25" hidden="1" x14ac:dyDescent="0.25">
      <c r="A110" s="33" t="s">
        <v>198</v>
      </c>
      <c r="B110" s="16">
        <v>902</v>
      </c>
      <c r="C110" s="20" t="s">
        <v>125</v>
      </c>
      <c r="D110" s="20" t="s">
        <v>157</v>
      </c>
      <c r="E110" s="20" t="s">
        <v>855</v>
      </c>
      <c r="F110" s="20"/>
      <c r="G110" s="26">
        <f>'Пр.4 ведом.21'!G107</f>
        <v>0</v>
      </c>
      <c r="H110" s="26">
        <f t="shared" si="4"/>
        <v>0</v>
      </c>
      <c r="I110" s="203"/>
    </row>
    <row r="111" spans="1:9" ht="31.5" hidden="1" x14ac:dyDescent="0.25">
      <c r="A111" s="25" t="s">
        <v>138</v>
      </c>
      <c r="B111" s="16">
        <v>902</v>
      </c>
      <c r="C111" s="20" t="s">
        <v>125</v>
      </c>
      <c r="D111" s="20" t="s">
        <v>157</v>
      </c>
      <c r="E111" s="20" t="s">
        <v>855</v>
      </c>
      <c r="F111" s="20" t="s">
        <v>139</v>
      </c>
      <c r="G111" s="26">
        <f>'Пр.4 ведом.21'!G108</f>
        <v>0</v>
      </c>
      <c r="H111" s="26">
        <f t="shared" si="4"/>
        <v>0</v>
      </c>
      <c r="I111" s="203"/>
    </row>
    <row r="112" spans="1:9" ht="31.5" hidden="1" x14ac:dyDescent="0.25">
      <c r="A112" s="25" t="s">
        <v>140</v>
      </c>
      <c r="B112" s="16">
        <v>902</v>
      </c>
      <c r="C112" s="20" t="s">
        <v>125</v>
      </c>
      <c r="D112" s="20" t="s">
        <v>157</v>
      </c>
      <c r="E112" s="20" t="s">
        <v>855</v>
      </c>
      <c r="F112" s="20" t="s">
        <v>141</v>
      </c>
      <c r="G112" s="26">
        <f>'Пр.4 ведом.21'!G109</f>
        <v>0</v>
      </c>
      <c r="H112" s="26">
        <f t="shared" si="4"/>
        <v>0</v>
      </c>
      <c r="I112" s="203"/>
    </row>
    <row r="113" spans="1:9" ht="47.25" x14ac:dyDescent="0.25">
      <c r="A113" s="23" t="s">
        <v>126</v>
      </c>
      <c r="B113" s="19">
        <v>902</v>
      </c>
      <c r="C113" s="24" t="s">
        <v>125</v>
      </c>
      <c r="D113" s="24" t="s">
        <v>127</v>
      </c>
      <c r="E113" s="24"/>
      <c r="F113" s="20"/>
      <c r="G113" s="21">
        <f>G114</f>
        <v>1332.2</v>
      </c>
      <c r="H113" s="21">
        <f>H114</f>
        <v>1332.2</v>
      </c>
      <c r="I113" s="203"/>
    </row>
    <row r="114" spans="1:9" ht="31.5" x14ac:dyDescent="0.25">
      <c r="A114" s="23" t="s">
        <v>927</v>
      </c>
      <c r="B114" s="19">
        <v>902</v>
      </c>
      <c r="C114" s="24" t="s">
        <v>125</v>
      </c>
      <c r="D114" s="24" t="s">
        <v>127</v>
      </c>
      <c r="E114" s="24" t="s">
        <v>868</v>
      </c>
      <c r="F114" s="24"/>
      <c r="G114" s="21">
        <f>G115</f>
        <v>1332.2</v>
      </c>
      <c r="H114" s="21">
        <f>H115</f>
        <v>1332.2</v>
      </c>
      <c r="I114" s="203"/>
    </row>
    <row r="115" spans="1:9" ht="15.75" x14ac:dyDescent="0.25">
      <c r="A115" s="23" t="s">
        <v>928</v>
      </c>
      <c r="B115" s="19">
        <v>902</v>
      </c>
      <c r="C115" s="24" t="s">
        <v>125</v>
      </c>
      <c r="D115" s="24" t="s">
        <v>127</v>
      </c>
      <c r="E115" s="24" t="s">
        <v>869</v>
      </c>
      <c r="F115" s="24"/>
      <c r="G115" s="21">
        <f>G116+G119</f>
        <v>1332.2</v>
      </c>
      <c r="H115" s="21">
        <f>H116+H119</f>
        <v>1332.2</v>
      </c>
      <c r="I115" s="203"/>
    </row>
    <row r="116" spans="1:9" ht="31.5" x14ac:dyDescent="0.25">
      <c r="A116" s="25" t="s">
        <v>907</v>
      </c>
      <c r="B116" s="16">
        <v>902</v>
      </c>
      <c r="C116" s="20" t="s">
        <v>125</v>
      </c>
      <c r="D116" s="20" t="s">
        <v>127</v>
      </c>
      <c r="E116" s="20" t="s">
        <v>870</v>
      </c>
      <c r="F116" s="20"/>
      <c r="G116" s="26">
        <f>G117</f>
        <v>1286.2</v>
      </c>
      <c r="H116" s="26">
        <f>H117</f>
        <v>1286.2</v>
      </c>
      <c r="I116" s="203"/>
    </row>
    <row r="117" spans="1:9" ht="78.75" x14ac:dyDescent="0.25">
      <c r="A117" s="25" t="s">
        <v>134</v>
      </c>
      <c r="B117" s="16">
        <v>902</v>
      </c>
      <c r="C117" s="20" t="s">
        <v>125</v>
      </c>
      <c r="D117" s="20" t="s">
        <v>127</v>
      </c>
      <c r="E117" s="20" t="s">
        <v>870</v>
      </c>
      <c r="F117" s="20" t="s">
        <v>135</v>
      </c>
      <c r="G117" s="26">
        <f>G118</f>
        <v>1286.2</v>
      </c>
      <c r="H117" s="26">
        <f>H118</f>
        <v>1286.2</v>
      </c>
      <c r="I117" s="203"/>
    </row>
    <row r="118" spans="1:9" ht="31.5" x14ac:dyDescent="0.25">
      <c r="A118" s="25" t="s">
        <v>136</v>
      </c>
      <c r="B118" s="16">
        <v>902</v>
      </c>
      <c r="C118" s="20" t="s">
        <v>125</v>
      </c>
      <c r="D118" s="20" t="s">
        <v>127</v>
      </c>
      <c r="E118" s="20" t="s">
        <v>870</v>
      </c>
      <c r="F118" s="20" t="s">
        <v>137</v>
      </c>
      <c r="G118" s="26">
        <v>1286.2</v>
      </c>
      <c r="H118" s="26">
        <f t="shared" si="4"/>
        <v>1286.2</v>
      </c>
      <c r="I118" s="203"/>
    </row>
    <row r="119" spans="1:9" ht="47.25" x14ac:dyDescent="0.25">
      <c r="A119" s="25" t="s">
        <v>849</v>
      </c>
      <c r="B119" s="16">
        <v>902</v>
      </c>
      <c r="C119" s="20" t="s">
        <v>125</v>
      </c>
      <c r="D119" s="20" t="s">
        <v>127</v>
      </c>
      <c r="E119" s="20" t="s">
        <v>872</v>
      </c>
      <c r="F119" s="20"/>
      <c r="G119" s="26">
        <f>G120</f>
        <v>46</v>
      </c>
      <c r="H119" s="26">
        <f>H120</f>
        <v>46</v>
      </c>
      <c r="I119" s="203"/>
    </row>
    <row r="120" spans="1:9" ht="78.75" x14ac:dyDescent="0.25">
      <c r="A120" s="25" t="s">
        <v>134</v>
      </c>
      <c r="B120" s="16">
        <v>902</v>
      </c>
      <c r="C120" s="20" t="s">
        <v>125</v>
      </c>
      <c r="D120" s="20" t="s">
        <v>127</v>
      </c>
      <c r="E120" s="20" t="s">
        <v>872</v>
      </c>
      <c r="F120" s="20" t="s">
        <v>135</v>
      </c>
      <c r="G120" s="26">
        <f>G121</f>
        <v>46</v>
      </c>
      <c r="H120" s="26">
        <f>H121</f>
        <v>46</v>
      </c>
      <c r="I120" s="203"/>
    </row>
    <row r="121" spans="1:9" ht="31.5" x14ac:dyDescent="0.25">
      <c r="A121" s="25" t="s">
        <v>136</v>
      </c>
      <c r="B121" s="16">
        <v>902</v>
      </c>
      <c r="C121" s="20" t="s">
        <v>125</v>
      </c>
      <c r="D121" s="20" t="s">
        <v>127</v>
      </c>
      <c r="E121" s="20" t="s">
        <v>872</v>
      </c>
      <c r="F121" s="20" t="s">
        <v>137</v>
      </c>
      <c r="G121" s="26">
        <v>46</v>
      </c>
      <c r="H121" s="26">
        <f t="shared" si="4"/>
        <v>46</v>
      </c>
      <c r="I121" s="203"/>
    </row>
    <row r="122" spans="1:9" s="202" customFormat="1" ht="15.75" hidden="1" x14ac:dyDescent="0.25">
      <c r="A122" s="23" t="s">
        <v>1161</v>
      </c>
      <c r="B122" s="19">
        <v>902</v>
      </c>
      <c r="C122" s="24" t="s">
        <v>125</v>
      </c>
      <c r="D122" s="24" t="s">
        <v>271</v>
      </c>
      <c r="E122" s="24"/>
      <c r="F122" s="20"/>
      <c r="G122" s="21">
        <f t="shared" ref="G122:H124" si="5">G123</f>
        <v>0</v>
      </c>
      <c r="H122" s="21">
        <f t="shared" si="5"/>
        <v>0</v>
      </c>
      <c r="I122" s="203"/>
    </row>
    <row r="123" spans="1:9" s="202" customFormat="1" ht="15.75" hidden="1" x14ac:dyDescent="0.25">
      <c r="A123" s="23" t="s">
        <v>148</v>
      </c>
      <c r="B123" s="19">
        <v>902</v>
      </c>
      <c r="C123" s="24" t="s">
        <v>125</v>
      </c>
      <c r="D123" s="24" t="s">
        <v>271</v>
      </c>
      <c r="E123" s="24" t="s">
        <v>876</v>
      </c>
      <c r="F123" s="20"/>
      <c r="G123" s="21">
        <f t="shared" si="5"/>
        <v>0</v>
      </c>
      <c r="H123" s="21">
        <f t="shared" si="5"/>
        <v>0</v>
      </c>
      <c r="I123" s="203"/>
    </row>
    <row r="124" spans="1:9" s="202" customFormat="1" ht="31.5" hidden="1" x14ac:dyDescent="0.25">
      <c r="A124" s="23" t="s">
        <v>880</v>
      </c>
      <c r="B124" s="19">
        <v>902</v>
      </c>
      <c r="C124" s="24" t="s">
        <v>125</v>
      </c>
      <c r="D124" s="24" t="s">
        <v>271</v>
      </c>
      <c r="E124" s="24" t="s">
        <v>875</v>
      </c>
      <c r="F124" s="20"/>
      <c r="G124" s="21">
        <f t="shared" si="5"/>
        <v>0</v>
      </c>
      <c r="H124" s="21">
        <f t="shared" si="5"/>
        <v>0</v>
      </c>
      <c r="I124" s="203"/>
    </row>
    <row r="125" spans="1:9" s="202" customFormat="1" ht="15.75" hidden="1" x14ac:dyDescent="0.25">
      <c r="A125" s="45" t="s">
        <v>206</v>
      </c>
      <c r="B125" s="16">
        <v>902</v>
      </c>
      <c r="C125" s="20" t="s">
        <v>125</v>
      </c>
      <c r="D125" s="20" t="s">
        <v>271</v>
      </c>
      <c r="E125" s="20" t="s">
        <v>1160</v>
      </c>
      <c r="F125" s="20"/>
      <c r="G125" s="26">
        <f>G126+G128</f>
        <v>0</v>
      </c>
      <c r="H125" s="26">
        <f>H126+H128</f>
        <v>0</v>
      </c>
      <c r="I125" s="203"/>
    </row>
    <row r="126" spans="1:9" s="202" customFormat="1" ht="78.75" hidden="1" x14ac:dyDescent="0.25">
      <c r="A126" s="25" t="s">
        <v>134</v>
      </c>
      <c r="B126" s="16">
        <v>902</v>
      </c>
      <c r="C126" s="20" t="s">
        <v>125</v>
      </c>
      <c r="D126" s="20" t="s">
        <v>271</v>
      </c>
      <c r="E126" s="20" t="s">
        <v>1160</v>
      </c>
      <c r="F126" s="20" t="s">
        <v>135</v>
      </c>
      <c r="G126" s="26">
        <f>G127</f>
        <v>0</v>
      </c>
      <c r="H126" s="26">
        <f>H127</f>
        <v>0</v>
      </c>
      <c r="I126" s="203"/>
    </row>
    <row r="127" spans="1:9" s="202" customFormat="1" ht="31.5" hidden="1" x14ac:dyDescent="0.25">
      <c r="A127" s="25" t="s">
        <v>136</v>
      </c>
      <c r="B127" s="16">
        <v>902</v>
      </c>
      <c r="C127" s="20" t="s">
        <v>125</v>
      </c>
      <c r="D127" s="20" t="s">
        <v>271</v>
      </c>
      <c r="E127" s="20" t="s">
        <v>1160</v>
      </c>
      <c r="F127" s="20" t="s">
        <v>137</v>
      </c>
      <c r="G127" s="26">
        <v>0</v>
      </c>
      <c r="H127" s="26">
        <v>0</v>
      </c>
      <c r="I127" s="203"/>
    </row>
    <row r="128" spans="1:9" s="202" customFormat="1" ht="31.5" hidden="1" x14ac:dyDescent="0.25">
      <c r="A128" s="25" t="s">
        <v>205</v>
      </c>
      <c r="B128" s="16">
        <v>902</v>
      </c>
      <c r="C128" s="20" t="s">
        <v>125</v>
      </c>
      <c r="D128" s="20" t="s">
        <v>271</v>
      </c>
      <c r="E128" s="20" t="s">
        <v>1160</v>
      </c>
      <c r="F128" s="20" t="s">
        <v>139</v>
      </c>
      <c r="G128" s="26">
        <f>G129</f>
        <v>0</v>
      </c>
      <c r="H128" s="26">
        <f>H129</f>
        <v>0</v>
      </c>
      <c r="I128" s="203"/>
    </row>
    <row r="129" spans="1:9" s="202" customFormat="1" ht="31.5" hidden="1" x14ac:dyDescent="0.25">
      <c r="A129" s="25" t="s">
        <v>140</v>
      </c>
      <c r="B129" s="16">
        <v>902</v>
      </c>
      <c r="C129" s="20" t="s">
        <v>125</v>
      </c>
      <c r="D129" s="20" t="s">
        <v>271</v>
      </c>
      <c r="E129" s="20" t="s">
        <v>1160</v>
      </c>
      <c r="F129" s="20" t="s">
        <v>141</v>
      </c>
      <c r="G129" s="26">
        <v>0</v>
      </c>
      <c r="H129" s="26">
        <v>0</v>
      </c>
      <c r="I129" s="203"/>
    </row>
    <row r="130" spans="1:9" ht="15.75" x14ac:dyDescent="0.25">
      <c r="A130" s="23" t="s">
        <v>146</v>
      </c>
      <c r="B130" s="19">
        <v>902</v>
      </c>
      <c r="C130" s="24" t="s">
        <v>125</v>
      </c>
      <c r="D130" s="24" t="s">
        <v>147</v>
      </c>
      <c r="E130" s="24"/>
      <c r="F130" s="24"/>
      <c r="G130" s="21">
        <f>G146+G155+G131+G160+G141</f>
        <v>6009</v>
      </c>
      <c r="H130" s="21">
        <f>H146+H155+H131+H160+H141</f>
        <v>6052</v>
      </c>
      <c r="I130" s="203"/>
    </row>
    <row r="131" spans="1:9" ht="15.75" x14ac:dyDescent="0.25">
      <c r="A131" s="23" t="s">
        <v>148</v>
      </c>
      <c r="B131" s="19">
        <v>902</v>
      </c>
      <c r="C131" s="24" t="s">
        <v>125</v>
      </c>
      <c r="D131" s="24" t="s">
        <v>147</v>
      </c>
      <c r="E131" s="24" t="s">
        <v>876</v>
      </c>
      <c r="F131" s="24"/>
      <c r="G131" s="21">
        <f>G132</f>
        <v>5829</v>
      </c>
      <c r="H131" s="21">
        <f>H132</f>
        <v>5829</v>
      </c>
      <c r="I131" s="203"/>
    </row>
    <row r="132" spans="1:9" ht="31.5" x14ac:dyDescent="0.25">
      <c r="A132" s="23" t="s">
        <v>932</v>
      </c>
      <c r="B132" s="19">
        <v>902</v>
      </c>
      <c r="C132" s="24" t="s">
        <v>125</v>
      </c>
      <c r="D132" s="24" t="s">
        <v>147</v>
      </c>
      <c r="E132" s="24" t="s">
        <v>877</v>
      </c>
      <c r="F132" s="24"/>
      <c r="G132" s="21">
        <f>G133+G138</f>
        <v>5829</v>
      </c>
      <c r="H132" s="21">
        <f>H133+H138</f>
        <v>5829</v>
      </c>
      <c r="I132" s="203"/>
    </row>
    <row r="133" spans="1:9" ht="31.5" x14ac:dyDescent="0.25">
      <c r="A133" s="25" t="s">
        <v>938</v>
      </c>
      <c r="B133" s="16">
        <v>902</v>
      </c>
      <c r="C133" s="20" t="s">
        <v>125</v>
      </c>
      <c r="D133" s="20" t="s">
        <v>147</v>
      </c>
      <c r="E133" s="20" t="s">
        <v>878</v>
      </c>
      <c r="F133" s="20"/>
      <c r="G133" s="26">
        <f>G134+G136</f>
        <v>5701</v>
      </c>
      <c r="H133" s="26">
        <f>H134+H136</f>
        <v>5701</v>
      </c>
      <c r="I133" s="203"/>
    </row>
    <row r="134" spans="1:9" ht="78.75" x14ac:dyDescent="0.25">
      <c r="A134" s="25" t="s">
        <v>134</v>
      </c>
      <c r="B134" s="16">
        <v>902</v>
      </c>
      <c r="C134" s="20" t="s">
        <v>125</v>
      </c>
      <c r="D134" s="20" t="s">
        <v>147</v>
      </c>
      <c r="E134" s="20" t="s">
        <v>878</v>
      </c>
      <c r="F134" s="20" t="s">
        <v>135</v>
      </c>
      <c r="G134" s="26">
        <f>G135</f>
        <v>4501</v>
      </c>
      <c r="H134" s="26">
        <f>H135</f>
        <v>4501</v>
      </c>
      <c r="I134" s="203"/>
    </row>
    <row r="135" spans="1:9" ht="15.75" x14ac:dyDescent="0.25">
      <c r="A135" s="25" t="s">
        <v>215</v>
      </c>
      <c r="B135" s="16">
        <v>902</v>
      </c>
      <c r="C135" s="20" t="s">
        <v>125</v>
      </c>
      <c r="D135" s="20" t="s">
        <v>147</v>
      </c>
      <c r="E135" s="20" t="s">
        <v>878</v>
      </c>
      <c r="F135" s="20" t="s">
        <v>216</v>
      </c>
      <c r="G135" s="26">
        <v>4501</v>
      </c>
      <c r="H135" s="26">
        <f t="shared" si="4"/>
        <v>4501</v>
      </c>
      <c r="I135" s="203"/>
    </row>
    <row r="136" spans="1:9" ht="31.5" x14ac:dyDescent="0.25">
      <c r="A136" s="25" t="s">
        <v>205</v>
      </c>
      <c r="B136" s="16">
        <v>902</v>
      </c>
      <c r="C136" s="20" t="s">
        <v>125</v>
      </c>
      <c r="D136" s="20" t="s">
        <v>147</v>
      </c>
      <c r="E136" s="20" t="s">
        <v>878</v>
      </c>
      <c r="F136" s="20" t="s">
        <v>139</v>
      </c>
      <c r="G136" s="26">
        <f>G137</f>
        <v>1200</v>
      </c>
      <c r="H136" s="26">
        <f>H137</f>
        <v>1200</v>
      </c>
      <c r="I136" s="203"/>
    </row>
    <row r="137" spans="1:9" ht="31.5" x14ac:dyDescent="0.25">
      <c r="A137" s="25" t="s">
        <v>140</v>
      </c>
      <c r="B137" s="16">
        <v>902</v>
      </c>
      <c r="C137" s="20" t="s">
        <v>125</v>
      </c>
      <c r="D137" s="20" t="s">
        <v>147</v>
      </c>
      <c r="E137" s="20" t="s">
        <v>878</v>
      </c>
      <c r="F137" s="20" t="s">
        <v>141</v>
      </c>
      <c r="G137" s="26">
        <v>1200</v>
      </c>
      <c r="H137" s="26">
        <f t="shared" si="4"/>
        <v>1200</v>
      </c>
      <c r="I137" s="203"/>
    </row>
    <row r="138" spans="1:9" ht="47.25" x14ac:dyDescent="0.25">
      <c r="A138" s="25" t="s">
        <v>849</v>
      </c>
      <c r="B138" s="16">
        <v>902</v>
      </c>
      <c r="C138" s="20" t="s">
        <v>125</v>
      </c>
      <c r="D138" s="20" t="s">
        <v>147</v>
      </c>
      <c r="E138" s="20" t="s">
        <v>879</v>
      </c>
      <c r="F138" s="20"/>
      <c r="G138" s="26">
        <f>G139</f>
        <v>128</v>
      </c>
      <c r="H138" s="26">
        <f>H139</f>
        <v>128</v>
      </c>
      <c r="I138" s="203"/>
    </row>
    <row r="139" spans="1:9" ht="78.75" x14ac:dyDescent="0.25">
      <c r="A139" s="25" t="s">
        <v>134</v>
      </c>
      <c r="B139" s="16">
        <v>902</v>
      </c>
      <c r="C139" s="20" t="s">
        <v>125</v>
      </c>
      <c r="D139" s="20" t="s">
        <v>147</v>
      </c>
      <c r="E139" s="20" t="s">
        <v>879</v>
      </c>
      <c r="F139" s="20" t="s">
        <v>135</v>
      </c>
      <c r="G139" s="26">
        <f>G140</f>
        <v>128</v>
      </c>
      <c r="H139" s="26">
        <f>H140</f>
        <v>128</v>
      </c>
      <c r="I139" s="203"/>
    </row>
    <row r="140" spans="1:9" ht="15.75" x14ac:dyDescent="0.25">
      <c r="A140" s="25" t="s">
        <v>215</v>
      </c>
      <c r="B140" s="16">
        <v>902</v>
      </c>
      <c r="C140" s="20" t="s">
        <v>125</v>
      </c>
      <c r="D140" s="20" t="s">
        <v>147</v>
      </c>
      <c r="E140" s="20" t="s">
        <v>879</v>
      </c>
      <c r="F140" s="20" t="s">
        <v>216</v>
      </c>
      <c r="G140" s="26">
        <v>128</v>
      </c>
      <c r="H140" s="26">
        <f t="shared" si="4"/>
        <v>128</v>
      </c>
      <c r="I140" s="203"/>
    </row>
    <row r="141" spans="1:9" s="202" customFormat="1" ht="47.25" x14ac:dyDescent="0.25">
      <c r="A141" s="34" t="s">
        <v>1235</v>
      </c>
      <c r="B141" s="19">
        <v>902</v>
      </c>
      <c r="C141" s="24" t="s">
        <v>125</v>
      </c>
      <c r="D141" s="24" t="s">
        <v>147</v>
      </c>
      <c r="E141" s="24" t="s">
        <v>331</v>
      </c>
      <c r="F141" s="24"/>
      <c r="G141" s="21">
        <f>G143</f>
        <v>12</v>
      </c>
      <c r="H141" s="21">
        <f>H143</f>
        <v>40</v>
      </c>
      <c r="I141" s="203"/>
    </row>
    <row r="142" spans="1:9" s="202" customFormat="1" ht="63" x14ac:dyDescent="0.25">
      <c r="A142" s="34" t="s">
        <v>1035</v>
      </c>
      <c r="B142" s="19">
        <v>902</v>
      </c>
      <c r="C142" s="24" t="s">
        <v>125</v>
      </c>
      <c r="D142" s="24" t="s">
        <v>147</v>
      </c>
      <c r="E142" s="24" t="s">
        <v>944</v>
      </c>
      <c r="F142" s="24"/>
      <c r="G142" s="21">
        <f>G145</f>
        <v>12</v>
      </c>
      <c r="H142" s="21">
        <f>H145</f>
        <v>40</v>
      </c>
      <c r="I142" s="203"/>
    </row>
    <row r="143" spans="1:9" s="202" customFormat="1" ht="47.25" x14ac:dyDescent="0.25">
      <c r="A143" s="31" t="s">
        <v>1091</v>
      </c>
      <c r="B143" s="16">
        <v>902</v>
      </c>
      <c r="C143" s="20" t="s">
        <v>125</v>
      </c>
      <c r="D143" s="20" t="s">
        <v>147</v>
      </c>
      <c r="E143" s="20" t="s">
        <v>1036</v>
      </c>
      <c r="F143" s="20"/>
      <c r="G143" s="26">
        <f>G144</f>
        <v>12</v>
      </c>
      <c r="H143" s="26">
        <f>H144</f>
        <v>40</v>
      </c>
      <c r="I143" s="203"/>
    </row>
    <row r="144" spans="1:9" s="202" customFormat="1" ht="31.5" x14ac:dyDescent="0.25">
      <c r="A144" s="25" t="s">
        <v>138</v>
      </c>
      <c r="B144" s="16">
        <v>902</v>
      </c>
      <c r="C144" s="20" t="s">
        <v>125</v>
      </c>
      <c r="D144" s="20" t="s">
        <v>147</v>
      </c>
      <c r="E144" s="20" t="s">
        <v>1036</v>
      </c>
      <c r="F144" s="20" t="s">
        <v>139</v>
      </c>
      <c r="G144" s="26">
        <f>G145</f>
        <v>12</v>
      </c>
      <c r="H144" s="26">
        <f>H145</f>
        <v>40</v>
      </c>
      <c r="I144" s="203"/>
    </row>
    <row r="145" spans="1:9" s="202" customFormat="1" ht="31.5" x14ac:dyDescent="0.25">
      <c r="A145" s="25" t="s">
        <v>140</v>
      </c>
      <c r="B145" s="16">
        <v>902</v>
      </c>
      <c r="C145" s="20" t="s">
        <v>125</v>
      </c>
      <c r="D145" s="20" t="s">
        <v>147</v>
      </c>
      <c r="E145" s="20" t="s">
        <v>1036</v>
      </c>
      <c r="F145" s="20" t="s">
        <v>141</v>
      </c>
      <c r="G145" s="26">
        <v>12</v>
      </c>
      <c r="H145" s="26">
        <v>40</v>
      </c>
      <c r="I145" s="203"/>
    </row>
    <row r="146" spans="1:9" ht="54.75" customHeight="1" x14ac:dyDescent="0.25">
      <c r="A146" s="41" t="s">
        <v>1358</v>
      </c>
      <c r="B146" s="19">
        <v>902</v>
      </c>
      <c r="C146" s="24" t="s">
        <v>125</v>
      </c>
      <c r="D146" s="24" t="s">
        <v>147</v>
      </c>
      <c r="E146" s="24" t="s">
        <v>715</v>
      </c>
      <c r="F146" s="217"/>
      <c r="G146" s="21">
        <f>G147+G151</f>
        <v>43</v>
      </c>
      <c r="H146" s="21">
        <f>H147+H151</f>
        <v>43</v>
      </c>
      <c r="I146" s="203"/>
    </row>
    <row r="147" spans="1:9" ht="47.25" x14ac:dyDescent="0.25">
      <c r="A147" s="206" t="s">
        <v>856</v>
      </c>
      <c r="B147" s="19">
        <v>902</v>
      </c>
      <c r="C147" s="24" t="s">
        <v>125</v>
      </c>
      <c r="D147" s="24" t="s">
        <v>147</v>
      </c>
      <c r="E147" s="24" t="s">
        <v>862</v>
      </c>
      <c r="F147" s="217"/>
      <c r="G147" s="21">
        <f t="shared" ref="G147:H149" si="6">G148</f>
        <v>28</v>
      </c>
      <c r="H147" s="21">
        <f t="shared" si="6"/>
        <v>28</v>
      </c>
      <c r="I147" s="203"/>
    </row>
    <row r="148" spans="1:9" ht="31.5" x14ac:dyDescent="0.25">
      <c r="A148" s="98" t="s">
        <v>786</v>
      </c>
      <c r="B148" s="16">
        <v>902</v>
      </c>
      <c r="C148" s="20" t="s">
        <v>125</v>
      </c>
      <c r="D148" s="20" t="s">
        <v>147</v>
      </c>
      <c r="E148" s="20" t="s">
        <v>857</v>
      </c>
      <c r="F148" s="32"/>
      <c r="G148" s="26">
        <f t="shared" si="6"/>
        <v>28</v>
      </c>
      <c r="H148" s="26">
        <f t="shared" si="6"/>
        <v>28</v>
      </c>
      <c r="I148" s="203"/>
    </row>
    <row r="149" spans="1:9" ht="31.5" x14ac:dyDescent="0.25">
      <c r="A149" s="25" t="s">
        <v>138</v>
      </c>
      <c r="B149" s="16">
        <v>902</v>
      </c>
      <c r="C149" s="20" t="s">
        <v>125</v>
      </c>
      <c r="D149" s="20" t="s">
        <v>147</v>
      </c>
      <c r="E149" s="20" t="s">
        <v>857</v>
      </c>
      <c r="F149" s="32" t="s">
        <v>139</v>
      </c>
      <c r="G149" s="26">
        <f t="shared" si="6"/>
        <v>28</v>
      </c>
      <c r="H149" s="26">
        <f t="shared" si="6"/>
        <v>28</v>
      </c>
      <c r="I149" s="203"/>
    </row>
    <row r="150" spans="1:9" ht="31.5" x14ac:dyDescent="0.25">
      <c r="A150" s="25" t="s">
        <v>140</v>
      </c>
      <c r="B150" s="16">
        <v>902</v>
      </c>
      <c r="C150" s="20" t="s">
        <v>125</v>
      </c>
      <c r="D150" s="20" t="s">
        <v>147</v>
      </c>
      <c r="E150" s="20" t="s">
        <v>857</v>
      </c>
      <c r="F150" s="32" t="s">
        <v>141</v>
      </c>
      <c r="G150" s="26">
        <v>28</v>
      </c>
      <c r="H150" s="26">
        <v>28</v>
      </c>
      <c r="I150" s="203"/>
    </row>
    <row r="151" spans="1:9" ht="31.5" x14ac:dyDescent="0.25">
      <c r="A151" s="207" t="s">
        <v>1033</v>
      </c>
      <c r="B151" s="19">
        <v>902</v>
      </c>
      <c r="C151" s="24" t="s">
        <v>125</v>
      </c>
      <c r="D151" s="24" t="s">
        <v>147</v>
      </c>
      <c r="E151" s="24" t="s">
        <v>863</v>
      </c>
      <c r="F151" s="217"/>
      <c r="G151" s="21">
        <f t="shared" ref="G151:H153" si="7">G152</f>
        <v>15</v>
      </c>
      <c r="H151" s="21">
        <f t="shared" si="7"/>
        <v>15</v>
      </c>
      <c r="I151" s="203"/>
    </row>
    <row r="152" spans="1:9" ht="31.5" x14ac:dyDescent="0.25">
      <c r="A152" s="98" t="s">
        <v>787</v>
      </c>
      <c r="B152" s="16">
        <v>902</v>
      </c>
      <c r="C152" s="20" t="s">
        <v>125</v>
      </c>
      <c r="D152" s="20" t="s">
        <v>147</v>
      </c>
      <c r="E152" s="20" t="s">
        <v>858</v>
      </c>
      <c r="F152" s="32"/>
      <c r="G152" s="26">
        <f t="shared" si="7"/>
        <v>15</v>
      </c>
      <c r="H152" s="26">
        <f t="shared" si="7"/>
        <v>15</v>
      </c>
      <c r="I152" s="203"/>
    </row>
    <row r="153" spans="1:9" ht="31.5" x14ac:dyDescent="0.25">
      <c r="A153" s="25" t="s">
        <v>138</v>
      </c>
      <c r="B153" s="16">
        <v>902</v>
      </c>
      <c r="C153" s="20" t="s">
        <v>125</v>
      </c>
      <c r="D153" s="20" t="s">
        <v>147</v>
      </c>
      <c r="E153" s="20" t="s">
        <v>858</v>
      </c>
      <c r="F153" s="32" t="s">
        <v>139</v>
      </c>
      <c r="G153" s="26">
        <f t="shared" si="7"/>
        <v>15</v>
      </c>
      <c r="H153" s="26">
        <f t="shared" si="7"/>
        <v>15</v>
      </c>
      <c r="I153" s="203"/>
    </row>
    <row r="154" spans="1:9" ht="31.5" x14ac:dyDescent="0.25">
      <c r="A154" s="25" t="s">
        <v>140</v>
      </c>
      <c r="B154" s="16">
        <v>902</v>
      </c>
      <c r="C154" s="20" t="s">
        <v>125</v>
      </c>
      <c r="D154" s="20" t="s">
        <v>147</v>
      </c>
      <c r="E154" s="20" t="s">
        <v>858</v>
      </c>
      <c r="F154" s="32" t="s">
        <v>141</v>
      </c>
      <c r="G154" s="26">
        <f>15</f>
        <v>15</v>
      </c>
      <c r="H154" s="26">
        <f t="shared" si="4"/>
        <v>15</v>
      </c>
      <c r="I154" s="203"/>
    </row>
    <row r="155" spans="1:9" ht="78.75" x14ac:dyDescent="0.25">
      <c r="A155" s="41" t="s">
        <v>1382</v>
      </c>
      <c r="B155" s="19">
        <v>902</v>
      </c>
      <c r="C155" s="8" t="s">
        <v>125</v>
      </c>
      <c r="D155" s="8" t="s">
        <v>147</v>
      </c>
      <c r="E155" s="346" t="s">
        <v>827</v>
      </c>
      <c r="F155" s="8"/>
      <c r="G155" s="21">
        <f t="shared" ref="G155:H158" si="8">G156</f>
        <v>45</v>
      </c>
      <c r="H155" s="21">
        <f t="shared" si="8"/>
        <v>50</v>
      </c>
      <c r="I155" s="203"/>
    </row>
    <row r="156" spans="1:9" ht="47.25" x14ac:dyDescent="0.25">
      <c r="A156" s="208" t="s">
        <v>864</v>
      </c>
      <c r="B156" s="19">
        <v>902</v>
      </c>
      <c r="C156" s="8" t="s">
        <v>125</v>
      </c>
      <c r="D156" s="8" t="s">
        <v>147</v>
      </c>
      <c r="E156" s="196" t="s">
        <v>1086</v>
      </c>
      <c r="F156" s="8"/>
      <c r="G156" s="21">
        <f t="shared" si="8"/>
        <v>45</v>
      </c>
      <c r="H156" s="21">
        <f t="shared" si="8"/>
        <v>50</v>
      </c>
      <c r="I156" s="203"/>
    </row>
    <row r="157" spans="1:9" ht="31.5" x14ac:dyDescent="0.25">
      <c r="A157" s="97" t="s">
        <v>178</v>
      </c>
      <c r="B157" s="16">
        <v>902</v>
      </c>
      <c r="C157" s="9" t="s">
        <v>125</v>
      </c>
      <c r="D157" s="9" t="s">
        <v>147</v>
      </c>
      <c r="E157" s="5" t="s">
        <v>865</v>
      </c>
      <c r="F157" s="9"/>
      <c r="G157" s="26">
        <f t="shared" si="8"/>
        <v>45</v>
      </c>
      <c r="H157" s="26">
        <f t="shared" si="8"/>
        <v>50</v>
      </c>
      <c r="I157" s="203"/>
    </row>
    <row r="158" spans="1:9" ht="31.5" x14ac:dyDescent="0.25">
      <c r="A158" s="25" t="s">
        <v>138</v>
      </c>
      <c r="B158" s="16">
        <v>902</v>
      </c>
      <c r="C158" s="9" t="s">
        <v>125</v>
      </c>
      <c r="D158" s="9" t="s">
        <v>147</v>
      </c>
      <c r="E158" s="5" t="s">
        <v>865</v>
      </c>
      <c r="F158" s="9" t="s">
        <v>139</v>
      </c>
      <c r="G158" s="26">
        <f t="shared" si="8"/>
        <v>45</v>
      </c>
      <c r="H158" s="26">
        <f t="shared" si="8"/>
        <v>50</v>
      </c>
      <c r="I158" s="203"/>
    </row>
    <row r="159" spans="1:9" ht="35.450000000000003" customHeight="1" x14ac:dyDescent="0.25">
      <c r="A159" s="25" t="s">
        <v>140</v>
      </c>
      <c r="B159" s="16">
        <v>902</v>
      </c>
      <c r="C159" s="9" t="s">
        <v>125</v>
      </c>
      <c r="D159" s="9" t="s">
        <v>147</v>
      </c>
      <c r="E159" s="5" t="s">
        <v>865</v>
      </c>
      <c r="F159" s="9" t="s">
        <v>141</v>
      </c>
      <c r="G159" s="26">
        <v>45</v>
      </c>
      <c r="H159" s="26">
        <v>50</v>
      </c>
      <c r="I159" s="203"/>
    </row>
    <row r="160" spans="1:9" ht="63" x14ac:dyDescent="0.25">
      <c r="A160" s="41" t="s">
        <v>1360</v>
      </c>
      <c r="B160" s="19">
        <v>902</v>
      </c>
      <c r="C160" s="8" t="s">
        <v>125</v>
      </c>
      <c r="D160" s="8" t="s">
        <v>147</v>
      </c>
      <c r="E160" s="196" t="s">
        <v>828</v>
      </c>
      <c r="F160" s="8"/>
      <c r="G160" s="21">
        <f>G162</f>
        <v>80</v>
      </c>
      <c r="H160" s="21">
        <f>H162</f>
        <v>90</v>
      </c>
      <c r="I160" s="203"/>
    </row>
    <row r="161" spans="1:9" ht="31.5" x14ac:dyDescent="0.25">
      <c r="A161" s="58" t="s">
        <v>866</v>
      </c>
      <c r="B161" s="19">
        <v>902</v>
      </c>
      <c r="C161" s="8" t="s">
        <v>125</v>
      </c>
      <c r="D161" s="8" t="s">
        <v>147</v>
      </c>
      <c r="E161" s="196" t="s">
        <v>874</v>
      </c>
      <c r="F161" s="8"/>
      <c r="G161" s="21">
        <f t="shared" ref="G161:H163" si="9">G162</f>
        <v>80</v>
      </c>
      <c r="H161" s="21">
        <f t="shared" si="9"/>
        <v>90</v>
      </c>
      <c r="I161" s="203"/>
    </row>
    <row r="162" spans="1:9" ht="15.75" x14ac:dyDescent="0.25">
      <c r="A162" s="45" t="s">
        <v>832</v>
      </c>
      <c r="B162" s="16">
        <v>902</v>
      </c>
      <c r="C162" s="9" t="s">
        <v>125</v>
      </c>
      <c r="D162" s="9" t="s">
        <v>147</v>
      </c>
      <c r="E162" s="5" t="s">
        <v>867</v>
      </c>
      <c r="F162" s="9"/>
      <c r="G162" s="26">
        <f t="shared" si="9"/>
        <v>80</v>
      </c>
      <c r="H162" s="26">
        <f t="shared" si="9"/>
        <v>90</v>
      </c>
      <c r="I162" s="203"/>
    </row>
    <row r="163" spans="1:9" ht="31.5" x14ac:dyDescent="0.25">
      <c r="A163" s="25" t="s">
        <v>138</v>
      </c>
      <c r="B163" s="16">
        <v>902</v>
      </c>
      <c r="C163" s="9" t="s">
        <v>125</v>
      </c>
      <c r="D163" s="9" t="s">
        <v>147</v>
      </c>
      <c r="E163" s="5" t="s">
        <v>867</v>
      </c>
      <c r="F163" s="9" t="s">
        <v>139</v>
      </c>
      <c r="G163" s="26">
        <f t="shared" si="9"/>
        <v>80</v>
      </c>
      <c r="H163" s="26">
        <f t="shared" si="9"/>
        <v>90</v>
      </c>
      <c r="I163" s="203"/>
    </row>
    <row r="164" spans="1:9" ht="31.5" x14ac:dyDescent="0.25">
      <c r="A164" s="25" t="s">
        <v>140</v>
      </c>
      <c r="B164" s="16">
        <v>902</v>
      </c>
      <c r="C164" s="9" t="s">
        <v>125</v>
      </c>
      <c r="D164" s="9" t="s">
        <v>147</v>
      </c>
      <c r="E164" s="5" t="s">
        <v>867</v>
      </c>
      <c r="F164" s="9" t="s">
        <v>141</v>
      </c>
      <c r="G164" s="26">
        <v>80</v>
      </c>
      <c r="H164" s="26">
        <v>90</v>
      </c>
      <c r="I164" s="203"/>
    </row>
    <row r="165" spans="1:9" ht="15.75" hidden="1" x14ac:dyDescent="0.25">
      <c r="A165" s="23" t="s">
        <v>219</v>
      </c>
      <c r="B165" s="19">
        <v>902</v>
      </c>
      <c r="C165" s="24" t="s">
        <v>220</v>
      </c>
      <c r="D165" s="24"/>
      <c r="E165" s="24"/>
      <c r="F165" s="24"/>
      <c r="G165" s="21">
        <f t="shared" ref="G165:H168" si="10">G166</f>
        <v>0</v>
      </c>
      <c r="H165" s="21">
        <f t="shared" si="10"/>
        <v>0</v>
      </c>
      <c r="I165" s="203"/>
    </row>
    <row r="166" spans="1:9" ht="17.100000000000001" hidden="1" customHeight="1" x14ac:dyDescent="0.25">
      <c r="A166" s="23" t="s">
        <v>225</v>
      </c>
      <c r="B166" s="19">
        <v>902</v>
      </c>
      <c r="C166" s="24" t="s">
        <v>220</v>
      </c>
      <c r="D166" s="24" t="s">
        <v>226</v>
      </c>
      <c r="E166" s="24"/>
      <c r="F166" s="24"/>
      <c r="G166" s="21">
        <f t="shared" si="10"/>
        <v>0</v>
      </c>
      <c r="H166" s="21">
        <f t="shared" si="10"/>
        <v>0</v>
      </c>
      <c r="I166" s="203"/>
    </row>
    <row r="167" spans="1:9" ht="15.75" hidden="1" x14ac:dyDescent="0.25">
      <c r="A167" s="23" t="s">
        <v>148</v>
      </c>
      <c r="B167" s="19">
        <v>902</v>
      </c>
      <c r="C167" s="24" t="s">
        <v>220</v>
      </c>
      <c r="D167" s="24" t="s">
        <v>226</v>
      </c>
      <c r="E167" s="24" t="s">
        <v>876</v>
      </c>
      <c r="F167" s="24"/>
      <c r="G167" s="21">
        <f t="shared" si="10"/>
        <v>0</v>
      </c>
      <c r="H167" s="21">
        <f t="shared" si="10"/>
        <v>0</v>
      </c>
      <c r="I167" s="203"/>
    </row>
    <row r="168" spans="1:9" ht="31.5" hidden="1" x14ac:dyDescent="0.25">
      <c r="A168" s="23" t="s">
        <v>880</v>
      </c>
      <c r="B168" s="19">
        <v>902</v>
      </c>
      <c r="C168" s="24" t="s">
        <v>220</v>
      </c>
      <c r="D168" s="24" t="s">
        <v>226</v>
      </c>
      <c r="E168" s="24" t="s">
        <v>875</v>
      </c>
      <c r="F168" s="24"/>
      <c r="G168" s="21">
        <f t="shared" si="10"/>
        <v>0</v>
      </c>
      <c r="H168" s="21">
        <f t="shared" si="10"/>
        <v>0</v>
      </c>
      <c r="I168" s="203"/>
    </row>
    <row r="169" spans="1:9" ht="15.75" hidden="1" x14ac:dyDescent="0.25">
      <c r="A169" s="25" t="s">
        <v>227</v>
      </c>
      <c r="B169" s="16">
        <v>902</v>
      </c>
      <c r="C169" s="20" t="s">
        <v>220</v>
      </c>
      <c r="D169" s="20" t="s">
        <v>226</v>
      </c>
      <c r="E169" s="20" t="s">
        <v>881</v>
      </c>
      <c r="F169" s="20"/>
      <c r="G169" s="26">
        <f>'Пр.4 ведом.21'!G161</f>
        <v>0</v>
      </c>
      <c r="H169" s="26">
        <f t="shared" si="4"/>
        <v>0</v>
      </c>
      <c r="I169" s="203"/>
    </row>
    <row r="170" spans="1:9" ht="31.5" hidden="1" x14ac:dyDescent="0.25">
      <c r="A170" s="25" t="s">
        <v>205</v>
      </c>
      <c r="B170" s="16">
        <v>902</v>
      </c>
      <c r="C170" s="20" t="s">
        <v>220</v>
      </c>
      <c r="D170" s="20" t="s">
        <v>226</v>
      </c>
      <c r="E170" s="20" t="s">
        <v>881</v>
      </c>
      <c r="F170" s="20" t="s">
        <v>139</v>
      </c>
      <c r="G170" s="26">
        <f>'Пр.4 ведом.21'!G162</f>
        <v>0</v>
      </c>
      <c r="H170" s="26">
        <f t="shared" si="4"/>
        <v>0</v>
      </c>
      <c r="I170" s="203"/>
    </row>
    <row r="171" spans="1:9" ht="31.5" hidden="1" x14ac:dyDescent="0.25">
      <c r="A171" s="25" t="s">
        <v>140</v>
      </c>
      <c r="B171" s="16">
        <v>902</v>
      </c>
      <c r="C171" s="20" t="s">
        <v>220</v>
      </c>
      <c r="D171" s="20" t="s">
        <v>226</v>
      </c>
      <c r="E171" s="20" t="s">
        <v>881</v>
      </c>
      <c r="F171" s="20" t="s">
        <v>141</v>
      </c>
      <c r="G171" s="26">
        <f>'Пр.4 ведом.21'!G163</f>
        <v>0</v>
      </c>
      <c r="H171" s="26">
        <f t="shared" si="4"/>
        <v>0</v>
      </c>
      <c r="I171" s="203"/>
    </row>
    <row r="172" spans="1:9" ht="31.5" x14ac:dyDescent="0.25">
      <c r="A172" s="23" t="s">
        <v>229</v>
      </c>
      <c r="B172" s="19">
        <v>902</v>
      </c>
      <c r="C172" s="24" t="s">
        <v>222</v>
      </c>
      <c r="D172" s="24"/>
      <c r="E172" s="24"/>
      <c r="F172" s="24"/>
      <c r="G172" s="21">
        <f>G173</f>
        <v>8090.1</v>
      </c>
      <c r="H172" s="21">
        <f>H173</f>
        <v>8090.1</v>
      </c>
      <c r="I172" s="203"/>
    </row>
    <row r="173" spans="1:9" ht="47.25" x14ac:dyDescent="0.25">
      <c r="A173" s="23" t="s">
        <v>1362</v>
      </c>
      <c r="B173" s="19">
        <v>902</v>
      </c>
      <c r="C173" s="24" t="s">
        <v>222</v>
      </c>
      <c r="D173" s="24" t="s">
        <v>251</v>
      </c>
      <c r="E173" s="20"/>
      <c r="F173" s="20"/>
      <c r="G173" s="21">
        <f>G174</f>
        <v>8090.1</v>
      </c>
      <c r="H173" s="21">
        <f>H174</f>
        <v>8090.1</v>
      </c>
      <c r="I173" s="203"/>
    </row>
    <row r="174" spans="1:9" ht="15.75" x14ac:dyDescent="0.25">
      <c r="A174" s="23" t="s">
        <v>148</v>
      </c>
      <c r="B174" s="19">
        <v>902</v>
      </c>
      <c r="C174" s="24" t="s">
        <v>222</v>
      </c>
      <c r="D174" s="24" t="s">
        <v>251</v>
      </c>
      <c r="E174" s="24" t="s">
        <v>876</v>
      </c>
      <c r="F174" s="24"/>
      <c r="G174" s="21">
        <f>G175+G182</f>
        <v>8090.1</v>
      </c>
      <c r="H174" s="21">
        <f>H175+H182</f>
        <v>8090.1</v>
      </c>
      <c r="I174" s="203"/>
    </row>
    <row r="175" spans="1:9" ht="31.5" x14ac:dyDescent="0.25">
      <c r="A175" s="23" t="s">
        <v>880</v>
      </c>
      <c r="B175" s="19">
        <v>902</v>
      </c>
      <c r="C175" s="24" t="s">
        <v>222</v>
      </c>
      <c r="D175" s="24" t="s">
        <v>251</v>
      </c>
      <c r="E175" s="24" t="s">
        <v>875</v>
      </c>
      <c r="F175" s="24"/>
      <c r="G175" s="21">
        <f>G176+G179</f>
        <v>1982</v>
      </c>
      <c r="H175" s="21">
        <f>H176+H179</f>
        <v>1982</v>
      </c>
      <c r="I175" s="203"/>
    </row>
    <row r="176" spans="1:9" ht="47.25" x14ac:dyDescent="0.25">
      <c r="A176" s="25" t="s">
        <v>231</v>
      </c>
      <c r="B176" s="16">
        <v>902</v>
      </c>
      <c r="C176" s="20" t="s">
        <v>222</v>
      </c>
      <c r="D176" s="20" t="s">
        <v>251</v>
      </c>
      <c r="E176" s="20" t="s">
        <v>885</v>
      </c>
      <c r="F176" s="20"/>
      <c r="G176" s="26">
        <f>G177</f>
        <v>1785</v>
      </c>
      <c r="H176" s="26">
        <f>H177</f>
        <v>1785</v>
      </c>
      <c r="I176" s="203"/>
    </row>
    <row r="177" spans="1:9" ht="31.5" x14ac:dyDescent="0.25">
      <c r="A177" s="25" t="s">
        <v>205</v>
      </c>
      <c r="B177" s="16">
        <v>902</v>
      </c>
      <c r="C177" s="20" t="s">
        <v>222</v>
      </c>
      <c r="D177" s="20" t="s">
        <v>251</v>
      </c>
      <c r="E177" s="20" t="s">
        <v>885</v>
      </c>
      <c r="F177" s="20" t="s">
        <v>139</v>
      </c>
      <c r="G177" s="26">
        <f>G178</f>
        <v>1785</v>
      </c>
      <c r="H177" s="26">
        <f>H178</f>
        <v>1785</v>
      </c>
      <c r="I177" s="203"/>
    </row>
    <row r="178" spans="1:9" ht="31.5" x14ac:dyDescent="0.25">
      <c r="A178" s="25" t="s">
        <v>140</v>
      </c>
      <c r="B178" s="16">
        <v>902</v>
      </c>
      <c r="C178" s="20" t="s">
        <v>222</v>
      </c>
      <c r="D178" s="20" t="s">
        <v>251</v>
      </c>
      <c r="E178" s="20" t="s">
        <v>885</v>
      </c>
      <c r="F178" s="20" t="s">
        <v>141</v>
      </c>
      <c r="G178" s="26">
        <f>1785</f>
        <v>1785</v>
      </c>
      <c r="H178" s="26">
        <f t="shared" si="4"/>
        <v>1785</v>
      </c>
      <c r="I178" s="203"/>
    </row>
    <row r="179" spans="1:9" ht="15.75" x14ac:dyDescent="0.25">
      <c r="A179" s="25" t="s">
        <v>237</v>
      </c>
      <c r="B179" s="16">
        <v>902</v>
      </c>
      <c r="C179" s="20" t="s">
        <v>222</v>
      </c>
      <c r="D179" s="20" t="s">
        <v>251</v>
      </c>
      <c r="E179" s="20" t="s">
        <v>886</v>
      </c>
      <c r="F179" s="20"/>
      <c r="G179" s="26">
        <f>G180</f>
        <v>197</v>
      </c>
      <c r="H179" s="26">
        <f>H180</f>
        <v>197</v>
      </c>
      <c r="I179" s="203"/>
    </row>
    <row r="180" spans="1:9" ht="31.5" x14ac:dyDescent="0.25">
      <c r="A180" s="25" t="s">
        <v>205</v>
      </c>
      <c r="B180" s="16">
        <v>902</v>
      </c>
      <c r="C180" s="20" t="s">
        <v>222</v>
      </c>
      <c r="D180" s="20" t="s">
        <v>251</v>
      </c>
      <c r="E180" s="20" t="s">
        <v>886</v>
      </c>
      <c r="F180" s="20" t="s">
        <v>139</v>
      </c>
      <c r="G180" s="26">
        <f>G181</f>
        <v>197</v>
      </c>
      <c r="H180" s="26">
        <f>H181</f>
        <v>197</v>
      </c>
      <c r="I180" s="203"/>
    </row>
    <row r="181" spans="1:9" ht="31.5" x14ac:dyDescent="0.25">
      <c r="A181" s="25" t="s">
        <v>140</v>
      </c>
      <c r="B181" s="16">
        <v>902</v>
      </c>
      <c r="C181" s="20" t="s">
        <v>222</v>
      </c>
      <c r="D181" s="20" t="s">
        <v>251</v>
      </c>
      <c r="E181" s="20" t="s">
        <v>886</v>
      </c>
      <c r="F181" s="20" t="s">
        <v>141</v>
      </c>
      <c r="G181" s="26">
        <f>197</f>
        <v>197</v>
      </c>
      <c r="H181" s="26">
        <f t="shared" ref="H181:H241" si="11">G181</f>
        <v>197</v>
      </c>
      <c r="I181" s="203"/>
    </row>
    <row r="182" spans="1:9" ht="31.5" x14ac:dyDescent="0.25">
      <c r="A182" s="23" t="s">
        <v>933</v>
      </c>
      <c r="B182" s="19">
        <v>902</v>
      </c>
      <c r="C182" s="24" t="s">
        <v>222</v>
      </c>
      <c r="D182" s="24" t="s">
        <v>251</v>
      </c>
      <c r="E182" s="24" t="s">
        <v>882</v>
      </c>
      <c r="F182" s="24"/>
      <c r="G182" s="21">
        <f>G183+G188</f>
        <v>6108.1</v>
      </c>
      <c r="H182" s="21">
        <f>H183+H188</f>
        <v>6108.1</v>
      </c>
      <c r="I182" s="203"/>
    </row>
    <row r="183" spans="1:9" ht="31.5" x14ac:dyDescent="0.25">
      <c r="A183" s="25" t="s">
        <v>937</v>
      </c>
      <c r="B183" s="16">
        <v>902</v>
      </c>
      <c r="C183" s="20" t="s">
        <v>222</v>
      </c>
      <c r="D183" s="20" t="s">
        <v>251</v>
      </c>
      <c r="E183" s="20" t="s">
        <v>883</v>
      </c>
      <c r="F183" s="20"/>
      <c r="G183" s="26">
        <f>G184+G186</f>
        <v>5856.1</v>
      </c>
      <c r="H183" s="26">
        <f>H184+H186</f>
        <v>5856.1</v>
      </c>
      <c r="I183" s="203"/>
    </row>
    <row r="184" spans="1:9" ht="78.75" x14ac:dyDescent="0.25">
      <c r="A184" s="25" t="s">
        <v>134</v>
      </c>
      <c r="B184" s="16">
        <v>902</v>
      </c>
      <c r="C184" s="20" t="s">
        <v>222</v>
      </c>
      <c r="D184" s="20" t="s">
        <v>251</v>
      </c>
      <c r="E184" s="20" t="s">
        <v>883</v>
      </c>
      <c r="F184" s="20" t="s">
        <v>135</v>
      </c>
      <c r="G184" s="26">
        <f>G185</f>
        <v>5693.1</v>
      </c>
      <c r="H184" s="26">
        <f t="shared" si="11"/>
        <v>5693.1</v>
      </c>
      <c r="I184" s="203"/>
    </row>
    <row r="185" spans="1:9" ht="15.75" x14ac:dyDescent="0.25">
      <c r="A185" s="25" t="s">
        <v>215</v>
      </c>
      <c r="B185" s="16">
        <v>902</v>
      </c>
      <c r="C185" s="20" t="s">
        <v>222</v>
      </c>
      <c r="D185" s="20" t="s">
        <v>251</v>
      </c>
      <c r="E185" s="20" t="s">
        <v>883</v>
      </c>
      <c r="F185" s="20" t="s">
        <v>216</v>
      </c>
      <c r="G185" s="26">
        <v>5693.1</v>
      </c>
      <c r="H185" s="26">
        <f t="shared" si="11"/>
        <v>5693.1</v>
      </c>
      <c r="I185" s="203"/>
    </row>
    <row r="186" spans="1:9" ht="31.5" x14ac:dyDescent="0.25">
      <c r="A186" s="25" t="s">
        <v>205</v>
      </c>
      <c r="B186" s="16">
        <v>902</v>
      </c>
      <c r="C186" s="20" t="s">
        <v>222</v>
      </c>
      <c r="D186" s="20" t="s">
        <v>251</v>
      </c>
      <c r="E186" s="20" t="s">
        <v>883</v>
      </c>
      <c r="F186" s="20" t="s">
        <v>139</v>
      </c>
      <c r="G186" s="26">
        <f>G187</f>
        <v>163</v>
      </c>
      <c r="H186" s="26">
        <f>H187</f>
        <v>163</v>
      </c>
      <c r="I186" s="203"/>
    </row>
    <row r="187" spans="1:9" ht="31.5" x14ac:dyDescent="0.25">
      <c r="A187" s="25" t="s">
        <v>140</v>
      </c>
      <c r="B187" s="16">
        <v>902</v>
      </c>
      <c r="C187" s="20" t="s">
        <v>222</v>
      </c>
      <c r="D187" s="20" t="s">
        <v>251</v>
      </c>
      <c r="E187" s="20" t="s">
        <v>883</v>
      </c>
      <c r="F187" s="20" t="s">
        <v>141</v>
      </c>
      <c r="G187" s="26">
        <f>163</f>
        <v>163</v>
      </c>
      <c r="H187" s="26">
        <f t="shared" si="11"/>
        <v>163</v>
      </c>
      <c r="I187" s="203"/>
    </row>
    <row r="188" spans="1:9" ht="47.25" x14ac:dyDescent="0.25">
      <c r="A188" s="25" t="s">
        <v>849</v>
      </c>
      <c r="B188" s="16">
        <v>902</v>
      </c>
      <c r="C188" s="20" t="s">
        <v>222</v>
      </c>
      <c r="D188" s="20" t="s">
        <v>251</v>
      </c>
      <c r="E188" s="20" t="s">
        <v>884</v>
      </c>
      <c r="F188" s="20"/>
      <c r="G188" s="26">
        <f>G189</f>
        <v>252</v>
      </c>
      <c r="H188" s="26">
        <f>H189</f>
        <v>252</v>
      </c>
      <c r="I188" s="203"/>
    </row>
    <row r="189" spans="1:9" ht="78.75" x14ac:dyDescent="0.25">
      <c r="A189" s="25" t="s">
        <v>134</v>
      </c>
      <c r="B189" s="16">
        <v>902</v>
      </c>
      <c r="C189" s="20" t="s">
        <v>222</v>
      </c>
      <c r="D189" s="20" t="s">
        <v>251</v>
      </c>
      <c r="E189" s="20" t="s">
        <v>884</v>
      </c>
      <c r="F189" s="20" t="s">
        <v>135</v>
      </c>
      <c r="G189" s="26">
        <f>G190</f>
        <v>252</v>
      </c>
      <c r="H189" s="26">
        <f>H190</f>
        <v>252</v>
      </c>
      <c r="I189" s="203"/>
    </row>
    <row r="190" spans="1:9" ht="19.5" customHeight="1" x14ac:dyDescent="0.25">
      <c r="A190" s="25" t="s">
        <v>215</v>
      </c>
      <c r="B190" s="16">
        <v>902</v>
      </c>
      <c r="C190" s="20" t="s">
        <v>222</v>
      </c>
      <c r="D190" s="20" t="s">
        <v>251</v>
      </c>
      <c r="E190" s="20" t="s">
        <v>884</v>
      </c>
      <c r="F190" s="20" t="s">
        <v>216</v>
      </c>
      <c r="G190" s="26">
        <f>252</f>
        <v>252</v>
      </c>
      <c r="H190" s="26">
        <f t="shared" si="11"/>
        <v>252</v>
      </c>
      <c r="I190" s="203"/>
    </row>
    <row r="191" spans="1:9" ht="15.75" x14ac:dyDescent="0.25">
      <c r="A191" s="23" t="s">
        <v>239</v>
      </c>
      <c r="B191" s="19">
        <v>902</v>
      </c>
      <c r="C191" s="24" t="s">
        <v>157</v>
      </c>
      <c r="D191" s="24"/>
      <c r="E191" s="24"/>
      <c r="F191" s="20"/>
      <c r="G191" s="21">
        <f>G205+G192</f>
        <v>688.2</v>
      </c>
      <c r="H191" s="21">
        <f>H205+H192</f>
        <v>698.8</v>
      </c>
      <c r="I191" s="203"/>
    </row>
    <row r="192" spans="1:9" ht="15.75" x14ac:dyDescent="0.25">
      <c r="A192" s="23" t="s">
        <v>240</v>
      </c>
      <c r="B192" s="19">
        <v>902</v>
      </c>
      <c r="C192" s="24" t="s">
        <v>157</v>
      </c>
      <c r="D192" s="24" t="s">
        <v>241</v>
      </c>
      <c r="E192" s="24"/>
      <c r="F192" s="20"/>
      <c r="G192" s="21">
        <f>G193</f>
        <v>274</v>
      </c>
      <c r="H192" s="21">
        <f>H193</f>
        <v>274</v>
      </c>
      <c r="I192" s="203"/>
    </row>
    <row r="193" spans="1:9" ht="31.5" x14ac:dyDescent="0.25">
      <c r="A193" s="34" t="s">
        <v>1361</v>
      </c>
      <c r="B193" s="19">
        <v>902</v>
      </c>
      <c r="C193" s="24" t="s">
        <v>157</v>
      </c>
      <c r="D193" s="24" t="s">
        <v>241</v>
      </c>
      <c r="E193" s="196" t="s">
        <v>189</v>
      </c>
      <c r="F193" s="217"/>
      <c r="G193" s="21">
        <f>G194+G201</f>
        <v>274</v>
      </c>
      <c r="H193" s="21">
        <f>H194+H201</f>
        <v>274</v>
      </c>
      <c r="I193" s="203"/>
    </row>
    <row r="194" spans="1:9" ht="31.5" x14ac:dyDescent="0.25">
      <c r="A194" s="34" t="s">
        <v>1016</v>
      </c>
      <c r="B194" s="19">
        <v>902</v>
      </c>
      <c r="C194" s="24" t="s">
        <v>157</v>
      </c>
      <c r="D194" s="24" t="s">
        <v>241</v>
      </c>
      <c r="E194" s="246" t="s">
        <v>887</v>
      </c>
      <c r="F194" s="217"/>
      <c r="G194" s="21">
        <f>G195+G198</f>
        <v>274</v>
      </c>
      <c r="H194" s="21">
        <f>H195+H198</f>
        <v>274</v>
      </c>
      <c r="I194" s="203"/>
    </row>
    <row r="195" spans="1:9" ht="31.5" x14ac:dyDescent="0.25">
      <c r="A195" s="25" t="s">
        <v>242</v>
      </c>
      <c r="B195" s="16">
        <v>902</v>
      </c>
      <c r="C195" s="20" t="s">
        <v>157</v>
      </c>
      <c r="D195" s="20" t="s">
        <v>241</v>
      </c>
      <c r="E195" s="20" t="s">
        <v>908</v>
      </c>
      <c r="F195" s="32"/>
      <c r="G195" s="26">
        <f>G196</f>
        <v>274</v>
      </c>
      <c r="H195" s="26">
        <f>H196</f>
        <v>274</v>
      </c>
      <c r="I195" s="203"/>
    </row>
    <row r="196" spans="1:9" ht="15.75" x14ac:dyDescent="0.25">
      <c r="A196" s="29" t="s">
        <v>142</v>
      </c>
      <c r="B196" s="16">
        <v>902</v>
      </c>
      <c r="C196" s="20" t="s">
        <v>157</v>
      </c>
      <c r="D196" s="20" t="s">
        <v>241</v>
      </c>
      <c r="E196" s="20" t="s">
        <v>908</v>
      </c>
      <c r="F196" s="32" t="s">
        <v>152</v>
      </c>
      <c r="G196" s="26">
        <f>G197</f>
        <v>274</v>
      </c>
      <c r="H196" s="26">
        <f>H197</f>
        <v>274</v>
      </c>
      <c r="I196" s="203"/>
    </row>
    <row r="197" spans="1:9" ht="47.25" x14ac:dyDescent="0.25">
      <c r="A197" s="29" t="s">
        <v>191</v>
      </c>
      <c r="B197" s="16">
        <v>902</v>
      </c>
      <c r="C197" s="20" t="s">
        <v>157</v>
      </c>
      <c r="D197" s="20" t="s">
        <v>241</v>
      </c>
      <c r="E197" s="20" t="s">
        <v>908</v>
      </c>
      <c r="F197" s="32" t="s">
        <v>167</v>
      </c>
      <c r="G197" s="26">
        <f>19+255</f>
        <v>274</v>
      </c>
      <c r="H197" s="26">
        <f>19+255</f>
        <v>274</v>
      </c>
      <c r="I197" s="203"/>
    </row>
    <row r="198" spans="1:9" ht="31.5" hidden="1" x14ac:dyDescent="0.25">
      <c r="A198" s="25" t="s">
        <v>242</v>
      </c>
      <c r="B198" s="16">
        <v>902</v>
      </c>
      <c r="C198" s="20" t="s">
        <v>157</v>
      </c>
      <c r="D198" s="20" t="s">
        <v>241</v>
      </c>
      <c r="E198" s="20" t="s">
        <v>890</v>
      </c>
      <c r="F198" s="20"/>
      <c r="G198" s="26">
        <f>G199</f>
        <v>0</v>
      </c>
      <c r="H198" s="26">
        <f>H199</f>
        <v>0</v>
      </c>
      <c r="I198" s="203"/>
    </row>
    <row r="199" spans="1:9" ht="15.75" hidden="1" x14ac:dyDescent="0.25">
      <c r="A199" s="25" t="s">
        <v>142</v>
      </c>
      <c r="B199" s="16">
        <v>902</v>
      </c>
      <c r="C199" s="20" t="s">
        <v>157</v>
      </c>
      <c r="D199" s="20" t="s">
        <v>241</v>
      </c>
      <c r="E199" s="20" t="s">
        <v>890</v>
      </c>
      <c r="F199" s="20" t="s">
        <v>152</v>
      </c>
      <c r="G199" s="26">
        <f>G200</f>
        <v>0</v>
      </c>
      <c r="H199" s="26">
        <f>H200</f>
        <v>0</v>
      </c>
      <c r="I199" s="203"/>
    </row>
    <row r="200" spans="1:9" ht="47.25" hidden="1" x14ac:dyDescent="0.25">
      <c r="A200" s="25" t="s">
        <v>191</v>
      </c>
      <c r="B200" s="16">
        <v>902</v>
      </c>
      <c r="C200" s="20" t="s">
        <v>157</v>
      </c>
      <c r="D200" s="20" t="s">
        <v>241</v>
      </c>
      <c r="E200" s="20" t="s">
        <v>890</v>
      </c>
      <c r="F200" s="20" t="s">
        <v>167</v>
      </c>
      <c r="G200" s="26"/>
      <c r="H200" s="26"/>
      <c r="I200" s="203"/>
    </row>
    <row r="201" spans="1:9" ht="47.25" hidden="1" x14ac:dyDescent="0.25">
      <c r="A201" s="209" t="s">
        <v>1017</v>
      </c>
      <c r="B201" s="19">
        <v>902</v>
      </c>
      <c r="C201" s="24" t="s">
        <v>157</v>
      </c>
      <c r="D201" s="24" t="s">
        <v>241</v>
      </c>
      <c r="E201" s="196" t="s">
        <v>889</v>
      </c>
      <c r="F201" s="217"/>
      <c r="G201" s="21">
        <f t="shared" ref="G201:H203" si="12">G202</f>
        <v>0</v>
      </c>
      <c r="H201" s="21">
        <f t="shared" si="12"/>
        <v>0</v>
      </c>
      <c r="I201" s="203"/>
    </row>
    <row r="202" spans="1:9" ht="15.75" hidden="1" x14ac:dyDescent="0.25">
      <c r="A202" s="25" t="s">
        <v>888</v>
      </c>
      <c r="B202" s="16">
        <v>902</v>
      </c>
      <c r="C202" s="20" t="s">
        <v>157</v>
      </c>
      <c r="D202" s="20" t="s">
        <v>241</v>
      </c>
      <c r="E202" s="5" t="s">
        <v>909</v>
      </c>
      <c r="F202" s="32"/>
      <c r="G202" s="26">
        <f t="shared" si="12"/>
        <v>0</v>
      </c>
      <c r="H202" s="26">
        <f t="shared" si="12"/>
        <v>0</v>
      </c>
      <c r="I202" s="203"/>
    </row>
    <row r="203" spans="1:9" ht="15.75" hidden="1" x14ac:dyDescent="0.25">
      <c r="A203" s="29" t="s">
        <v>142</v>
      </c>
      <c r="B203" s="16">
        <v>902</v>
      </c>
      <c r="C203" s="20" t="s">
        <v>157</v>
      </c>
      <c r="D203" s="20" t="s">
        <v>241</v>
      </c>
      <c r="E203" s="5" t="s">
        <v>909</v>
      </c>
      <c r="F203" s="32" t="s">
        <v>152</v>
      </c>
      <c r="G203" s="26">
        <f t="shared" si="12"/>
        <v>0</v>
      </c>
      <c r="H203" s="26">
        <f t="shared" si="12"/>
        <v>0</v>
      </c>
      <c r="I203" s="203"/>
    </row>
    <row r="204" spans="1:9" ht="47.25" hidden="1" x14ac:dyDescent="0.25">
      <c r="A204" s="29" t="s">
        <v>191</v>
      </c>
      <c r="B204" s="16">
        <v>902</v>
      </c>
      <c r="C204" s="20" t="s">
        <v>157</v>
      </c>
      <c r="D204" s="20" t="s">
        <v>241</v>
      </c>
      <c r="E204" s="5" t="s">
        <v>909</v>
      </c>
      <c r="F204" s="32" t="s">
        <v>167</v>
      </c>
      <c r="G204" s="26">
        <v>0</v>
      </c>
      <c r="H204" s="26">
        <v>0</v>
      </c>
      <c r="I204" s="203"/>
    </row>
    <row r="205" spans="1:9" ht="31.5" x14ac:dyDescent="0.25">
      <c r="A205" s="23" t="s">
        <v>244</v>
      </c>
      <c r="B205" s="19">
        <v>902</v>
      </c>
      <c r="C205" s="24" t="s">
        <v>157</v>
      </c>
      <c r="D205" s="24" t="s">
        <v>245</v>
      </c>
      <c r="E205" s="24"/>
      <c r="F205" s="24"/>
      <c r="G205" s="21">
        <f>G206+G213</f>
        <v>414.2</v>
      </c>
      <c r="H205" s="21">
        <f>H206+H213</f>
        <v>424.8</v>
      </c>
      <c r="I205" s="203"/>
    </row>
    <row r="206" spans="1:9" ht="31.5" x14ac:dyDescent="0.25">
      <c r="A206" s="23" t="s">
        <v>927</v>
      </c>
      <c r="B206" s="19">
        <v>902</v>
      </c>
      <c r="C206" s="24" t="s">
        <v>157</v>
      </c>
      <c r="D206" s="24" t="s">
        <v>245</v>
      </c>
      <c r="E206" s="24" t="s">
        <v>868</v>
      </c>
      <c r="F206" s="24"/>
      <c r="G206" s="21">
        <f>G207</f>
        <v>264.2</v>
      </c>
      <c r="H206" s="21">
        <f>H207</f>
        <v>274.8</v>
      </c>
      <c r="I206" s="203"/>
    </row>
    <row r="207" spans="1:9" ht="31.5" x14ac:dyDescent="0.25">
      <c r="A207" s="23" t="s">
        <v>895</v>
      </c>
      <c r="B207" s="19">
        <v>902</v>
      </c>
      <c r="C207" s="24" t="s">
        <v>157</v>
      </c>
      <c r="D207" s="24" t="s">
        <v>245</v>
      </c>
      <c r="E207" s="24" t="s">
        <v>873</v>
      </c>
      <c r="F207" s="24"/>
      <c r="G207" s="21">
        <f>G208</f>
        <v>264.2</v>
      </c>
      <c r="H207" s="21">
        <f>H208</f>
        <v>274.8</v>
      </c>
      <c r="I207" s="203"/>
    </row>
    <row r="208" spans="1:9" ht="63" x14ac:dyDescent="0.25">
      <c r="A208" s="31" t="s">
        <v>248</v>
      </c>
      <c r="B208" s="16">
        <v>902</v>
      </c>
      <c r="C208" s="20" t="s">
        <v>157</v>
      </c>
      <c r="D208" s="20" t="s">
        <v>245</v>
      </c>
      <c r="E208" s="20" t="s">
        <v>934</v>
      </c>
      <c r="F208" s="20"/>
      <c r="G208" s="26">
        <f>G209+G211</f>
        <v>264.2</v>
      </c>
      <c r="H208" s="26">
        <f>H209+H211</f>
        <v>274.8</v>
      </c>
      <c r="I208" s="203"/>
    </row>
    <row r="209" spans="1:9" ht="78.75" x14ac:dyDescent="0.25">
      <c r="A209" s="25" t="s">
        <v>134</v>
      </c>
      <c r="B209" s="16">
        <v>902</v>
      </c>
      <c r="C209" s="20" t="s">
        <v>157</v>
      </c>
      <c r="D209" s="20" t="s">
        <v>245</v>
      </c>
      <c r="E209" s="20" t="s">
        <v>934</v>
      </c>
      <c r="F209" s="20" t="s">
        <v>135</v>
      </c>
      <c r="G209" s="26">
        <f>G210</f>
        <v>205.8</v>
      </c>
      <c r="H209" s="26">
        <f>H210</f>
        <v>205.8</v>
      </c>
      <c r="I209" s="203"/>
    </row>
    <row r="210" spans="1:9" ht="31.5" x14ac:dyDescent="0.25">
      <c r="A210" s="25" t="s">
        <v>136</v>
      </c>
      <c r="B210" s="16">
        <v>902</v>
      </c>
      <c r="C210" s="20" t="s">
        <v>157</v>
      </c>
      <c r="D210" s="20" t="s">
        <v>245</v>
      </c>
      <c r="E210" s="20" t="s">
        <v>934</v>
      </c>
      <c r="F210" s="20" t="s">
        <v>137</v>
      </c>
      <c r="G210" s="26">
        <f>187+18.8</f>
        <v>205.8</v>
      </c>
      <c r="H210" s="26">
        <f t="shared" si="11"/>
        <v>205.8</v>
      </c>
      <c r="I210" s="203"/>
    </row>
    <row r="211" spans="1:9" ht="31.5" x14ac:dyDescent="0.25">
      <c r="A211" s="25" t="s">
        <v>138</v>
      </c>
      <c r="B211" s="16">
        <v>902</v>
      </c>
      <c r="C211" s="20" t="s">
        <v>157</v>
      </c>
      <c r="D211" s="20" t="s">
        <v>245</v>
      </c>
      <c r="E211" s="20" t="s">
        <v>934</v>
      </c>
      <c r="F211" s="20" t="s">
        <v>139</v>
      </c>
      <c r="G211" s="26">
        <f>G212</f>
        <v>58.4</v>
      </c>
      <c r="H211" s="26">
        <f>H212</f>
        <v>69</v>
      </c>
      <c r="I211" s="203"/>
    </row>
    <row r="212" spans="1:9" ht="31.5" x14ac:dyDescent="0.25">
      <c r="A212" s="25" t="s">
        <v>140</v>
      </c>
      <c r="B212" s="16">
        <v>902</v>
      </c>
      <c r="C212" s="20" t="s">
        <v>157</v>
      </c>
      <c r="D212" s="20" t="s">
        <v>245</v>
      </c>
      <c r="E212" s="20" t="s">
        <v>934</v>
      </c>
      <c r="F212" s="20" t="s">
        <v>141</v>
      </c>
      <c r="G212" s="26">
        <f>101.8-43.4</f>
        <v>58.4</v>
      </c>
      <c r="H212" s="26">
        <v>69</v>
      </c>
      <c r="I212" s="203"/>
    </row>
    <row r="213" spans="1:9" ht="47.25" x14ac:dyDescent="0.25">
      <c r="A213" s="23" t="s">
        <v>1353</v>
      </c>
      <c r="B213" s="19">
        <v>902</v>
      </c>
      <c r="C213" s="24" t="s">
        <v>157</v>
      </c>
      <c r="D213" s="24" t="s">
        <v>245</v>
      </c>
      <c r="E213" s="24" t="s">
        <v>163</v>
      </c>
      <c r="F213" s="24"/>
      <c r="G213" s="21">
        <f t="shared" ref="G213:H215" si="13">G214</f>
        <v>150</v>
      </c>
      <c r="H213" s="21">
        <f t="shared" si="13"/>
        <v>150</v>
      </c>
      <c r="I213" s="203"/>
    </row>
    <row r="214" spans="1:9" ht="47.25" x14ac:dyDescent="0.25">
      <c r="A214" s="23" t="s">
        <v>1075</v>
      </c>
      <c r="B214" s="19">
        <v>902</v>
      </c>
      <c r="C214" s="24" t="s">
        <v>157</v>
      </c>
      <c r="D214" s="24" t="s">
        <v>245</v>
      </c>
      <c r="E214" s="24" t="s">
        <v>1072</v>
      </c>
      <c r="F214" s="24"/>
      <c r="G214" s="21">
        <f t="shared" si="13"/>
        <v>150</v>
      </c>
      <c r="H214" s="21">
        <f t="shared" si="13"/>
        <v>150</v>
      </c>
      <c r="I214" s="203"/>
    </row>
    <row r="215" spans="1:9" ht="31.5" x14ac:dyDescent="0.25">
      <c r="A215" s="25" t="s">
        <v>1076</v>
      </c>
      <c r="B215" s="16">
        <v>902</v>
      </c>
      <c r="C215" s="20" t="s">
        <v>157</v>
      </c>
      <c r="D215" s="20" t="s">
        <v>245</v>
      </c>
      <c r="E215" s="20" t="s">
        <v>1073</v>
      </c>
      <c r="F215" s="20"/>
      <c r="G215" s="26">
        <f t="shared" si="13"/>
        <v>150</v>
      </c>
      <c r="H215" s="26">
        <f t="shared" si="13"/>
        <v>150</v>
      </c>
      <c r="I215" s="203"/>
    </row>
    <row r="216" spans="1:9" ht="15.75" x14ac:dyDescent="0.25">
      <c r="A216" s="25" t="s">
        <v>142</v>
      </c>
      <c r="B216" s="16">
        <v>902</v>
      </c>
      <c r="C216" s="20" t="s">
        <v>157</v>
      </c>
      <c r="D216" s="20" t="s">
        <v>245</v>
      </c>
      <c r="E216" s="20" t="s">
        <v>1073</v>
      </c>
      <c r="F216" s="20" t="s">
        <v>152</v>
      </c>
      <c r="G216" s="26">
        <f>G217</f>
        <v>150</v>
      </c>
      <c r="H216" s="26">
        <f t="shared" si="11"/>
        <v>150</v>
      </c>
      <c r="I216" s="203"/>
    </row>
    <row r="217" spans="1:9" ht="47.25" x14ac:dyDescent="0.25">
      <c r="A217" s="25" t="s">
        <v>191</v>
      </c>
      <c r="B217" s="16">
        <v>902</v>
      </c>
      <c r="C217" s="20" t="s">
        <v>157</v>
      </c>
      <c r="D217" s="20" t="s">
        <v>245</v>
      </c>
      <c r="E217" s="20" t="s">
        <v>1073</v>
      </c>
      <c r="F217" s="20" t="s">
        <v>167</v>
      </c>
      <c r="G217" s="161">
        <v>150</v>
      </c>
      <c r="H217" s="161">
        <f t="shared" si="11"/>
        <v>150</v>
      </c>
      <c r="I217" s="203"/>
    </row>
    <row r="218" spans="1:9" ht="15.75" x14ac:dyDescent="0.25">
      <c r="A218" s="23" t="s">
        <v>250</v>
      </c>
      <c r="B218" s="19">
        <v>902</v>
      </c>
      <c r="C218" s="24" t="s">
        <v>251</v>
      </c>
      <c r="D218" s="24"/>
      <c r="E218" s="24"/>
      <c r="F218" s="24"/>
      <c r="G218" s="21">
        <f>G219+G225+G234</f>
        <v>13475.699999999999</v>
      </c>
      <c r="H218" s="21">
        <f>H219+H225+H234</f>
        <v>13431.699999999999</v>
      </c>
      <c r="I218" s="203"/>
    </row>
    <row r="219" spans="1:9" ht="15.75" x14ac:dyDescent="0.25">
      <c r="A219" s="23" t="s">
        <v>252</v>
      </c>
      <c r="B219" s="19">
        <v>902</v>
      </c>
      <c r="C219" s="24" t="s">
        <v>251</v>
      </c>
      <c r="D219" s="24" t="s">
        <v>125</v>
      </c>
      <c r="E219" s="24"/>
      <c r="F219" s="24"/>
      <c r="G219" s="21">
        <f t="shared" ref="G219:H219" si="14">G220</f>
        <v>9815.2999999999993</v>
      </c>
      <c r="H219" s="21">
        <f t="shared" si="14"/>
        <v>9815.2999999999993</v>
      </c>
      <c r="I219" s="203"/>
    </row>
    <row r="220" spans="1:9" ht="15.75" x14ac:dyDescent="0.25">
      <c r="A220" s="23" t="s">
        <v>148</v>
      </c>
      <c r="B220" s="19">
        <v>902</v>
      </c>
      <c r="C220" s="24" t="s">
        <v>251</v>
      </c>
      <c r="D220" s="24" t="s">
        <v>125</v>
      </c>
      <c r="E220" s="24" t="s">
        <v>876</v>
      </c>
      <c r="F220" s="24"/>
      <c r="G220" s="21">
        <f t="shared" ref="G220:H223" si="15">G221</f>
        <v>9815.2999999999993</v>
      </c>
      <c r="H220" s="21">
        <f t="shared" si="15"/>
        <v>9815.2999999999993</v>
      </c>
      <c r="I220" s="203"/>
    </row>
    <row r="221" spans="1:9" ht="31.5" x14ac:dyDescent="0.25">
      <c r="A221" s="23" t="s">
        <v>880</v>
      </c>
      <c r="B221" s="19">
        <v>902</v>
      </c>
      <c r="C221" s="24" t="s">
        <v>251</v>
      </c>
      <c r="D221" s="24" t="s">
        <v>125</v>
      </c>
      <c r="E221" s="24" t="s">
        <v>875</v>
      </c>
      <c r="F221" s="24"/>
      <c r="G221" s="21">
        <f t="shared" si="15"/>
        <v>9815.2999999999993</v>
      </c>
      <c r="H221" s="21">
        <f t="shared" si="15"/>
        <v>9815.2999999999993</v>
      </c>
      <c r="I221" s="203"/>
    </row>
    <row r="222" spans="1:9" ht="15.75" x14ac:dyDescent="0.25">
      <c r="A222" s="25" t="s">
        <v>253</v>
      </c>
      <c r="B222" s="16">
        <v>902</v>
      </c>
      <c r="C222" s="20" t="s">
        <v>251</v>
      </c>
      <c r="D222" s="20" t="s">
        <v>125</v>
      </c>
      <c r="E222" s="20" t="s">
        <v>891</v>
      </c>
      <c r="F222" s="20"/>
      <c r="G222" s="26">
        <f t="shared" si="15"/>
        <v>9815.2999999999993</v>
      </c>
      <c r="H222" s="26">
        <f t="shared" si="15"/>
        <v>9815.2999999999993</v>
      </c>
      <c r="I222" s="203"/>
    </row>
    <row r="223" spans="1:9" ht="22.7" customHeight="1" x14ac:dyDescent="0.25">
      <c r="A223" s="25" t="s">
        <v>255</v>
      </c>
      <c r="B223" s="16">
        <v>902</v>
      </c>
      <c r="C223" s="20" t="s">
        <v>251</v>
      </c>
      <c r="D223" s="20" t="s">
        <v>125</v>
      </c>
      <c r="E223" s="20" t="s">
        <v>891</v>
      </c>
      <c r="F223" s="20" t="s">
        <v>256</v>
      </c>
      <c r="G223" s="26">
        <f t="shared" si="15"/>
        <v>9815.2999999999993</v>
      </c>
      <c r="H223" s="26">
        <f t="shared" si="15"/>
        <v>9815.2999999999993</v>
      </c>
      <c r="I223" s="203"/>
    </row>
    <row r="224" spans="1:9" ht="31.5" x14ac:dyDescent="0.25">
      <c r="A224" s="25" t="s">
        <v>355</v>
      </c>
      <c r="B224" s="16">
        <v>902</v>
      </c>
      <c r="C224" s="20" t="s">
        <v>251</v>
      </c>
      <c r="D224" s="20" t="s">
        <v>125</v>
      </c>
      <c r="E224" s="20" t="s">
        <v>891</v>
      </c>
      <c r="F224" s="20" t="s">
        <v>356</v>
      </c>
      <c r="G224" s="26">
        <v>9815.2999999999993</v>
      </c>
      <c r="H224" s="26">
        <f t="shared" si="11"/>
        <v>9815.2999999999993</v>
      </c>
      <c r="I224" s="203"/>
    </row>
    <row r="225" spans="1:9" ht="15.75" x14ac:dyDescent="0.25">
      <c r="A225" s="23" t="s">
        <v>259</v>
      </c>
      <c r="B225" s="19">
        <v>902</v>
      </c>
      <c r="C225" s="24" t="s">
        <v>251</v>
      </c>
      <c r="D225" s="24" t="s">
        <v>222</v>
      </c>
      <c r="E225" s="20"/>
      <c r="F225" s="20"/>
      <c r="G225" s="21">
        <f>G226</f>
        <v>10</v>
      </c>
      <c r="H225" s="21">
        <f>H226</f>
        <v>10</v>
      </c>
      <c r="I225" s="203"/>
    </row>
    <row r="226" spans="1:9" ht="63" x14ac:dyDescent="0.25">
      <c r="A226" s="23" t="s">
        <v>1363</v>
      </c>
      <c r="B226" s="19">
        <v>902</v>
      </c>
      <c r="C226" s="24" t="s">
        <v>251</v>
      </c>
      <c r="D226" s="24" t="s">
        <v>222</v>
      </c>
      <c r="E226" s="24" t="s">
        <v>261</v>
      </c>
      <c r="F226" s="24"/>
      <c r="G226" s="21">
        <f>G227</f>
        <v>10</v>
      </c>
      <c r="H226" s="21">
        <f>H227</f>
        <v>10</v>
      </c>
      <c r="I226" s="203"/>
    </row>
    <row r="227" spans="1:9" ht="47.25" x14ac:dyDescent="0.25">
      <c r="A227" s="23" t="s">
        <v>894</v>
      </c>
      <c r="B227" s="19">
        <v>902</v>
      </c>
      <c r="C227" s="24" t="s">
        <v>251</v>
      </c>
      <c r="D227" s="24" t="s">
        <v>222</v>
      </c>
      <c r="E227" s="24" t="s">
        <v>892</v>
      </c>
      <c r="F227" s="24"/>
      <c r="G227" s="21">
        <f>G228+G231</f>
        <v>10</v>
      </c>
      <c r="H227" s="21">
        <f>H228+H231</f>
        <v>10</v>
      </c>
      <c r="I227" s="203"/>
    </row>
    <row r="228" spans="1:9" ht="31.5" x14ac:dyDescent="0.25">
      <c r="A228" s="25" t="s">
        <v>893</v>
      </c>
      <c r="B228" s="16">
        <v>902</v>
      </c>
      <c r="C228" s="20" t="s">
        <v>251</v>
      </c>
      <c r="D228" s="20" t="s">
        <v>222</v>
      </c>
      <c r="E228" s="20" t="s">
        <v>1202</v>
      </c>
      <c r="F228" s="20"/>
      <c r="G228" s="26">
        <f>G229</f>
        <v>10</v>
      </c>
      <c r="H228" s="26">
        <f>H229</f>
        <v>10</v>
      </c>
      <c r="I228" s="203"/>
    </row>
    <row r="229" spans="1:9" ht="19.5" customHeight="1" x14ac:dyDescent="0.25">
      <c r="A229" s="25" t="s">
        <v>255</v>
      </c>
      <c r="B229" s="16">
        <v>902</v>
      </c>
      <c r="C229" s="20" t="s">
        <v>251</v>
      </c>
      <c r="D229" s="20" t="s">
        <v>222</v>
      </c>
      <c r="E229" s="20" t="s">
        <v>1202</v>
      </c>
      <c r="F229" s="20" t="s">
        <v>256</v>
      </c>
      <c r="G229" s="26">
        <f>G230</f>
        <v>10</v>
      </c>
      <c r="H229" s="26">
        <f>H230</f>
        <v>10</v>
      </c>
      <c r="I229" s="203"/>
    </row>
    <row r="230" spans="1:9" ht="31.5" x14ac:dyDescent="0.25">
      <c r="A230" s="25" t="s">
        <v>257</v>
      </c>
      <c r="B230" s="16">
        <v>902</v>
      </c>
      <c r="C230" s="20" t="s">
        <v>251</v>
      </c>
      <c r="D230" s="20" t="s">
        <v>222</v>
      </c>
      <c r="E230" s="20" t="s">
        <v>1202</v>
      </c>
      <c r="F230" s="20" t="s">
        <v>258</v>
      </c>
      <c r="G230" s="26">
        <f>10</f>
        <v>10</v>
      </c>
      <c r="H230" s="26">
        <f t="shared" si="11"/>
        <v>10</v>
      </c>
      <c r="I230" s="203"/>
    </row>
    <row r="231" spans="1:9" s="202" customFormat="1" ht="63" hidden="1" x14ac:dyDescent="0.25">
      <c r="A231" s="25" t="s">
        <v>1201</v>
      </c>
      <c r="B231" s="16">
        <v>902</v>
      </c>
      <c r="C231" s="20" t="s">
        <v>251</v>
      </c>
      <c r="D231" s="20" t="s">
        <v>222</v>
      </c>
      <c r="E231" s="20" t="s">
        <v>1189</v>
      </c>
      <c r="F231" s="20"/>
      <c r="G231" s="26">
        <f>G232</f>
        <v>0</v>
      </c>
      <c r="H231" s="26">
        <f>H232</f>
        <v>0</v>
      </c>
      <c r="I231" s="203"/>
    </row>
    <row r="232" spans="1:9" s="202" customFormat="1" ht="20.25" hidden="1" customHeight="1" x14ac:dyDescent="0.25">
      <c r="A232" s="25" t="s">
        <v>255</v>
      </c>
      <c r="B232" s="16">
        <v>902</v>
      </c>
      <c r="C232" s="20" t="s">
        <v>251</v>
      </c>
      <c r="D232" s="20" t="s">
        <v>222</v>
      </c>
      <c r="E232" s="20" t="s">
        <v>1189</v>
      </c>
      <c r="F232" s="20" t="s">
        <v>256</v>
      </c>
      <c r="G232" s="26">
        <f>G233</f>
        <v>0</v>
      </c>
      <c r="H232" s="26">
        <f>H233</f>
        <v>0</v>
      </c>
      <c r="I232" s="203"/>
    </row>
    <row r="233" spans="1:9" s="202" customFormat="1" ht="31.5" hidden="1" x14ac:dyDescent="0.25">
      <c r="A233" s="25" t="s">
        <v>257</v>
      </c>
      <c r="B233" s="16">
        <v>902</v>
      </c>
      <c r="C233" s="20" t="s">
        <v>251</v>
      </c>
      <c r="D233" s="20" t="s">
        <v>222</v>
      </c>
      <c r="E233" s="20" t="s">
        <v>1189</v>
      </c>
      <c r="F233" s="20" t="s">
        <v>258</v>
      </c>
      <c r="G233" s="26">
        <v>0</v>
      </c>
      <c r="H233" s="26">
        <v>0</v>
      </c>
      <c r="I233" s="203"/>
    </row>
    <row r="234" spans="1:9" ht="15.75" x14ac:dyDescent="0.25">
      <c r="A234" s="23" t="s">
        <v>265</v>
      </c>
      <c r="B234" s="19">
        <v>902</v>
      </c>
      <c r="C234" s="24" t="s">
        <v>251</v>
      </c>
      <c r="D234" s="24" t="s">
        <v>127</v>
      </c>
      <c r="E234" s="24"/>
      <c r="F234" s="24"/>
      <c r="G234" s="21">
        <f t="shared" ref="G234:H236" si="16">G235</f>
        <v>3650.4</v>
      </c>
      <c r="H234" s="21">
        <f t="shared" si="16"/>
        <v>3606.4</v>
      </c>
      <c r="I234" s="203"/>
    </row>
    <row r="235" spans="1:9" ht="31.5" x14ac:dyDescent="0.25">
      <c r="A235" s="23" t="s">
        <v>927</v>
      </c>
      <c r="B235" s="19">
        <v>902</v>
      </c>
      <c r="C235" s="24" t="s">
        <v>251</v>
      </c>
      <c r="D235" s="24" t="s">
        <v>127</v>
      </c>
      <c r="E235" s="24" t="s">
        <v>868</v>
      </c>
      <c r="F235" s="24"/>
      <c r="G235" s="21">
        <f t="shared" si="16"/>
        <v>3650.4</v>
      </c>
      <c r="H235" s="21">
        <f t="shared" si="16"/>
        <v>3606.4</v>
      </c>
      <c r="I235" s="203"/>
    </row>
    <row r="236" spans="1:9" ht="31.5" x14ac:dyDescent="0.25">
      <c r="A236" s="23" t="s">
        <v>895</v>
      </c>
      <c r="B236" s="19">
        <v>902</v>
      </c>
      <c r="C236" s="24" t="s">
        <v>251</v>
      </c>
      <c r="D236" s="24" t="s">
        <v>127</v>
      </c>
      <c r="E236" s="24" t="s">
        <v>873</v>
      </c>
      <c r="F236" s="24"/>
      <c r="G236" s="21">
        <f t="shared" si="16"/>
        <v>3650.4</v>
      </c>
      <c r="H236" s="21">
        <f t="shared" si="16"/>
        <v>3606.4</v>
      </c>
      <c r="I236" s="203"/>
    </row>
    <row r="237" spans="1:9" ht="47.25" x14ac:dyDescent="0.25">
      <c r="A237" s="31" t="s">
        <v>266</v>
      </c>
      <c r="B237" s="16">
        <v>902</v>
      </c>
      <c r="C237" s="20" t="s">
        <v>251</v>
      </c>
      <c r="D237" s="20" t="s">
        <v>127</v>
      </c>
      <c r="E237" s="20" t="s">
        <v>935</v>
      </c>
      <c r="F237" s="20"/>
      <c r="G237" s="26">
        <f>G238+G240</f>
        <v>3650.4</v>
      </c>
      <c r="H237" s="26">
        <f>H238+H240</f>
        <v>3606.4</v>
      </c>
      <c r="I237" s="203"/>
    </row>
    <row r="238" spans="1:9" ht="78.75" x14ac:dyDescent="0.25">
      <c r="A238" s="25" t="s">
        <v>134</v>
      </c>
      <c r="B238" s="16">
        <v>902</v>
      </c>
      <c r="C238" s="20" t="s">
        <v>251</v>
      </c>
      <c r="D238" s="20" t="s">
        <v>127</v>
      </c>
      <c r="E238" s="20" t="s">
        <v>935</v>
      </c>
      <c r="F238" s="20" t="s">
        <v>135</v>
      </c>
      <c r="G238" s="26">
        <f>G239</f>
        <v>3249.8</v>
      </c>
      <c r="H238" s="26">
        <f>H239</f>
        <v>3205.8</v>
      </c>
      <c r="I238" s="203"/>
    </row>
    <row r="239" spans="1:9" ht="31.5" x14ac:dyDescent="0.25">
      <c r="A239" s="25" t="s">
        <v>136</v>
      </c>
      <c r="B239" s="16">
        <v>902</v>
      </c>
      <c r="C239" s="20" t="s">
        <v>251</v>
      </c>
      <c r="D239" s="20" t="s">
        <v>127</v>
      </c>
      <c r="E239" s="20" t="s">
        <v>935</v>
      </c>
      <c r="F239" s="20" t="s">
        <v>137</v>
      </c>
      <c r="G239" s="26">
        <v>3249.8</v>
      </c>
      <c r="H239" s="26">
        <v>3205.8</v>
      </c>
      <c r="I239" s="203"/>
    </row>
    <row r="240" spans="1:9" ht="31.5" x14ac:dyDescent="0.25">
      <c r="A240" s="25" t="s">
        <v>138</v>
      </c>
      <c r="B240" s="16">
        <v>902</v>
      </c>
      <c r="C240" s="20" t="s">
        <v>251</v>
      </c>
      <c r="D240" s="20" t="s">
        <v>127</v>
      </c>
      <c r="E240" s="20" t="s">
        <v>935</v>
      </c>
      <c r="F240" s="20" t="s">
        <v>139</v>
      </c>
      <c r="G240" s="26">
        <f>G241</f>
        <v>400.6</v>
      </c>
      <c r="H240" s="26">
        <f>H241</f>
        <v>400.6</v>
      </c>
      <c r="I240" s="203"/>
    </row>
    <row r="241" spans="1:12" ht="31.5" x14ac:dyDescent="0.25">
      <c r="A241" s="25" t="s">
        <v>140</v>
      </c>
      <c r="B241" s="16">
        <v>902</v>
      </c>
      <c r="C241" s="20" t="s">
        <v>251</v>
      </c>
      <c r="D241" s="20" t="s">
        <v>127</v>
      </c>
      <c r="E241" s="20" t="s">
        <v>935</v>
      </c>
      <c r="F241" s="20" t="s">
        <v>141</v>
      </c>
      <c r="G241" s="26">
        <v>400.6</v>
      </c>
      <c r="H241" s="26">
        <f t="shared" si="11"/>
        <v>400.6</v>
      </c>
      <c r="I241" s="203"/>
    </row>
    <row r="242" spans="1:12" ht="47.25" x14ac:dyDescent="0.25">
      <c r="A242" s="19" t="s">
        <v>268</v>
      </c>
      <c r="B242" s="19">
        <v>903</v>
      </c>
      <c r="C242" s="20"/>
      <c r="D242" s="20"/>
      <c r="E242" s="20"/>
      <c r="F242" s="20"/>
      <c r="G242" s="21">
        <f>G293+G357+G445+G243+G273+G468</f>
        <v>104757.7</v>
      </c>
      <c r="H242" s="21">
        <f>H293+H357+H445+H243+H273+H468</f>
        <v>106518</v>
      </c>
      <c r="I242" s="203"/>
    </row>
    <row r="243" spans="1:12" ht="15.75" x14ac:dyDescent="0.25">
      <c r="A243" s="23" t="s">
        <v>124</v>
      </c>
      <c r="B243" s="19">
        <v>903</v>
      </c>
      <c r="C243" s="24" t="s">
        <v>125</v>
      </c>
      <c r="D243" s="20"/>
      <c r="E243" s="20"/>
      <c r="F243" s="20"/>
      <c r="G243" s="21">
        <f>G244</f>
        <v>225</v>
      </c>
      <c r="H243" s="21">
        <f>H244</f>
        <v>625</v>
      </c>
      <c r="I243" s="203"/>
    </row>
    <row r="244" spans="1:12" ht="15.75" x14ac:dyDescent="0.25">
      <c r="A244" s="23" t="s">
        <v>146</v>
      </c>
      <c r="B244" s="19">
        <v>903</v>
      </c>
      <c r="C244" s="24" t="s">
        <v>125</v>
      </c>
      <c r="D244" s="24" t="s">
        <v>147</v>
      </c>
      <c r="E244" s="20"/>
      <c r="F244" s="20"/>
      <c r="G244" s="21">
        <f>G245+G251+G268</f>
        <v>225</v>
      </c>
      <c r="H244" s="21">
        <f>H245+H251+H268</f>
        <v>625</v>
      </c>
      <c r="I244" s="203"/>
    </row>
    <row r="245" spans="1:12" ht="47.25" x14ac:dyDescent="0.25">
      <c r="A245" s="23" t="s">
        <v>1383</v>
      </c>
      <c r="B245" s="19">
        <v>903</v>
      </c>
      <c r="C245" s="8" t="s">
        <v>125</v>
      </c>
      <c r="D245" s="8" t="s">
        <v>147</v>
      </c>
      <c r="E245" s="196" t="s">
        <v>351</v>
      </c>
      <c r="F245" s="8"/>
      <c r="G245" s="21">
        <f t="shared" ref="G245:H249" si="17">G246</f>
        <v>200</v>
      </c>
      <c r="H245" s="21">
        <f t="shared" si="17"/>
        <v>500</v>
      </c>
      <c r="I245" s="203"/>
      <c r="L245" s="227"/>
    </row>
    <row r="246" spans="1:12" ht="78.75" x14ac:dyDescent="0.25">
      <c r="A246" s="41" t="s">
        <v>1365</v>
      </c>
      <c r="B246" s="19">
        <v>903</v>
      </c>
      <c r="C246" s="7" t="s">
        <v>125</v>
      </c>
      <c r="D246" s="7" t="s">
        <v>147</v>
      </c>
      <c r="E246" s="7" t="s">
        <v>366</v>
      </c>
      <c r="F246" s="7"/>
      <c r="G246" s="21">
        <f t="shared" si="17"/>
        <v>200</v>
      </c>
      <c r="H246" s="21">
        <f t="shared" si="17"/>
        <v>500</v>
      </c>
      <c r="I246" s="203"/>
    </row>
    <row r="247" spans="1:12" ht="63" x14ac:dyDescent="0.25">
      <c r="A247" s="245" t="s">
        <v>1055</v>
      </c>
      <c r="B247" s="19">
        <v>903</v>
      </c>
      <c r="C247" s="7" t="s">
        <v>125</v>
      </c>
      <c r="D247" s="7" t="s">
        <v>147</v>
      </c>
      <c r="E247" s="7" t="s">
        <v>919</v>
      </c>
      <c r="F247" s="7"/>
      <c r="G247" s="21">
        <f t="shared" si="17"/>
        <v>200</v>
      </c>
      <c r="H247" s="21">
        <f t="shared" si="17"/>
        <v>500</v>
      </c>
      <c r="I247" s="203"/>
    </row>
    <row r="248" spans="1:12" ht="31.5" x14ac:dyDescent="0.25">
      <c r="A248" s="98" t="s">
        <v>1056</v>
      </c>
      <c r="B248" s="16">
        <v>903</v>
      </c>
      <c r="C248" s="40" t="s">
        <v>125</v>
      </c>
      <c r="D248" s="40" t="s">
        <v>147</v>
      </c>
      <c r="E248" s="40" t="s">
        <v>1213</v>
      </c>
      <c r="F248" s="40"/>
      <c r="G248" s="26">
        <f t="shared" si="17"/>
        <v>200</v>
      </c>
      <c r="H248" s="26">
        <f t="shared" si="17"/>
        <v>500</v>
      </c>
      <c r="I248" s="203"/>
    </row>
    <row r="249" spans="1:12" ht="31.5" x14ac:dyDescent="0.25">
      <c r="A249" s="29" t="s">
        <v>138</v>
      </c>
      <c r="B249" s="16">
        <v>903</v>
      </c>
      <c r="C249" s="40" t="s">
        <v>125</v>
      </c>
      <c r="D249" s="40" t="s">
        <v>147</v>
      </c>
      <c r="E249" s="40" t="s">
        <v>1213</v>
      </c>
      <c r="F249" s="40" t="s">
        <v>139</v>
      </c>
      <c r="G249" s="26">
        <f t="shared" si="17"/>
        <v>200</v>
      </c>
      <c r="H249" s="26">
        <f t="shared" si="17"/>
        <v>500</v>
      </c>
      <c r="I249" s="203"/>
    </row>
    <row r="250" spans="1:12" ht="31.5" x14ac:dyDescent="0.25">
      <c r="A250" s="29" t="s">
        <v>140</v>
      </c>
      <c r="B250" s="16">
        <v>903</v>
      </c>
      <c r="C250" s="40" t="s">
        <v>125</v>
      </c>
      <c r="D250" s="40" t="s">
        <v>147</v>
      </c>
      <c r="E250" s="40" t="s">
        <v>1213</v>
      </c>
      <c r="F250" s="40" t="s">
        <v>141</v>
      </c>
      <c r="G250" s="26">
        <v>200</v>
      </c>
      <c r="H250" s="26">
        <v>500</v>
      </c>
      <c r="I250" s="203"/>
    </row>
    <row r="251" spans="1:12" ht="47.25" x14ac:dyDescent="0.25">
      <c r="A251" s="23" t="s">
        <v>1366</v>
      </c>
      <c r="B251" s="19">
        <v>903</v>
      </c>
      <c r="C251" s="24" t="s">
        <v>125</v>
      </c>
      <c r="D251" s="24" t="s">
        <v>147</v>
      </c>
      <c r="E251" s="24" t="s">
        <v>342</v>
      </c>
      <c r="F251" s="24"/>
      <c r="G251" s="21">
        <f>G252</f>
        <v>20</v>
      </c>
      <c r="H251" s="21">
        <f>H252</f>
        <v>120</v>
      </c>
      <c r="I251" s="203"/>
    </row>
    <row r="252" spans="1:12" ht="31.5" x14ac:dyDescent="0.25">
      <c r="A252" s="23" t="s">
        <v>1060</v>
      </c>
      <c r="B252" s="19">
        <v>903</v>
      </c>
      <c r="C252" s="24" t="s">
        <v>125</v>
      </c>
      <c r="D252" s="24" t="s">
        <v>147</v>
      </c>
      <c r="E252" s="24" t="s">
        <v>1061</v>
      </c>
      <c r="F252" s="24"/>
      <c r="G252" s="21">
        <f>G253+G262+G256+G259+G265</f>
        <v>20</v>
      </c>
      <c r="H252" s="21">
        <f>H253+H262+H256+H259+H265</f>
        <v>120</v>
      </c>
      <c r="I252" s="203"/>
    </row>
    <row r="253" spans="1:12" ht="31.5" x14ac:dyDescent="0.25">
      <c r="A253" s="97" t="s">
        <v>343</v>
      </c>
      <c r="B253" s="16">
        <v>903</v>
      </c>
      <c r="C253" s="20" t="s">
        <v>125</v>
      </c>
      <c r="D253" s="20" t="s">
        <v>147</v>
      </c>
      <c r="E253" s="20" t="s">
        <v>1062</v>
      </c>
      <c r="F253" s="20"/>
      <c r="G253" s="26">
        <f>'Пр.4 ведом.21'!G239</f>
        <v>0</v>
      </c>
      <c r="H253" s="26">
        <f>H254</f>
        <v>100</v>
      </c>
      <c r="I253" s="203"/>
    </row>
    <row r="254" spans="1:12" ht="31.5" x14ac:dyDescent="0.25">
      <c r="A254" s="25" t="s">
        <v>138</v>
      </c>
      <c r="B254" s="16">
        <v>903</v>
      </c>
      <c r="C254" s="20" t="s">
        <v>125</v>
      </c>
      <c r="D254" s="20" t="s">
        <v>147</v>
      </c>
      <c r="E254" s="20" t="s">
        <v>1062</v>
      </c>
      <c r="F254" s="20" t="s">
        <v>139</v>
      </c>
      <c r="G254" s="26">
        <f>'Пр.4 ведом.21'!G240</f>
        <v>0</v>
      </c>
      <c r="H254" s="26">
        <f>H255</f>
        <v>100</v>
      </c>
      <c r="I254" s="203"/>
    </row>
    <row r="255" spans="1:12" ht="31.5" x14ac:dyDescent="0.25">
      <c r="A255" s="25" t="s">
        <v>140</v>
      </c>
      <c r="B255" s="16">
        <v>903</v>
      </c>
      <c r="C255" s="20" t="s">
        <v>125</v>
      </c>
      <c r="D255" s="20" t="s">
        <v>147</v>
      </c>
      <c r="E255" s="20" t="s">
        <v>1062</v>
      </c>
      <c r="F255" s="20" t="s">
        <v>141</v>
      </c>
      <c r="G255" s="26">
        <f>'Пр.4 ведом.21'!G241</f>
        <v>0</v>
      </c>
      <c r="H255" s="26">
        <v>100</v>
      </c>
      <c r="I255" s="203"/>
    </row>
    <row r="256" spans="1:12" ht="31.5" hidden="1" x14ac:dyDescent="0.25">
      <c r="A256" s="97" t="s">
        <v>343</v>
      </c>
      <c r="B256" s="16">
        <v>906</v>
      </c>
      <c r="C256" s="20" t="s">
        <v>125</v>
      </c>
      <c r="D256" s="20" t="s">
        <v>147</v>
      </c>
      <c r="E256" s="20" t="s">
        <v>1062</v>
      </c>
      <c r="F256" s="20"/>
      <c r="G256" s="26">
        <f>G257</f>
        <v>0</v>
      </c>
      <c r="H256" s="26">
        <f>H257</f>
        <v>0</v>
      </c>
      <c r="I256" s="203"/>
    </row>
    <row r="257" spans="1:9" ht="31.5" hidden="1" x14ac:dyDescent="0.25">
      <c r="A257" s="25" t="s">
        <v>138</v>
      </c>
      <c r="B257" s="16">
        <v>906</v>
      </c>
      <c r="C257" s="20" t="s">
        <v>125</v>
      </c>
      <c r="D257" s="20" t="s">
        <v>147</v>
      </c>
      <c r="E257" s="20" t="s">
        <v>1062</v>
      </c>
      <c r="F257" s="20" t="s">
        <v>139</v>
      </c>
      <c r="G257" s="26">
        <f>G258</f>
        <v>0</v>
      </c>
      <c r="H257" s="26">
        <f>H258</f>
        <v>0</v>
      </c>
      <c r="I257" s="203"/>
    </row>
    <row r="258" spans="1:9" ht="31.5" hidden="1" x14ac:dyDescent="0.25">
      <c r="A258" s="25" t="s">
        <v>140</v>
      </c>
      <c r="B258" s="16">
        <v>906</v>
      </c>
      <c r="C258" s="20" t="s">
        <v>125</v>
      </c>
      <c r="D258" s="20" t="s">
        <v>147</v>
      </c>
      <c r="E258" s="20" t="s">
        <v>1062</v>
      </c>
      <c r="F258" s="20" t="s">
        <v>141</v>
      </c>
      <c r="G258" s="26">
        <v>0</v>
      </c>
      <c r="H258" s="26">
        <v>0</v>
      </c>
      <c r="I258" s="203"/>
    </row>
    <row r="259" spans="1:9" ht="15.75" hidden="1" x14ac:dyDescent="0.25">
      <c r="A259" s="25" t="s">
        <v>1004</v>
      </c>
      <c r="B259" s="16">
        <v>903</v>
      </c>
      <c r="C259" s="20" t="s">
        <v>125</v>
      </c>
      <c r="D259" s="20" t="s">
        <v>147</v>
      </c>
      <c r="E259" s="20" t="s">
        <v>1065</v>
      </c>
      <c r="F259" s="20"/>
      <c r="G259" s="26">
        <f>'Пр.4 ведом.21'!G248</f>
        <v>0</v>
      </c>
      <c r="H259" s="26">
        <f t="shared" ref="H259:H299" si="18">G259</f>
        <v>0</v>
      </c>
      <c r="I259" s="203"/>
    </row>
    <row r="260" spans="1:9" ht="31.5" hidden="1" x14ac:dyDescent="0.25">
      <c r="A260" s="25" t="s">
        <v>138</v>
      </c>
      <c r="B260" s="16">
        <v>903</v>
      </c>
      <c r="C260" s="20" t="s">
        <v>125</v>
      </c>
      <c r="D260" s="20" t="s">
        <v>147</v>
      </c>
      <c r="E260" s="20" t="s">
        <v>1065</v>
      </c>
      <c r="F260" s="20" t="s">
        <v>139</v>
      </c>
      <c r="G260" s="26">
        <f>'Пр.4 ведом.21'!G249</f>
        <v>0</v>
      </c>
      <c r="H260" s="26">
        <f t="shared" si="18"/>
        <v>0</v>
      </c>
      <c r="I260" s="203"/>
    </row>
    <row r="261" spans="1:9" ht="31.5" hidden="1" x14ac:dyDescent="0.25">
      <c r="A261" s="25" t="s">
        <v>140</v>
      </c>
      <c r="B261" s="16">
        <v>903</v>
      </c>
      <c r="C261" s="20" t="s">
        <v>125</v>
      </c>
      <c r="D261" s="20" t="s">
        <v>147</v>
      </c>
      <c r="E261" s="20" t="s">
        <v>1065</v>
      </c>
      <c r="F261" s="20" t="s">
        <v>141</v>
      </c>
      <c r="G261" s="26">
        <f>'Пр.4 ведом.21'!G250</f>
        <v>0</v>
      </c>
      <c r="H261" s="26">
        <f t="shared" si="18"/>
        <v>0</v>
      </c>
      <c r="I261" s="203"/>
    </row>
    <row r="262" spans="1:9" s="202" customFormat="1" ht="31.5" x14ac:dyDescent="0.25">
      <c r="A262" s="25" t="s">
        <v>345</v>
      </c>
      <c r="B262" s="16">
        <v>903</v>
      </c>
      <c r="C262" s="20" t="s">
        <v>125</v>
      </c>
      <c r="D262" s="20" t="s">
        <v>147</v>
      </c>
      <c r="E262" s="20" t="s">
        <v>1063</v>
      </c>
      <c r="F262" s="20"/>
      <c r="G262" s="26">
        <f>G263</f>
        <v>20</v>
      </c>
      <c r="H262" s="26">
        <f>H263</f>
        <v>20</v>
      </c>
      <c r="I262" s="203"/>
    </row>
    <row r="263" spans="1:9" s="202" customFormat="1" ht="31.5" x14ac:dyDescent="0.25">
      <c r="A263" s="25" t="s">
        <v>138</v>
      </c>
      <c r="B263" s="16">
        <v>903</v>
      </c>
      <c r="C263" s="20" t="s">
        <v>125</v>
      </c>
      <c r="D263" s="20" t="s">
        <v>147</v>
      </c>
      <c r="E263" s="20" t="s">
        <v>1063</v>
      </c>
      <c r="F263" s="20" t="s">
        <v>139</v>
      </c>
      <c r="G263" s="26">
        <f>G264</f>
        <v>20</v>
      </c>
      <c r="H263" s="26">
        <f>H264</f>
        <v>20</v>
      </c>
      <c r="I263" s="203"/>
    </row>
    <row r="264" spans="1:9" s="202" customFormat="1" ht="31.5" x14ac:dyDescent="0.25">
      <c r="A264" s="25" t="s">
        <v>140</v>
      </c>
      <c r="B264" s="16">
        <v>903</v>
      </c>
      <c r="C264" s="20" t="s">
        <v>125</v>
      </c>
      <c r="D264" s="20" t="s">
        <v>147</v>
      </c>
      <c r="E264" s="20" t="s">
        <v>1063</v>
      </c>
      <c r="F264" s="20" t="s">
        <v>141</v>
      </c>
      <c r="G264" s="26">
        <v>20</v>
      </c>
      <c r="H264" s="26">
        <v>20</v>
      </c>
      <c r="I264" s="203"/>
    </row>
    <row r="265" spans="1:9" ht="31.5" hidden="1" x14ac:dyDescent="0.25">
      <c r="A265" s="31" t="s">
        <v>782</v>
      </c>
      <c r="B265" s="16">
        <v>903</v>
      </c>
      <c r="C265" s="20" t="s">
        <v>125</v>
      </c>
      <c r="D265" s="20" t="s">
        <v>147</v>
      </c>
      <c r="E265" s="20" t="s">
        <v>1066</v>
      </c>
      <c r="F265" s="20"/>
      <c r="G265" s="26">
        <f>G266</f>
        <v>0</v>
      </c>
      <c r="H265" s="26">
        <f>H266</f>
        <v>0</v>
      </c>
      <c r="I265" s="203"/>
    </row>
    <row r="266" spans="1:9" ht="31.5" hidden="1" x14ac:dyDescent="0.25">
      <c r="A266" s="25" t="s">
        <v>138</v>
      </c>
      <c r="B266" s="16">
        <v>903</v>
      </c>
      <c r="C266" s="20" t="s">
        <v>125</v>
      </c>
      <c r="D266" s="20" t="s">
        <v>147</v>
      </c>
      <c r="E266" s="20" t="s">
        <v>1066</v>
      </c>
      <c r="F266" s="20" t="s">
        <v>139</v>
      </c>
      <c r="G266" s="26">
        <f>G267</f>
        <v>0</v>
      </c>
      <c r="H266" s="26">
        <f>H267</f>
        <v>0</v>
      </c>
      <c r="I266" s="203"/>
    </row>
    <row r="267" spans="1:9" ht="31.5" hidden="1" x14ac:dyDescent="0.25">
      <c r="A267" s="25" t="s">
        <v>140</v>
      </c>
      <c r="B267" s="16">
        <v>903</v>
      </c>
      <c r="C267" s="20" t="s">
        <v>125</v>
      </c>
      <c r="D267" s="20" t="s">
        <v>147</v>
      </c>
      <c r="E267" s="20" t="s">
        <v>1066</v>
      </c>
      <c r="F267" s="20" t="s">
        <v>141</v>
      </c>
      <c r="G267" s="26">
        <v>0</v>
      </c>
      <c r="H267" s="26">
        <f t="shared" si="18"/>
        <v>0</v>
      </c>
      <c r="I267" s="203"/>
    </row>
    <row r="268" spans="1:9" ht="47.25" x14ac:dyDescent="0.25">
      <c r="A268" s="41" t="s">
        <v>1369</v>
      </c>
      <c r="B268" s="19">
        <v>903</v>
      </c>
      <c r="C268" s="24" t="s">
        <v>125</v>
      </c>
      <c r="D268" s="24" t="s">
        <v>147</v>
      </c>
      <c r="E268" s="24" t="s">
        <v>715</v>
      </c>
      <c r="F268" s="24"/>
      <c r="G268" s="21">
        <f>G270</f>
        <v>5</v>
      </c>
      <c r="H268" s="21">
        <f>H270</f>
        <v>5</v>
      </c>
      <c r="I268" s="203"/>
    </row>
    <row r="269" spans="1:9" ht="47.25" x14ac:dyDescent="0.25">
      <c r="A269" s="206" t="s">
        <v>856</v>
      </c>
      <c r="B269" s="19">
        <v>903</v>
      </c>
      <c r="C269" s="24" t="s">
        <v>125</v>
      </c>
      <c r="D269" s="24" t="s">
        <v>147</v>
      </c>
      <c r="E269" s="24" t="s">
        <v>862</v>
      </c>
      <c r="F269" s="24"/>
      <c r="G269" s="21">
        <f t="shared" ref="G269:H271" si="19">G270</f>
        <v>5</v>
      </c>
      <c r="H269" s="21">
        <f t="shared" si="19"/>
        <v>5</v>
      </c>
      <c r="I269" s="203"/>
    </row>
    <row r="270" spans="1:9" ht="31.5" x14ac:dyDescent="0.25">
      <c r="A270" s="98" t="s">
        <v>786</v>
      </c>
      <c r="B270" s="16">
        <v>903</v>
      </c>
      <c r="C270" s="20" t="s">
        <v>125</v>
      </c>
      <c r="D270" s="20" t="s">
        <v>147</v>
      </c>
      <c r="E270" s="20" t="s">
        <v>857</v>
      </c>
      <c r="F270" s="20"/>
      <c r="G270" s="26">
        <f t="shared" si="19"/>
        <v>5</v>
      </c>
      <c r="H270" s="26">
        <f t="shared" si="19"/>
        <v>5</v>
      </c>
      <c r="I270" s="203"/>
    </row>
    <row r="271" spans="1:9" ht="31.5" x14ac:dyDescent="0.25">
      <c r="A271" s="25" t="s">
        <v>138</v>
      </c>
      <c r="B271" s="16">
        <v>903</v>
      </c>
      <c r="C271" s="20" t="s">
        <v>125</v>
      </c>
      <c r="D271" s="20" t="s">
        <v>147</v>
      </c>
      <c r="E271" s="20" t="s">
        <v>857</v>
      </c>
      <c r="F271" s="20" t="s">
        <v>139</v>
      </c>
      <c r="G271" s="26">
        <f t="shared" si="19"/>
        <v>5</v>
      </c>
      <c r="H271" s="26">
        <f t="shared" si="19"/>
        <v>5</v>
      </c>
      <c r="I271" s="203"/>
    </row>
    <row r="272" spans="1:9" ht="31.5" x14ac:dyDescent="0.25">
      <c r="A272" s="25" t="s">
        <v>140</v>
      </c>
      <c r="B272" s="16">
        <v>903</v>
      </c>
      <c r="C272" s="20" t="s">
        <v>125</v>
      </c>
      <c r="D272" s="20" t="s">
        <v>147</v>
      </c>
      <c r="E272" s="20" t="s">
        <v>857</v>
      </c>
      <c r="F272" s="20" t="s">
        <v>141</v>
      </c>
      <c r="G272" s="26">
        <f>5</f>
        <v>5</v>
      </c>
      <c r="H272" s="26">
        <f t="shared" si="18"/>
        <v>5</v>
      </c>
      <c r="I272" s="203"/>
    </row>
    <row r="273" spans="1:9" ht="15.75" x14ac:dyDescent="0.25">
      <c r="A273" s="212" t="s">
        <v>239</v>
      </c>
      <c r="B273" s="19">
        <v>903</v>
      </c>
      <c r="C273" s="24" t="s">
        <v>157</v>
      </c>
      <c r="D273" s="20"/>
      <c r="E273" s="20"/>
      <c r="F273" s="32"/>
      <c r="G273" s="21">
        <f t="shared" ref="G273:H275" si="20">G274</f>
        <v>260</v>
      </c>
      <c r="H273" s="21">
        <f t="shared" si="20"/>
        <v>260</v>
      </c>
      <c r="I273" s="203"/>
    </row>
    <row r="274" spans="1:9" ht="31.5" x14ac:dyDescent="0.25">
      <c r="A274" s="23" t="s">
        <v>244</v>
      </c>
      <c r="B274" s="19">
        <v>903</v>
      </c>
      <c r="C274" s="24" t="s">
        <v>157</v>
      </c>
      <c r="D274" s="24" t="s">
        <v>245</v>
      </c>
      <c r="E274" s="20"/>
      <c r="F274" s="32"/>
      <c r="G274" s="21">
        <f t="shared" si="20"/>
        <v>260</v>
      </c>
      <c r="H274" s="21">
        <f t="shared" si="20"/>
        <v>260</v>
      </c>
      <c r="I274" s="203"/>
    </row>
    <row r="275" spans="1:9" ht="47.25" x14ac:dyDescent="0.25">
      <c r="A275" s="23" t="s">
        <v>1383</v>
      </c>
      <c r="B275" s="19">
        <v>903</v>
      </c>
      <c r="C275" s="24" t="s">
        <v>157</v>
      </c>
      <c r="D275" s="24" t="s">
        <v>245</v>
      </c>
      <c r="E275" s="24" t="s">
        <v>351</v>
      </c>
      <c r="F275" s="217"/>
      <c r="G275" s="21">
        <f t="shared" si="20"/>
        <v>260</v>
      </c>
      <c r="H275" s="21">
        <f t="shared" si="20"/>
        <v>260</v>
      </c>
      <c r="I275" s="203"/>
    </row>
    <row r="276" spans="1:9" ht="64.5" customHeight="1" x14ac:dyDescent="0.25">
      <c r="A276" s="23" t="s">
        <v>374</v>
      </c>
      <c r="B276" s="19">
        <v>903</v>
      </c>
      <c r="C276" s="24" t="s">
        <v>157</v>
      </c>
      <c r="D276" s="24" t="s">
        <v>245</v>
      </c>
      <c r="E276" s="24" t="s">
        <v>363</v>
      </c>
      <c r="F276" s="24"/>
      <c r="G276" s="21">
        <f>G277+G281+G285+G289</f>
        <v>260</v>
      </c>
      <c r="H276" s="21">
        <f>H277+H281+H285+H289</f>
        <v>260</v>
      </c>
      <c r="I276" s="203"/>
    </row>
    <row r="277" spans="1:9" ht="47.25" hidden="1" x14ac:dyDescent="0.25">
      <c r="A277" s="210" t="s">
        <v>1053</v>
      </c>
      <c r="B277" s="19">
        <v>903</v>
      </c>
      <c r="C277" s="24" t="s">
        <v>157</v>
      </c>
      <c r="D277" s="24" t="s">
        <v>245</v>
      </c>
      <c r="E277" s="24" t="s">
        <v>917</v>
      </c>
      <c r="F277" s="24"/>
      <c r="G277" s="21">
        <f>G278</f>
        <v>0</v>
      </c>
      <c r="H277" s="21">
        <f>H278</f>
        <v>0</v>
      </c>
      <c r="I277" s="203"/>
    </row>
    <row r="278" spans="1:9" ht="47.25" hidden="1" x14ac:dyDescent="0.25">
      <c r="A278" s="25" t="s">
        <v>382</v>
      </c>
      <c r="B278" s="16">
        <v>903</v>
      </c>
      <c r="C278" s="20" t="s">
        <v>157</v>
      </c>
      <c r="D278" s="20" t="s">
        <v>245</v>
      </c>
      <c r="E278" s="20" t="s">
        <v>1331</v>
      </c>
      <c r="F278" s="20"/>
      <c r="G278" s="26">
        <f>'Пр.4 ведом.21'!G264</f>
        <v>0</v>
      </c>
      <c r="H278" s="26">
        <f t="shared" si="18"/>
        <v>0</v>
      </c>
      <c r="I278" s="203"/>
    </row>
    <row r="279" spans="1:9" ht="31.5" hidden="1" x14ac:dyDescent="0.25">
      <c r="A279" s="25" t="s">
        <v>255</v>
      </c>
      <c r="B279" s="16">
        <v>903</v>
      </c>
      <c r="C279" s="20" t="s">
        <v>157</v>
      </c>
      <c r="D279" s="20" t="s">
        <v>245</v>
      </c>
      <c r="E279" s="20" t="s">
        <v>1331</v>
      </c>
      <c r="F279" s="20" t="s">
        <v>256</v>
      </c>
      <c r="G279" s="26">
        <f>'Пр.4 ведом.21'!G265</f>
        <v>0</v>
      </c>
      <c r="H279" s="26">
        <f t="shared" si="18"/>
        <v>0</v>
      </c>
      <c r="I279" s="203"/>
    </row>
    <row r="280" spans="1:9" ht="31.5" hidden="1" x14ac:dyDescent="0.25">
      <c r="A280" s="25" t="s">
        <v>257</v>
      </c>
      <c r="B280" s="16">
        <v>903</v>
      </c>
      <c r="C280" s="20" t="s">
        <v>157</v>
      </c>
      <c r="D280" s="20" t="s">
        <v>245</v>
      </c>
      <c r="E280" s="20" t="s">
        <v>1331</v>
      </c>
      <c r="F280" s="20" t="s">
        <v>258</v>
      </c>
      <c r="G280" s="26">
        <f>'Пр.4 ведом.21'!G266</f>
        <v>0</v>
      </c>
      <c r="H280" s="26">
        <f t="shared" si="18"/>
        <v>0</v>
      </c>
      <c r="I280" s="203"/>
    </row>
    <row r="281" spans="1:9" ht="31.5" x14ac:dyDescent="0.25">
      <c r="A281" s="23" t="s">
        <v>1051</v>
      </c>
      <c r="B281" s="19">
        <v>903</v>
      </c>
      <c r="C281" s="24" t="s">
        <v>157</v>
      </c>
      <c r="D281" s="24" t="s">
        <v>245</v>
      </c>
      <c r="E281" s="24" t="s">
        <v>1214</v>
      </c>
      <c r="F281" s="24"/>
      <c r="G281" s="21">
        <f t="shared" ref="G281:H283" si="21">G282</f>
        <v>260</v>
      </c>
      <c r="H281" s="21">
        <f t="shared" si="21"/>
        <v>260</v>
      </c>
      <c r="I281" s="203"/>
    </row>
    <row r="282" spans="1:9" ht="110.25" x14ac:dyDescent="0.25">
      <c r="A282" s="25" t="s">
        <v>1549</v>
      </c>
      <c r="B282" s="16">
        <v>903</v>
      </c>
      <c r="C282" s="20" t="s">
        <v>157</v>
      </c>
      <c r="D282" s="20" t="s">
        <v>245</v>
      </c>
      <c r="E282" s="20" t="s">
        <v>1215</v>
      </c>
      <c r="F282" s="20"/>
      <c r="G282" s="26">
        <f t="shared" si="21"/>
        <v>260</v>
      </c>
      <c r="H282" s="26">
        <f t="shared" si="21"/>
        <v>260</v>
      </c>
      <c r="I282" s="203"/>
    </row>
    <row r="283" spans="1:9" ht="31.5" x14ac:dyDescent="0.25">
      <c r="A283" s="25" t="s">
        <v>279</v>
      </c>
      <c r="B283" s="16">
        <v>903</v>
      </c>
      <c r="C283" s="20" t="s">
        <v>157</v>
      </c>
      <c r="D283" s="20" t="s">
        <v>245</v>
      </c>
      <c r="E283" s="20" t="s">
        <v>1215</v>
      </c>
      <c r="F283" s="20" t="s">
        <v>280</v>
      </c>
      <c r="G283" s="26">
        <f t="shared" si="21"/>
        <v>260</v>
      </c>
      <c r="H283" s="26">
        <f t="shared" si="21"/>
        <v>260</v>
      </c>
      <c r="I283" s="203"/>
    </row>
    <row r="284" spans="1:9" ht="63" x14ac:dyDescent="0.25">
      <c r="A284" s="25" t="s">
        <v>1100</v>
      </c>
      <c r="B284" s="16">
        <v>903</v>
      </c>
      <c r="C284" s="20" t="s">
        <v>157</v>
      </c>
      <c r="D284" s="20" t="s">
        <v>245</v>
      </c>
      <c r="E284" s="20" t="s">
        <v>1215</v>
      </c>
      <c r="F284" s="20" t="s">
        <v>379</v>
      </c>
      <c r="G284" s="26">
        <f>60+200</f>
        <v>260</v>
      </c>
      <c r="H284" s="26">
        <f t="shared" si="18"/>
        <v>260</v>
      </c>
      <c r="I284" s="203"/>
    </row>
    <row r="285" spans="1:9" ht="31.5" hidden="1" x14ac:dyDescent="0.25">
      <c r="A285" s="23" t="s">
        <v>1005</v>
      </c>
      <c r="B285" s="19">
        <v>903</v>
      </c>
      <c r="C285" s="24" t="s">
        <v>157</v>
      </c>
      <c r="D285" s="24" t="s">
        <v>245</v>
      </c>
      <c r="E285" s="24" t="s">
        <v>1324</v>
      </c>
      <c r="F285" s="24"/>
      <c r="G285" s="21">
        <f>G286</f>
        <v>0</v>
      </c>
      <c r="H285" s="21">
        <f>H286</f>
        <v>0</v>
      </c>
      <c r="I285" s="203"/>
    </row>
    <row r="286" spans="1:9" ht="31.5" hidden="1" x14ac:dyDescent="0.25">
      <c r="A286" s="247" t="s">
        <v>1054</v>
      </c>
      <c r="B286" s="16">
        <v>903</v>
      </c>
      <c r="C286" s="20" t="s">
        <v>157</v>
      </c>
      <c r="D286" s="20" t="s">
        <v>245</v>
      </c>
      <c r="E286" s="20" t="s">
        <v>1325</v>
      </c>
      <c r="F286" s="20"/>
      <c r="G286" s="26">
        <f>'Пр.4 ведом.21'!G272</f>
        <v>0</v>
      </c>
      <c r="H286" s="26">
        <f t="shared" si="18"/>
        <v>0</v>
      </c>
      <c r="I286" s="203"/>
    </row>
    <row r="287" spans="1:9" ht="31.5" hidden="1" x14ac:dyDescent="0.25">
      <c r="A287" s="25" t="s">
        <v>138</v>
      </c>
      <c r="B287" s="16">
        <v>903</v>
      </c>
      <c r="C287" s="20" t="s">
        <v>157</v>
      </c>
      <c r="D287" s="20" t="s">
        <v>245</v>
      </c>
      <c r="E287" s="20" t="s">
        <v>1325</v>
      </c>
      <c r="F287" s="20" t="s">
        <v>139</v>
      </c>
      <c r="G287" s="26">
        <f>'Пр.4 ведом.21'!G273</f>
        <v>0</v>
      </c>
      <c r="H287" s="26">
        <f t="shared" si="18"/>
        <v>0</v>
      </c>
      <c r="I287" s="203"/>
    </row>
    <row r="288" spans="1:9" ht="31.5" hidden="1" x14ac:dyDescent="0.25">
      <c r="A288" s="25" t="s">
        <v>140</v>
      </c>
      <c r="B288" s="16">
        <v>903</v>
      </c>
      <c r="C288" s="20" t="s">
        <v>157</v>
      </c>
      <c r="D288" s="20" t="s">
        <v>245</v>
      </c>
      <c r="E288" s="20" t="s">
        <v>1325</v>
      </c>
      <c r="F288" s="20" t="s">
        <v>141</v>
      </c>
      <c r="G288" s="26">
        <f>'Пр.4 ведом.21'!G274</f>
        <v>0</v>
      </c>
      <c r="H288" s="26">
        <f t="shared" si="18"/>
        <v>0</v>
      </c>
      <c r="I288" s="203"/>
    </row>
    <row r="289" spans="1:9" s="202" customFormat="1" ht="31.5" hidden="1" x14ac:dyDescent="0.25">
      <c r="A289" s="207" t="s">
        <v>1113</v>
      </c>
      <c r="B289" s="19">
        <v>903</v>
      </c>
      <c r="C289" s="24" t="s">
        <v>157</v>
      </c>
      <c r="D289" s="24" t="s">
        <v>245</v>
      </c>
      <c r="E289" s="24" t="s">
        <v>1216</v>
      </c>
      <c r="F289" s="24"/>
      <c r="G289" s="21">
        <f t="shared" ref="G289:H291" si="22">G290</f>
        <v>0</v>
      </c>
      <c r="H289" s="21">
        <f t="shared" si="22"/>
        <v>0</v>
      </c>
      <c r="I289" s="203"/>
    </row>
    <row r="290" spans="1:9" s="202" customFormat="1" ht="31.5" hidden="1" x14ac:dyDescent="0.25">
      <c r="A290" s="226" t="s">
        <v>1114</v>
      </c>
      <c r="B290" s="16">
        <v>903</v>
      </c>
      <c r="C290" s="20" t="s">
        <v>157</v>
      </c>
      <c r="D290" s="20" t="s">
        <v>245</v>
      </c>
      <c r="E290" s="20" t="s">
        <v>1217</v>
      </c>
      <c r="F290" s="20"/>
      <c r="G290" s="26">
        <f t="shared" si="22"/>
        <v>0</v>
      </c>
      <c r="H290" s="26">
        <f t="shared" si="22"/>
        <v>0</v>
      </c>
      <c r="I290" s="203"/>
    </row>
    <row r="291" spans="1:9" s="202" customFormat="1" ht="31.5" hidden="1" x14ac:dyDescent="0.25">
      <c r="A291" s="25" t="s">
        <v>138</v>
      </c>
      <c r="B291" s="16">
        <v>903</v>
      </c>
      <c r="C291" s="20" t="s">
        <v>157</v>
      </c>
      <c r="D291" s="20" t="s">
        <v>245</v>
      </c>
      <c r="E291" s="20" t="s">
        <v>1217</v>
      </c>
      <c r="F291" s="20" t="s">
        <v>139</v>
      </c>
      <c r="G291" s="26">
        <f t="shared" si="22"/>
        <v>0</v>
      </c>
      <c r="H291" s="26">
        <f t="shared" si="22"/>
        <v>0</v>
      </c>
      <c r="I291" s="203"/>
    </row>
    <row r="292" spans="1:9" s="202" customFormat="1" ht="31.5" hidden="1" x14ac:dyDescent="0.25">
      <c r="A292" s="25" t="s">
        <v>140</v>
      </c>
      <c r="B292" s="16">
        <v>903</v>
      </c>
      <c r="C292" s="20" t="s">
        <v>157</v>
      </c>
      <c r="D292" s="20" t="s">
        <v>245</v>
      </c>
      <c r="E292" s="20" t="s">
        <v>1217</v>
      </c>
      <c r="F292" s="20" t="s">
        <v>141</v>
      </c>
      <c r="G292" s="26">
        <v>0</v>
      </c>
      <c r="H292" s="26">
        <v>0</v>
      </c>
      <c r="I292" s="203"/>
    </row>
    <row r="293" spans="1:9" ht="15.75" x14ac:dyDescent="0.25">
      <c r="A293" s="23" t="s">
        <v>270</v>
      </c>
      <c r="B293" s="19">
        <v>903</v>
      </c>
      <c r="C293" s="24" t="s">
        <v>271</v>
      </c>
      <c r="D293" s="20"/>
      <c r="E293" s="20"/>
      <c r="F293" s="20"/>
      <c r="G293" s="21">
        <f>G294+G337</f>
        <v>19986.610000000004</v>
      </c>
      <c r="H293" s="21">
        <f>H294+H337</f>
        <v>20065.210000000003</v>
      </c>
      <c r="I293" s="203"/>
    </row>
    <row r="294" spans="1:9" ht="15.75" x14ac:dyDescent="0.25">
      <c r="A294" s="23" t="s">
        <v>272</v>
      </c>
      <c r="B294" s="19">
        <v>903</v>
      </c>
      <c r="C294" s="24" t="s">
        <v>271</v>
      </c>
      <c r="D294" s="24" t="s">
        <v>222</v>
      </c>
      <c r="E294" s="24"/>
      <c r="F294" s="24"/>
      <c r="G294" s="21">
        <f>G295+G332+G327</f>
        <v>19226.610000000004</v>
      </c>
      <c r="H294" s="21">
        <f>H295+H332+H327</f>
        <v>19240.210000000003</v>
      </c>
      <c r="I294" s="203"/>
    </row>
    <row r="295" spans="1:9" ht="31.5" x14ac:dyDescent="0.25">
      <c r="A295" s="23" t="s">
        <v>1368</v>
      </c>
      <c r="B295" s="19">
        <v>903</v>
      </c>
      <c r="C295" s="24" t="s">
        <v>271</v>
      </c>
      <c r="D295" s="24" t="s">
        <v>222</v>
      </c>
      <c r="E295" s="24" t="s">
        <v>274</v>
      </c>
      <c r="F295" s="24"/>
      <c r="G295" s="21">
        <f>G296+G304+G313+G317</f>
        <v>18730.410000000003</v>
      </c>
      <c r="H295" s="21">
        <f>H296+H304+H313+H317</f>
        <v>18730.410000000003</v>
      </c>
      <c r="I295" s="203"/>
    </row>
    <row r="296" spans="1:9" ht="36" customHeight="1" x14ac:dyDescent="0.25">
      <c r="A296" s="23" t="s">
        <v>905</v>
      </c>
      <c r="B296" s="19">
        <v>903</v>
      </c>
      <c r="C296" s="24" t="s">
        <v>271</v>
      </c>
      <c r="D296" s="24" t="s">
        <v>222</v>
      </c>
      <c r="E296" s="24" t="s">
        <v>1218</v>
      </c>
      <c r="F296" s="24"/>
      <c r="G296" s="44">
        <f>G297</f>
        <v>15854.01</v>
      </c>
      <c r="H296" s="44">
        <f>H297</f>
        <v>15854.01</v>
      </c>
      <c r="I296" s="203"/>
    </row>
    <row r="297" spans="1:9" ht="15.75" x14ac:dyDescent="0.25">
      <c r="A297" s="25" t="s">
        <v>810</v>
      </c>
      <c r="B297" s="16">
        <v>903</v>
      </c>
      <c r="C297" s="20" t="s">
        <v>271</v>
      </c>
      <c r="D297" s="20" t="s">
        <v>222</v>
      </c>
      <c r="E297" s="20" t="s">
        <v>1219</v>
      </c>
      <c r="F297" s="20"/>
      <c r="G297" s="26">
        <f>G298+G300+G303</f>
        <v>15854.01</v>
      </c>
      <c r="H297" s="26">
        <f>H298+H300+H303</f>
        <v>15854.01</v>
      </c>
      <c r="I297" s="203"/>
    </row>
    <row r="298" spans="1:9" ht="78.75" x14ac:dyDescent="0.25">
      <c r="A298" s="25" t="s">
        <v>134</v>
      </c>
      <c r="B298" s="16">
        <v>903</v>
      </c>
      <c r="C298" s="20" t="s">
        <v>271</v>
      </c>
      <c r="D298" s="20" t="s">
        <v>222</v>
      </c>
      <c r="E298" s="20" t="s">
        <v>1219</v>
      </c>
      <c r="F298" s="20" t="s">
        <v>135</v>
      </c>
      <c r="G298" s="26">
        <f>G299</f>
        <v>14172.31</v>
      </c>
      <c r="H298" s="26">
        <f>H299</f>
        <v>14172.31</v>
      </c>
      <c r="I298" s="203"/>
    </row>
    <row r="299" spans="1:9" ht="21.2" customHeight="1" x14ac:dyDescent="0.25">
      <c r="A299" s="46" t="s">
        <v>349</v>
      </c>
      <c r="B299" s="16">
        <v>903</v>
      </c>
      <c r="C299" s="20" t="s">
        <v>271</v>
      </c>
      <c r="D299" s="20" t="s">
        <v>222</v>
      </c>
      <c r="E299" s="20" t="s">
        <v>1219</v>
      </c>
      <c r="F299" s="20" t="s">
        <v>216</v>
      </c>
      <c r="G299" s="26">
        <v>14172.31</v>
      </c>
      <c r="H299" s="26">
        <f t="shared" si="18"/>
        <v>14172.31</v>
      </c>
      <c r="I299" s="203"/>
    </row>
    <row r="300" spans="1:9" ht="31.5" x14ac:dyDescent="0.25">
      <c r="A300" s="25" t="s">
        <v>138</v>
      </c>
      <c r="B300" s="16">
        <v>903</v>
      </c>
      <c r="C300" s="20" t="s">
        <v>271</v>
      </c>
      <c r="D300" s="20" t="s">
        <v>222</v>
      </c>
      <c r="E300" s="20" t="s">
        <v>1219</v>
      </c>
      <c r="F300" s="20" t="s">
        <v>139</v>
      </c>
      <c r="G300" s="26">
        <f>G301</f>
        <v>1603.7</v>
      </c>
      <c r="H300" s="26">
        <f>H301</f>
        <v>1603.7</v>
      </c>
      <c r="I300" s="203"/>
    </row>
    <row r="301" spans="1:9" ht="31.5" x14ac:dyDescent="0.25">
      <c r="A301" s="25" t="s">
        <v>140</v>
      </c>
      <c r="B301" s="16">
        <v>903</v>
      </c>
      <c r="C301" s="20" t="s">
        <v>271</v>
      </c>
      <c r="D301" s="20" t="s">
        <v>222</v>
      </c>
      <c r="E301" s="20" t="s">
        <v>1219</v>
      </c>
      <c r="F301" s="20" t="s">
        <v>141</v>
      </c>
      <c r="G301" s="26">
        <v>1603.7</v>
      </c>
      <c r="H301" s="26">
        <f t="shared" ref="H301:H365" si="23">G301</f>
        <v>1603.7</v>
      </c>
      <c r="I301" s="203"/>
    </row>
    <row r="302" spans="1:9" ht="15.75" x14ac:dyDescent="0.25">
      <c r="A302" s="25" t="s">
        <v>142</v>
      </c>
      <c r="B302" s="16">
        <v>903</v>
      </c>
      <c r="C302" s="20" t="s">
        <v>271</v>
      </c>
      <c r="D302" s="20" t="s">
        <v>222</v>
      </c>
      <c r="E302" s="20" t="s">
        <v>1219</v>
      </c>
      <c r="F302" s="20" t="s">
        <v>152</v>
      </c>
      <c r="G302" s="26">
        <f>G303</f>
        <v>78</v>
      </c>
      <c r="H302" s="26">
        <f>H303</f>
        <v>78</v>
      </c>
      <c r="I302" s="203"/>
    </row>
    <row r="303" spans="1:9" ht="15.75" x14ac:dyDescent="0.25">
      <c r="A303" s="25" t="s">
        <v>714</v>
      </c>
      <c r="B303" s="16">
        <v>903</v>
      </c>
      <c r="C303" s="20" t="s">
        <v>271</v>
      </c>
      <c r="D303" s="20" t="s">
        <v>222</v>
      </c>
      <c r="E303" s="20" t="s">
        <v>1219</v>
      </c>
      <c r="F303" s="20" t="s">
        <v>145</v>
      </c>
      <c r="G303" s="26">
        <f>78</f>
        <v>78</v>
      </c>
      <c r="H303" s="26">
        <f t="shared" si="23"/>
        <v>78</v>
      </c>
      <c r="I303" s="203"/>
    </row>
    <row r="304" spans="1:9" ht="31.5" x14ac:dyDescent="0.25">
      <c r="A304" s="211" t="s">
        <v>1317</v>
      </c>
      <c r="B304" s="19">
        <v>903</v>
      </c>
      <c r="C304" s="24" t="s">
        <v>271</v>
      </c>
      <c r="D304" s="24" t="s">
        <v>222</v>
      </c>
      <c r="E304" s="24" t="s">
        <v>1220</v>
      </c>
      <c r="F304" s="24"/>
      <c r="G304" s="44">
        <f>G305+G308</f>
        <v>1295</v>
      </c>
      <c r="H304" s="44">
        <f>H305+H308</f>
        <v>1295</v>
      </c>
      <c r="I304" s="203"/>
    </row>
    <row r="305" spans="1:9" ht="39.200000000000003" customHeight="1" x14ac:dyDescent="0.25">
      <c r="A305" s="197" t="s">
        <v>809</v>
      </c>
      <c r="B305" s="16">
        <v>903</v>
      </c>
      <c r="C305" s="20" t="s">
        <v>271</v>
      </c>
      <c r="D305" s="20" t="s">
        <v>222</v>
      </c>
      <c r="E305" s="20" t="s">
        <v>1221</v>
      </c>
      <c r="F305" s="20"/>
      <c r="G305" s="26">
        <f t="shared" ref="G305:H306" si="24">G306</f>
        <v>45</v>
      </c>
      <c r="H305" s="26">
        <f t="shared" si="24"/>
        <v>45</v>
      </c>
      <c r="I305" s="203"/>
    </row>
    <row r="306" spans="1:9" ht="20.25" customHeight="1" x14ac:dyDescent="0.25">
      <c r="A306" s="25" t="s">
        <v>255</v>
      </c>
      <c r="B306" s="16">
        <v>903</v>
      </c>
      <c r="C306" s="20" t="s">
        <v>271</v>
      </c>
      <c r="D306" s="20" t="s">
        <v>222</v>
      </c>
      <c r="E306" s="20" t="s">
        <v>1221</v>
      </c>
      <c r="F306" s="20" t="s">
        <v>256</v>
      </c>
      <c r="G306" s="26">
        <f t="shared" si="24"/>
        <v>45</v>
      </c>
      <c r="H306" s="26">
        <f t="shared" si="24"/>
        <v>45</v>
      </c>
      <c r="I306" s="203"/>
    </row>
    <row r="307" spans="1:9" ht="15.75" x14ac:dyDescent="0.25">
      <c r="A307" s="25" t="s">
        <v>830</v>
      </c>
      <c r="B307" s="16">
        <v>903</v>
      </c>
      <c r="C307" s="20" t="s">
        <v>271</v>
      </c>
      <c r="D307" s="20" t="s">
        <v>222</v>
      </c>
      <c r="E307" s="20" t="s">
        <v>1221</v>
      </c>
      <c r="F307" s="20" t="s">
        <v>829</v>
      </c>
      <c r="G307" s="26">
        <f>45</f>
        <v>45</v>
      </c>
      <c r="H307" s="26">
        <f t="shared" si="23"/>
        <v>45</v>
      </c>
      <c r="I307" s="203"/>
    </row>
    <row r="308" spans="1:9" ht="31.5" x14ac:dyDescent="0.25">
      <c r="A308" s="31" t="s">
        <v>826</v>
      </c>
      <c r="B308" s="16">
        <v>903</v>
      </c>
      <c r="C308" s="20" t="s">
        <v>271</v>
      </c>
      <c r="D308" s="20" t="s">
        <v>222</v>
      </c>
      <c r="E308" s="20" t="s">
        <v>1222</v>
      </c>
      <c r="F308" s="20"/>
      <c r="G308" s="26">
        <f t="shared" ref="G308:H309" si="25">G309</f>
        <v>1250</v>
      </c>
      <c r="H308" s="26">
        <f t="shared" si="25"/>
        <v>1250</v>
      </c>
      <c r="I308" s="203"/>
    </row>
    <row r="309" spans="1:9" ht="78.75" x14ac:dyDescent="0.25">
      <c r="A309" s="25" t="s">
        <v>134</v>
      </c>
      <c r="B309" s="16">
        <v>903</v>
      </c>
      <c r="C309" s="20" t="s">
        <v>271</v>
      </c>
      <c r="D309" s="20" t="s">
        <v>222</v>
      </c>
      <c r="E309" s="20" t="s">
        <v>1222</v>
      </c>
      <c r="F309" s="20" t="s">
        <v>135</v>
      </c>
      <c r="G309" s="26">
        <f t="shared" si="25"/>
        <v>1250</v>
      </c>
      <c r="H309" s="26">
        <f t="shared" si="25"/>
        <v>1250</v>
      </c>
      <c r="I309" s="203"/>
    </row>
    <row r="310" spans="1:9" ht="24" customHeight="1" x14ac:dyDescent="0.25">
      <c r="A310" s="46" t="s">
        <v>349</v>
      </c>
      <c r="B310" s="16">
        <v>903</v>
      </c>
      <c r="C310" s="20" t="s">
        <v>271</v>
      </c>
      <c r="D310" s="20" t="s">
        <v>222</v>
      </c>
      <c r="E310" s="20" t="s">
        <v>1222</v>
      </c>
      <c r="F310" s="20" t="s">
        <v>216</v>
      </c>
      <c r="G310" s="26">
        <f>250+1000</f>
        <v>1250</v>
      </c>
      <c r="H310" s="26">
        <f t="shared" si="23"/>
        <v>1250</v>
      </c>
      <c r="I310" s="203"/>
    </row>
    <row r="311" spans="1:9" ht="31.5" hidden="1" x14ac:dyDescent="0.25">
      <c r="A311" s="25" t="s">
        <v>138</v>
      </c>
      <c r="B311" s="16">
        <v>903</v>
      </c>
      <c r="C311" s="20" t="s">
        <v>271</v>
      </c>
      <c r="D311" s="20" t="s">
        <v>222</v>
      </c>
      <c r="E311" s="20" t="s">
        <v>897</v>
      </c>
      <c r="F311" s="20" t="s">
        <v>139</v>
      </c>
      <c r="G311" s="26">
        <f>'Пр.4 ведом.21'!G300</f>
        <v>0</v>
      </c>
      <c r="H311" s="26">
        <f t="shared" si="23"/>
        <v>0</v>
      </c>
      <c r="I311" s="203"/>
    </row>
    <row r="312" spans="1:9" ht="31.5" hidden="1" x14ac:dyDescent="0.25">
      <c r="A312" s="25" t="s">
        <v>140</v>
      </c>
      <c r="B312" s="16">
        <v>903</v>
      </c>
      <c r="C312" s="20" t="s">
        <v>271</v>
      </c>
      <c r="D312" s="20" t="s">
        <v>222</v>
      </c>
      <c r="E312" s="20" t="s">
        <v>897</v>
      </c>
      <c r="F312" s="20" t="s">
        <v>141</v>
      </c>
      <c r="G312" s="26">
        <f>'Пр.4 ведом.21'!G301</f>
        <v>0</v>
      </c>
      <c r="H312" s="26">
        <f t="shared" si="23"/>
        <v>0</v>
      </c>
      <c r="I312" s="203"/>
    </row>
    <row r="313" spans="1:9" ht="31.5" x14ac:dyDescent="0.25">
      <c r="A313" s="23" t="s">
        <v>957</v>
      </c>
      <c r="B313" s="19">
        <v>903</v>
      </c>
      <c r="C313" s="24" t="s">
        <v>271</v>
      </c>
      <c r="D313" s="24" t="s">
        <v>222</v>
      </c>
      <c r="E313" s="24" t="s">
        <v>1223</v>
      </c>
      <c r="F313" s="24"/>
      <c r="G313" s="44">
        <f t="shared" ref="G313:H315" si="26">G314</f>
        <v>506</v>
      </c>
      <c r="H313" s="44">
        <f t="shared" si="26"/>
        <v>506</v>
      </c>
      <c r="I313" s="203"/>
    </row>
    <row r="314" spans="1:9" ht="47.25" x14ac:dyDescent="0.25">
      <c r="A314" s="25" t="s">
        <v>849</v>
      </c>
      <c r="B314" s="16">
        <v>903</v>
      </c>
      <c r="C314" s="20" t="s">
        <v>271</v>
      </c>
      <c r="D314" s="20" t="s">
        <v>222</v>
      </c>
      <c r="E314" s="20" t="s">
        <v>1224</v>
      </c>
      <c r="F314" s="20"/>
      <c r="G314" s="26">
        <f t="shared" si="26"/>
        <v>506</v>
      </c>
      <c r="H314" s="26">
        <f t="shared" si="26"/>
        <v>506</v>
      </c>
      <c r="I314" s="203"/>
    </row>
    <row r="315" spans="1:9" ht="78.75" x14ac:dyDescent="0.25">
      <c r="A315" s="25" t="s">
        <v>134</v>
      </c>
      <c r="B315" s="16">
        <v>903</v>
      </c>
      <c r="C315" s="20" t="s">
        <v>271</v>
      </c>
      <c r="D315" s="20" t="s">
        <v>222</v>
      </c>
      <c r="E315" s="20" t="s">
        <v>1224</v>
      </c>
      <c r="F315" s="20" t="s">
        <v>135</v>
      </c>
      <c r="G315" s="26">
        <f t="shared" si="26"/>
        <v>506</v>
      </c>
      <c r="H315" s="26">
        <f t="shared" si="26"/>
        <v>506</v>
      </c>
      <c r="I315" s="203"/>
    </row>
    <row r="316" spans="1:9" ht="31.5" x14ac:dyDescent="0.25">
      <c r="A316" s="25" t="s">
        <v>349</v>
      </c>
      <c r="B316" s="16">
        <v>903</v>
      </c>
      <c r="C316" s="20" t="s">
        <v>271</v>
      </c>
      <c r="D316" s="20" t="s">
        <v>222</v>
      </c>
      <c r="E316" s="20" t="s">
        <v>1224</v>
      </c>
      <c r="F316" s="20" t="s">
        <v>216</v>
      </c>
      <c r="G316" s="26">
        <v>506</v>
      </c>
      <c r="H316" s="26">
        <f t="shared" si="23"/>
        <v>506</v>
      </c>
      <c r="I316" s="203"/>
    </row>
    <row r="317" spans="1:9" ht="47.25" x14ac:dyDescent="0.25">
      <c r="A317" s="23" t="s">
        <v>910</v>
      </c>
      <c r="B317" s="19">
        <v>903</v>
      </c>
      <c r="C317" s="24" t="s">
        <v>271</v>
      </c>
      <c r="D317" s="24" t="s">
        <v>222</v>
      </c>
      <c r="E317" s="24" t="s">
        <v>1225</v>
      </c>
      <c r="F317" s="24"/>
      <c r="G317" s="44">
        <f>G321+G324+G318</f>
        <v>1075.4000000000001</v>
      </c>
      <c r="H317" s="44">
        <f>H321+H324+H318</f>
        <v>1075.4000000000001</v>
      </c>
      <c r="I317" s="203"/>
    </row>
    <row r="318" spans="1:9" s="202" customFormat="1" ht="94.5" x14ac:dyDescent="0.25">
      <c r="A318" s="31" t="s">
        <v>300</v>
      </c>
      <c r="B318" s="16">
        <v>903</v>
      </c>
      <c r="C318" s="20" t="s">
        <v>271</v>
      </c>
      <c r="D318" s="20" t="s">
        <v>222</v>
      </c>
      <c r="E318" s="20" t="s">
        <v>1420</v>
      </c>
      <c r="F318" s="20"/>
      <c r="G318" s="26">
        <f>G319</f>
        <v>671</v>
      </c>
      <c r="H318" s="26">
        <f>H319</f>
        <v>671</v>
      </c>
      <c r="I318" s="203"/>
    </row>
    <row r="319" spans="1:9" s="202" customFormat="1" ht="78.75" x14ac:dyDescent="0.25">
      <c r="A319" s="25" t="s">
        <v>134</v>
      </c>
      <c r="B319" s="16">
        <v>903</v>
      </c>
      <c r="C319" s="20" t="s">
        <v>271</v>
      </c>
      <c r="D319" s="20" t="s">
        <v>222</v>
      </c>
      <c r="E319" s="20" t="s">
        <v>1420</v>
      </c>
      <c r="F319" s="20" t="s">
        <v>135</v>
      </c>
      <c r="G319" s="26">
        <f>G320</f>
        <v>671</v>
      </c>
      <c r="H319" s="26">
        <f>H320</f>
        <v>671</v>
      </c>
      <c r="I319" s="203"/>
    </row>
    <row r="320" spans="1:9" s="202" customFormat="1" ht="31.5" x14ac:dyDescent="0.25">
      <c r="A320" s="46" t="s">
        <v>349</v>
      </c>
      <c r="B320" s="16">
        <v>903</v>
      </c>
      <c r="C320" s="20" t="s">
        <v>271</v>
      </c>
      <c r="D320" s="20" t="s">
        <v>222</v>
      </c>
      <c r="E320" s="20" t="s">
        <v>1420</v>
      </c>
      <c r="F320" s="20" t="s">
        <v>216</v>
      </c>
      <c r="G320" s="26">
        <v>671</v>
      </c>
      <c r="H320" s="26">
        <f>G320</f>
        <v>671</v>
      </c>
      <c r="I320" s="203"/>
    </row>
    <row r="321" spans="1:9" ht="63" x14ac:dyDescent="0.25">
      <c r="A321" s="31" t="s">
        <v>296</v>
      </c>
      <c r="B321" s="16">
        <v>903</v>
      </c>
      <c r="C321" s="20" t="s">
        <v>271</v>
      </c>
      <c r="D321" s="20" t="s">
        <v>222</v>
      </c>
      <c r="E321" s="20" t="s">
        <v>1226</v>
      </c>
      <c r="F321" s="20"/>
      <c r="G321" s="26">
        <f>G322</f>
        <v>106</v>
      </c>
      <c r="H321" s="26">
        <f>H322</f>
        <v>106</v>
      </c>
      <c r="I321" s="203"/>
    </row>
    <row r="322" spans="1:9" ht="78.75" x14ac:dyDescent="0.25">
      <c r="A322" s="25" t="s">
        <v>134</v>
      </c>
      <c r="B322" s="16">
        <v>903</v>
      </c>
      <c r="C322" s="20" t="s">
        <v>271</v>
      </c>
      <c r="D322" s="20" t="s">
        <v>222</v>
      </c>
      <c r="E322" s="20" t="s">
        <v>1226</v>
      </c>
      <c r="F322" s="20" t="s">
        <v>135</v>
      </c>
      <c r="G322" s="26">
        <f>G323</f>
        <v>106</v>
      </c>
      <c r="H322" s="26">
        <f>H323</f>
        <v>106</v>
      </c>
      <c r="I322" s="203"/>
    </row>
    <row r="323" spans="1:9" ht="31.5" x14ac:dyDescent="0.25">
      <c r="A323" s="46" t="s">
        <v>349</v>
      </c>
      <c r="B323" s="16">
        <v>903</v>
      </c>
      <c r="C323" s="20" t="s">
        <v>271</v>
      </c>
      <c r="D323" s="20" t="s">
        <v>222</v>
      </c>
      <c r="E323" s="20" t="s">
        <v>1226</v>
      </c>
      <c r="F323" s="20" t="s">
        <v>216</v>
      </c>
      <c r="G323" s="26">
        <v>106</v>
      </c>
      <c r="H323" s="26">
        <f t="shared" si="23"/>
        <v>106</v>
      </c>
      <c r="I323" s="203"/>
    </row>
    <row r="324" spans="1:9" ht="63" x14ac:dyDescent="0.25">
      <c r="A324" s="31" t="s">
        <v>298</v>
      </c>
      <c r="B324" s="16">
        <v>903</v>
      </c>
      <c r="C324" s="20" t="s">
        <v>271</v>
      </c>
      <c r="D324" s="20" t="s">
        <v>222</v>
      </c>
      <c r="E324" s="20" t="s">
        <v>1227</v>
      </c>
      <c r="F324" s="20"/>
      <c r="G324" s="26">
        <f>G325</f>
        <v>298.39999999999998</v>
      </c>
      <c r="H324" s="26">
        <f t="shared" si="23"/>
        <v>298.39999999999998</v>
      </c>
      <c r="I324" s="203"/>
    </row>
    <row r="325" spans="1:9" ht="78.75" x14ac:dyDescent="0.25">
      <c r="A325" s="25" t="s">
        <v>134</v>
      </c>
      <c r="B325" s="16">
        <v>903</v>
      </c>
      <c r="C325" s="20" t="s">
        <v>271</v>
      </c>
      <c r="D325" s="20" t="s">
        <v>222</v>
      </c>
      <c r="E325" s="20" t="s">
        <v>1227</v>
      </c>
      <c r="F325" s="20" t="s">
        <v>135</v>
      </c>
      <c r="G325" s="26">
        <f>G326</f>
        <v>298.39999999999998</v>
      </c>
      <c r="H325" s="26">
        <f>H326</f>
        <v>298.39999999999998</v>
      </c>
      <c r="I325" s="203"/>
    </row>
    <row r="326" spans="1:9" ht="31.5" x14ac:dyDescent="0.25">
      <c r="A326" s="46" t="s">
        <v>349</v>
      </c>
      <c r="B326" s="16">
        <v>903</v>
      </c>
      <c r="C326" s="20" t="s">
        <v>271</v>
      </c>
      <c r="D326" s="20" t="s">
        <v>222</v>
      </c>
      <c r="E326" s="20" t="s">
        <v>1227</v>
      </c>
      <c r="F326" s="20" t="s">
        <v>216</v>
      </c>
      <c r="G326" s="26">
        <f>298.4</f>
        <v>298.39999999999998</v>
      </c>
      <c r="H326" s="26">
        <f t="shared" si="23"/>
        <v>298.39999999999998</v>
      </c>
      <c r="I326" s="203"/>
    </row>
    <row r="327" spans="1:9" s="202" customFormat="1" ht="47.25" x14ac:dyDescent="0.25">
      <c r="A327" s="34" t="s">
        <v>1235</v>
      </c>
      <c r="B327" s="19">
        <v>903</v>
      </c>
      <c r="C327" s="24" t="s">
        <v>271</v>
      </c>
      <c r="D327" s="24" t="s">
        <v>222</v>
      </c>
      <c r="E327" s="24" t="s">
        <v>331</v>
      </c>
      <c r="F327" s="24"/>
      <c r="G327" s="21">
        <f>G329</f>
        <v>6</v>
      </c>
      <c r="H327" s="21">
        <f>H329</f>
        <v>0</v>
      </c>
      <c r="I327" s="203"/>
    </row>
    <row r="328" spans="1:9" s="202" customFormat="1" ht="63" x14ac:dyDescent="0.25">
      <c r="A328" s="34" t="s">
        <v>1035</v>
      </c>
      <c r="B328" s="19">
        <v>903</v>
      </c>
      <c r="C328" s="24" t="s">
        <v>271</v>
      </c>
      <c r="D328" s="24" t="s">
        <v>222</v>
      </c>
      <c r="E328" s="24" t="s">
        <v>944</v>
      </c>
      <c r="F328" s="24"/>
      <c r="G328" s="21">
        <f>G331</f>
        <v>6</v>
      </c>
      <c r="H328" s="21">
        <f>H331</f>
        <v>0</v>
      </c>
      <c r="I328" s="203"/>
    </row>
    <row r="329" spans="1:9" s="202" customFormat="1" ht="47.25" x14ac:dyDescent="0.25">
      <c r="A329" s="31" t="s">
        <v>1091</v>
      </c>
      <c r="B329" s="16">
        <v>903</v>
      </c>
      <c r="C329" s="20" t="s">
        <v>271</v>
      </c>
      <c r="D329" s="20" t="s">
        <v>222</v>
      </c>
      <c r="E329" s="20" t="s">
        <v>1036</v>
      </c>
      <c r="F329" s="20"/>
      <c r="G329" s="26">
        <f>G330</f>
        <v>6</v>
      </c>
      <c r="H329" s="26">
        <f>H330</f>
        <v>0</v>
      </c>
      <c r="I329" s="203"/>
    </row>
    <row r="330" spans="1:9" s="202" customFormat="1" ht="31.5" x14ac:dyDescent="0.25">
      <c r="A330" s="25" t="s">
        <v>138</v>
      </c>
      <c r="B330" s="16">
        <v>903</v>
      </c>
      <c r="C330" s="20" t="s">
        <v>271</v>
      </c>
      <c r="D330" s="20" t="s">
        <v>222</v>
      </c>
      <c r="E330" s="20" t="s">
        <v>1036</v>
      </c>
      <c r="F330" s="20" t="s">
        <v>139</v>
      </c>
      <c r="G330" s="26">
        <f>G331</f>
        <v>6</v>
      </c>
      <c r="H330" s="26">
        <f>H331</f>
        <v>0</v>
      </c>
      <c r="I330" s="203"/>
    </row>
    <row r="331" spans="1:9" s="202" customFormat="1" ht="31.5" x14ac:dyDescent="0.25">
      <c r="A331" s="25" t="s">
        <v>140</v>
      </c>
      <c r="B331" s="16">
        <v>903</v>
      </c>
      <c r="C331" s="20" t="s">
        <v>271</v>
      </c>
      <c r="D331" s="20" t="s">
        <v>222</v>
      </c>
      <c r="E331" s="20" t="s">
        <v>1036</v>
      </c>
      <c r="F331" s="20" t="s">
        <v>141</v>
      </c>
      <c r="G331" s="26">
        <v>6</v>
      </c>
      <c r="H331" s="26">
        <v>0</v>
      </c>
      <c r="I331" s="203"/>
    </row>
    <row r="332" spans="1:9" ht="47.25" x14ac:dyDescent="0.25">
      <c r="A332" s="41" t="s">
        <v>1369</v>
      </c>
      <c r="B332" s="19">
        <v>903</v>
      </c>
      <c r="C332" s="24" t="s">
        <v>271</v>
      </c>
      <c r="D332" s="24" t="s">
        <v>222</v>
      </c>
      <c r="E332" s="24" t="s">
        <v>715</v>
      </c>
      <c r="F332" s="24"/>
      <c r="G332" s="21">
        <f>G334</f>
        <v>490.2</v>
      </c>
      <c r="H332" s="21">
        <f>H334</f>
        <v>509.8</v>
      </c>
      <c r="I332" s="203"/>
    </row>
    <row r="333" spans="1:9" ht="47.25" x14ac:dyDescent="0.25">
      <c r="A333" s="41" t="s">
        <v>900</v>
      </c>
      <c r="B333" s="19">
        <v>903</v>
      </c>
      <c r="C333" s="24" t="s">
        <v>271</v>
      </c>
      <c r="D333" s="24" t="s">
        <v>222</v>
      </c>
      <c r="E333" s="24" t="s">
        <v>898</v>
      </c>
      <c r="F333" s="24"/>
      <c r="G333" s="21">
        <f t="shared" ref="G333:H335" si="27">G334</f>
        <v>490.2</v>
      </c>
      <c r="H333" s="21">
        <f t="shared" si="27"/>
        <v>509.8</v>
      </c>
      <c r="I333" s="203"/>
    </row>
    <row r="334" spans="1:9" ht="47.25" x14ac:dyDescent="0.25">
      <c r="A334" s="98" t="s">
        <v>1014</v>
      </c>
      <c r="B334" s="20" t="s">
        <v>635</v>
      </c>
      <c r="C334" s="20" t="s">
        <v>271</v>
      </c>
      <c r="D334" s="20" t="s">
        <v>222</v>
      </c>
      <c r="E334" s="20" t="s">
        <v>899</v>
      </c>
      <c r="F334" s="32"/>
      <c r="G334" s="26">
        <f t="shared" si="27"/>
        <v>490.2</v>
      </c>
      <c r="H334" s="26">
        <f t="shared" si="27"/>
        <v>509.8</v>
      </c>
      <c r="I334" s="203"/>
    </row>
    <row r="335" spans="1:9" ht="31.5" x14ac:dyDescent="0.25">
      <c r="A335" s="25" t="s">
        <v>138</v>
      </c>
      <c r="B335" s="16">
        <v>903</v>
      </c>
      <c r="C335" s="20" t="s">
        <v>271</v>
      </c>
      <c r="D335" s="20" t="s">
        <v>222</v>
      </c>
      <c r="E335" s="20" t="s">
        <v>899</v>
      </c>
      <c r="F335" s="32" t="s">
        <v>139</v>
      </c>
      <c r="G335" s="26">
        <f t="shared" si="27"/>
        <v>490.2</v>
      </c>
      <c r="H335" s="26">
        <f t="shared" si="27"/>
        <v>509.8</v>
      </c>
      <c r="I335" s="203"/>
    </row>
    <row r="336" spans="1:9" ht="31.5" x14ac:dyDescent="0.25">
      <c r="A336" s="25" t="s">
        <v>140</v>
      </c>
      <c r="B336" s="16">
        <v>903</v>
      </c>
      <c r="C336" s="20" t="s">
        <v>271</v>
      </c>
      <c r="D336" s="20" t="s">
        <v>222</v>
      </c>
      <c r="E336" s="20" t="s">
        <v>899</v>
      </c>
      <c r="F336" s="32" t="s">
        <v>141</v>
      </c>
      <c r="G336" s="26">
        <v>490.2</v>
      </c>
      <c r="H336" s="26">
        <v>509.8</v>
      </c>
      <c r="I336" s="203"/>
    </row>
    <row r="337" spans="1:9" ht="15.75" x14ac:dyDescent="0.25">
      <c r="A337" s="23" t="s">
        <v>473</v>
      </c>
      <c r="B337" s="19">
        <v>903</v>
      </c>
      <c r="C337" s="24" t="s">
        <v>271</v>
      </c>
      <c r="D337" s="24" t="s">
        <v>271</v>
      </c>
      <c r="E337" s="20"/>
      <c r="F337" s="20"/>
      <c r="G337" s="21">
        <f>G338</f>
        <v>760</v>
      </c>
      <c r="H337" s="21">
        <f>H338</f>
        <v>825</v>
      </c>
      <c r="I337" s="203"/>
    </row>
    <row r="338" spans="1:9" ht="47.25" x14ac:dyDescent="0.25">
      <c r="A338" s="23" t="s">
        <v>1383</v>
      </c>
      <c r="B338" s="19">
        <v>903</v>
      </c>
      <c r="C338" s="24" t="s">
        <v>271</v>
      </c>
      <c r="D338" s="24" t="s">
        <v>271</v>
      </c>
      <c r="E338" s="24" t="s">
        <v>351</v>
      </c>
      <c r="F338" s="24"/>
      <c r="G338" s="21">
        <f>G339</f>
        <v>760</v>
      </c>
      <c r="H338" s="21">
        <f>H339</f>
        <v>825</v>
      </c>
      <c r="I338" s="203"/>
    </row>
    <row r="339" spans="1:9" ht="31.5" x14ac:dyDescent="0.25">
      <c r="A339" s="23" t="s">
        <v>352</v>
      </c>
      <c r="B339" s="19">
        <v>903</v>
      </c>
      <c r="C339" s="24" t="s">
        <v>271</v>
      </c>
      <c r="D339" s="24" t="s">
        <v>271</v>
      </c>
      <c r="E339" s="24" t="s">
        <v>353</v>
      </c>
      <c r="F339" s="24"/>
      <c r="G339" s="21">
        <f>G340+G347+G353</f>
        <v>760</v>
      </c>
      <c r="H339" s="21">
        <f>H340+H347+H353</f>
        <v>825</v>
      </c>
      <c r="I339" s="203"/>
    </row>
    <row r="340" spans="1:9" ht="47.25" x14ac:dyDescent="0.25">
      <c r="A340" s="206" t="s">
        <v>1039</v>
      </c>
      <c r="B340" s="19">
        <v>903</v>
      </c>
      <c r="C340" s="24" t="s">
        <v>271</v>
      </c>
      <c r="D340" s="24" t="s">
        <v>271</v>
      </c>
      <c r="E340" s="24" t="s">
        <v>902</v>
      </c>
      <c r="F340" s="24"/>
      <c r="G340" s="21">
        <f>G341+G344</f>
        <v>280</v>
      </c>
      <c r="H340" s="21">
        <f>H341+H344</f>
        <v>280</v>
      </c>
      <c r="I340" s="203"/>
    </row>
    <row r="341" spans="1:9" ht="31.5" x14ac:dyDescent="0.25">
      <c r="A341" s="98" t="s">
        <v>1045</v>
      </c>
      <c r="B341" s="16">
        <v>903</v>
      </c>
      <c r="C341" s="20" t="s">
        <v>271</v>
      </c>
      <c r="D341" s="20" t="s">
        <v>271</v>
      </c>
      <c r="E341" s="20" t="s">
        <v>903</v>
      </c>
      <c r="F341" s="20"/>
      <c r="G341" s="26">
        <f>G342</f>
        <v>280</v>
      </c>
      <c r="H341" s="26">
        <f>H342</f>
        <v>280</v>
      </c>
      <c r="I341" s="203"/>
    </row>
    <row r="342" spans="1:9" ht="78.75" x14ac:dyDescent="0.25">
      <c r="A342" s="25" t="s">
        <v>134</v>
      </c>
      <c r="B342" s="16">
        <v>903</v>
      </c>
      <c r="C342" s="20" t="s">
        <v>271</v>
      </c>
      <c r="D342" s="20" t="s">
        <v>271</v>
      </c>
      <c r="E342" s="20" t="s">
        <v>903</v>
      </c>
      <c r="F342" s="20" t="s">
        <v>135</v>
      </c>
      <c r="G342" s="26">
        <f>G343</f>
        <v>280</v>
      </c>
      <c r="H342" s="26">
        <f>H343</f>
        <v>280</v>
      </c>
      <c r="I342" s="203"/>
    </row>
    <row r="343" spans="1:9" ht="31.5" x14ac:dyDescent="0.25">
      <c r="A343" s="25" t="s">
        <v>349</v>
      </c>
      <c r="B343" s="16">
        <v>903</v>
      </c>
      <c r="C343" s="20" t="s">
        <v>271</v>
      </c>
      <c r="D343" s="20" t="s">
        <v>271</v>
      </c>
      <c r="E343" s="20" t="s">
        <v>903</v>
      </c>
      <c r="F343" s="20" t="s">
        <v>216</v>
      </c>
      <c r="G343" s="26">
        <f>280</f>
        <v>280</v>
      </c>
      <c r="H343" s="26">
        <f t="shared" si="23"/>
        <v>280</v>
      </c>
      <c r="I343" s="203"/>
    </row>
    <row r="344" spans="1:9" ht="31.5" hidden="1" x14ac:dyDescent="0.25">
      <c r="A344" s="25" t="s">
        <v>1040</v>
      </c>
      <c r="B344" s="16">
        <v>903</v>
      </c>
      <c r="C344" s="20" t="s">
        <v>271</v>
      </c>
      <c r="D344" s="20" t="s">
        <v>271</v>
      </c>
      <c r="E344" s="20" t="s">
        <v>1057</v>
      </c>
      <c r="F344" s="20"/>
      <c r="G344" s="26">
        <f>'Пр.4 ведом.21'!G333</f>
        <v>0</v>
      </c>
      <c r="H344" s="26">
        <f t="shared" si="23"/>
        <v>0</v>
      </c>
      <c r="I344" s="203"/>
    </row>
    <row r="345" spans="1:9" ht="31.5" hidden="1" x14ac:dyDescent="0.25">
      <c r="A345" s="25" t="s">
        <v>138</v>
      </c>
      <c r="B345" s="16">
        <v>903</v>
      </c>
      <c r="C345" s="20" t="s">
        <v>271</v>
      </c>
      <c r="D345" s="20" t="s">
        <v>271</v>
      </c>
      <c r="E345" s="20" t="s">
        <v>1057</v>
      </c>
      <c r="F345" s="20" t="s">
        <v>139</v>
      </c>
      <c r="G345" s="26">
        <f>'Пр.4 ведом.21'!G334</f>
        <v>0</v>
      </c>
      <c r="H345" s="26">
        <f t="shared" si="23"/>
        <v>0</v>
      </c>
      <c r="I345" s="203"/>
    </row>
    <row r="346" spans="1:9" ht="31.5" hidden="1" x14ac:dyDescent="0.25">
      <c r="A346" s="25" t="s">
        <v>140</v>
      </c>
      <c r="B346" s="16">
        <v>903</v>
      </c>
      <c r="C346" s="20" t="s">
        <v>271</v>
      </c>
      <c r="D346" s="20" t="s">
        <v>271</v>
      </c>
      <c r="E346" s="20" t="s">
        <v>1057</v>
      </c>
      <c r="F346" s="20" t="s">
        <v>141</v>
      </c>
      <c r="G346" s="26">
        <f>'Пр.4 ведом.21'!G335</f>
        <v>0</v>
      </c>
      <c r="H346" s="26">
        <f t="shared" si="23"/>
        <v>0</v>
      </c>
      <c r="I346" s="203"/>
    </row>
    <row r="347" spans="1:9" ht="63" x14ac:dyDescent="0.25">
      <c r="A347" s="23" t="s">
        <v>1041</v>
      </c>
      <c r="B347" s="19">
        <v>903</v>
      </c>
      <c r="C347" s="24" t="s">
        <v>271</v>
      </c>
      <c r="D347" s="24" t="s">
        <v>271</v>
      </c>
      <c r="E347" s="24" t="s">
        <v>904</v>
      </c>
      <c r="F347" s="24"/>
      <c r="G347" s="21">
        <f>G348</f>
        <v>455</v>
      </c>
      <c r="H347" s="21">
        <f>H348</f>
        <v>520</v>
      </c>
      <c r="I347" s="203"/>
    </row>
    <row r="348" spans="1:9" ht="15.75" x14ac:dyDescent="0.25">
      <c r="A348" s="25" t="s">
        <v>1042</v>
      </c>
      <c r="B348" s="16">
        <v>903</v>
      </c>
      <c r="C348" s="20" t="s">
        <v>271</v>
      </c>
      <c r="D348" s="20" t="s">
        <v>271</v>
      </c>
      <c r="E348" s="20" t="s">
        <v>911</v>
      </c>
      <c r="F348" s="20"/>
      <c r="G348" s="26">
        <f>G349+G351</f>
        <v>455</v>
      </c>
      <c r="H348" s="26">
        <f>H349+H351</f>
        <v>520</v>
      </c>
      <c r="I348" s="203"/>
    </row>
    <row r="349" spans="1:9" ht="78.75" x14ac:dyDescent="0.25">
      <c r="A349" s="25" t="s">
        <v>134</v>
      </c>
      <c r="B349" s="16">
        <v>903</v>
      </c>
      <c r="C349" s="20" t="s">
        <v>271</v>
      </c>
      <c r="D349" s="20" t="s">
        <v>271</v>
      </c>
      <c r="E349" s="20" t="s">
        <v>911</v>
      </c>
      <c r="F349" s="20" t="s">
        <v>135</v>
      </c>
      <c r="G349" s="26">
        <f>G350</f>
        <v>40</v>
      </c>
      <c r="H349" s="26">
        <f>H350</f>
        <v>40</v>
      </c>
      <c r="I349" s="203"/>
    </row>
    <row r="350" spans="1:9" ht="31.5" x14ac:dyDescent="0.25">
      <c r="A350" s="25" t="s">
        <v>349</v>
      </c>
      <c r="B350" s="16">
        <v>903</v>
      </c>
      <c r="C350" s="20" t="s">
        <v>271</v>
      </c>
      <c r="D350" s="20" t="s">
        <v>271</v>
      </c>
      <c r="E350" s="20" t="s">
        <v>911</v>
      </c>
      <c r="F350" s="20" t="s">
        <v>216</v>
      </c>
      <c r="G350" s="26">
        <f>40</f>
        <v>40</v>
      </c>
      <c r="H350" s="26">
        <f t="shared" si="23"/>
        <v>40</v>
      </c>
      <c r="I350" s="203"/>
    </row>
    <row r="351" spans="1:9" ht="31.5" x14ac:dyDescent="0.25">
      <c r="A351" s="25" t="s">
        <v>138</v>
      </c>
      <c r="B351" s="16">
        <v>903</v>
      </c>
      <c r="C351" s="20" t="s">
        <v>271</v>
      </c>
      <c r="D351" s="20" t="s">
        <v>271</v>
      </c>
      <c r="E351" s="20" t="s">
        <v>911</v>
      </c>
      <c r="F351" s="20" t="s">
        <v>139</v>
      </c>
      <c r="G351" s="26">
        <f>G352</f>
        <v>415</v>
      </c>
      <c r="H351" s="26">
        <f>H352</f>
        <v>480</v>
      </c>
      <c r="I351" s="203"/>
    </row>
    <row r="352" spans="1:9" ht="31.5" x14ac:dyDescent="0.25">
      <c r="A352" s="25" t="s">
        <v>140</v>
      </c>
      <c r="B352" s="16">
        <v>903</v>
      </c>
      <c r="C352" s="20" t="s">
        <v>271</v>
      </c>
      <c r="D352" s="20" t="s">
        <v>271</v>
      </c>
      <c r="E352" s="20" t="s">
        <v>911</v>
      </c>
      <c r="F352" s="20" t="s">
        <v>141</v>
      </c>
      <c r="G352" s="26">
        <f>415</f>
        <v>415</v>
      </c>
      <c r="H352" s="26">
        <v>480</v>
      </c>
      <c r="I352" s="203"/>
    </row>
    <row r="353" spans="1:13" ht="31.5" x14ac:dyDescent="0.25">
      <c r="A353" s="23" t="s">
        <v>1047</v>
      </c>
      <c r="B353" s="19">
        <v>903</v>
      </c>
      <c r="C353" s="24" t="s">
        <v>271</v>
      </c>
      <c r="D353" s="24" t="s">
        <v>271</v>
      </c>
      <c r="E353" s="24" t="s">
        <v>1043</v>
      </c>
      <c r="F353" s="24"/>
      <c r="G353" s="21">
        <f t="shared" ref="G353:H355" si="28">G354</f>
        <v>25</v>
      </c>
      <c r="H353" s="21">
        <f t="shared" si="28"/>
        <v>25</v>
      </c>
      <c r="I353" s="203"/>
    </row>
    <row r="354" spans="1:13" ht="47.25" x14ac:dyDescent="0.25">
      <c r="A354" s="226" t="s">
        <v>1044</v>
      </c>
      <c r="B354" s="16">
        <v>903</v>
      </c>
      <c r="C354" s="20" t="s">
        <v>271</v>
      </c>
      <c r="D354" s="20" t="s">
        <v>271</v>
      </c>
      <c r="E354" s="20" t="s">
        <v>1058</v>
      </c>
      <c r="F354" s="20"/>
      <c r="G354" s="26">
        <f t="shared" si="28"/>
        <v>25</v>
      </c>
      <c r="H354" s="26">
        <f t="shared" si="28"/>
        <v>25</v>
      </c>
      <c r="I354" s="203"/>
    </row>
    <row r="355" spans="1:13" ht="31.5" x14ac:dyDescent="0.25">
      <c r="A355" s="25" t="s">
        <v>255</v>
      </c>
      <c r="B355" s="16">
        <v>903</v>
      </c>
      <c r="C355" s="20" t="s">
        <v>271</v>
      </c>
      <c r="D355" s="20" t="s">
        <v>271</v>
      </c>
      <c r="E355" s="20" t="s">
        <v>1058</v>
      </c>
      <c r="F355" s="20" t="s">
        <v>256</v>
      </c>
      <c r="G355" s="26">
        <f t="shared" si="28"/>
        <v>25</v>
      </c>
      <c r="H355" s="26">
        <f t="shared" si="28"/>
        <v>25</v>
      </c>
      <c r="I355" s="203"/>
    </row>
    <row r="356" spans="1:13" ht="31.5" x14ac:dyDescent="0.25">
      <c r="A356" s="25" t="s">
        <v>1211</v>
      </c>
      <c r="B356" s="16">
        <v>903</v>
      </c>
      <c r="C356" s="20" t="s">
        <v>271</v>
      </c>
      <c r="D356" s="20" t="s">
        <v>271</v>
      </c>
      <c r="E356" s="20" t="s">
        <v>1058</v>
      </c>
      <c r="F356" s="20" t="s">
        <v>1210</v>
      </c>
      <c r="G356" s="26">
        <f>25</f>
        <v>25</v>
      </c>
      <c r="H356" s="26">
        <f t="shared" si="23"/>
        <v>25</v>
      </c>
      <c r="I356" s="203"/>
    </row>
    <row r="357" spans="1:13" ht="15.75" x14ac:dyDescent="0.25">
      <c r="A357" s="23" t="s">
        <v>305</v>
      </c>
      <c r="B357" s="19">
        <v>903</v>
      </c>
      <c r="C357" s="24" t="s">
        <v>306</v>
      </c>
      <c r="D357" s="24"/>
      <c r="E357" s="24"/>
      <c r="F357" s="24"/>
      <c r="G357" s="21">
        <f>G358+G411</f>
        <v>76411.28</v>
      </c>
      <c r="H357" s="21">
        <f>H358+H411</f>
        <v>77665.48</v>
      </c>
      <c r="I357" s="203"/>
    </row>
    <row r="358" spans="1:13" ht="15.75" x14ac:dyDescent="0.25">
      <c r="A358" s="23" t="s">
        <v>307</v>
      </c>
      <c r="B358" s="19">
        <v>903</v>
      </c>
      <c r="C358" s="24" t="s">
        <v>306</v>
      </c>
      <c r="D358" s="24" t="s">
        <v>125</v>
      </c>
      <c r="E358" s="24"/>
      <c r="F358" s="24"/>
      <c r="G358" s="21">
        <f>G359+G406+G401</f>
        <v>57844.87999999999</v>
      </c>
      <c r="H358" s="21">
        <f>H359+H406+H401</f>
        <v>59070.079999999994</v>
      </c>
      <c r="I358" s="203"/>
    </row>
    <row r="359" spans="1:13" ht="39.200000000000003" customHeight="1" x14ac:dyDescent="0.25">
      <c r="A359" s="23" t="s">
        <v>1384</v>
      </c>
      <c r="B359" s="19">
        <v>903</v>
      </c>
      <c r="C359" s="24" t="s">
        <v>306</v>
      </c>
      <c r="D359" s="24" t="s">
        <v>125</v>
      </c>
      <c r="E359" s="24" t="s">
        <v>274</v>
      </c>
      <c r="F359" s="24"/>
      <c r="G359" s="21">
        <f>G360+G368+G374+G378+G385+G393+G389+G397</f>
        <v>56956.179999999993</v>
      </c>
      <c r="H359" s="21">
        <f>H360+H368+H374+H378+H385+H393+H389+H397</f>
        <v>58156.179999999993</v>
      </c>
      <c r="I359" s="203"/>
    </row>
    <row r="360" spans="1:13" ht="33.75" customHeight="1" x14ac:dyDescent="0.25">
      <c r="A360" s="23" t="s">
        <v>905</v>
      </c>
      <c r="B360" s="19">
        <v>903</v>
      </c>
      <c r="C360" s="24" t="s">
        <v>306</v>
      </c>
      <c r="D360" s="24" t="s">
        <v>125</v>
      </c>
      <c r="E360" s="24" t="s">
        <v>1218</v>
      </c>
      <c r="F360" s="24"/>
      <c r="G360" s="21">
        <f>G361</f>
        <v>51840.479999999996</v>
      </c>
      <c r="H360" s="21">
        <f>H361</f>
        <v>51840.479999999996</v>
      </c>
      <c r="I360" s="203"/>
    </row>
    <row r="361" spans="1:13" ht="15.75" x14ac:dyDescent="0.25">
      <c r="A361" s="25" t="s">
        <v>810</v>
      </c>
      <c r="B361" s="16">
        <v>903</v>
      </c>
      <c r="C361" s="20" t="s">
        <v>306</v>
      </c>
      <c r="D361" s="20" t="s">
        <v>125</v>
      </c>
      <c r="E361" s="20" t="s">
        <v>1219</v>
      </c>
      <c r="F361" s="20"/>
      <c r="G361" s="26">
        <f>G362+G364+G366</f>
        <v>51840.479999999996</v>
      </c>
      <c r="H361" s="26">
        <f>H362+H364+H366</f>
        <v>51840.479999999996</v>
      </c>
      <c r="I361" s="203"/>
      <c r="M361">
        <v>51840.58</v>
      </c>
    </row>
    <row r="362" spans="1:13" ht="78.75" x14ac:dyDescent="0.25">
      <c r="A362" s="25" t="s">
        <v>134</v>
      </c>
      <c r="B362" s="16">
        <v>903</v>
      </c>
      <c r="C362" s="20" t="s">
        <v>306</v>
      </c>
      <c r="D362" s="20" t="s">
        <v>125</v>
      </c>
      <c r="E362" s="20" t="s">
        <v>1219</v>
      </c>
      <c r="F362" s="20" t="s">
        <v>135</v>
      </c>
      <c r="G362" s="26">
        <f>G363</f>
        <v>43271.28</v>
      </c>
      <c r="H362" s="26">
        <f>H363</f>
        <v>43271.28</v>
      </c>
      <c r="I362" s="203"/>
    </row>
    <row r="363" spans="1:13" ht="15.75" x14ac:dyDescent="0.25">
      <c r="A363" s="25" t="s">
        <v>215</v>
      </c>
      <c r="B363" s="16">
        <v>903</v>
      </c>
      <c r="C363" s="20" t="s">
        <v>306</v>
      </c>
      <c r="D363" s="20" t="s">
        <v>125</v>
      </c>
      <c r="E363" s="20" t="s">
        <v>1219</v>
      </c>
      <c r="F363" s="20" t="s">
        <v>216</v>
      </c>
      <c r="G363" s="26">
        <v>43271.28</v>
      </c>
      <c r="H363" s="26">
        <f t="shared" si="23"/>
        <v>43271.28</v>
      </c>
      <c r="I363" s="203"/>
    </row>
    <row r="364" spans="1:13" ht="31.5" x14ac:dyDescent="0.25">
      <c r="A364" s="25" t="s">
        <v>138</v>
      </c>
      <c r="B364" s="16">
        <v>903</v>
      </c>
      <c r="C364" s="20" t="s">
        <v>306</v>
      </c>
      <c r="D364" s="20" t="s">
        <v>125</v>
      </c>
      <c r="E364" s="20" t="s">
        <v>1219</v>
      </c>
      <c r="F364" s="20" t="s">
        <v>139</v>
      </c>
      <c r="G364" s="26">
        <f>G365</f>
        <v>8506.2000000000007</v>
      </c>
      <c r="H364" s="26">
        <f>H365</f>
        <v>8506.2000000000007</v>
      </c>
      <c r="I364" s="203"/>
    </row>
    <row r="365" spans="1:13" ht="29.85" customHeight="1" x14ac:dyDescent="0.25">
      <c r="A365" s="25" t="s">
        <v>140</v>
      </c>
      <c r="B365" s="16">
        <v>903</v>
      </c>
      <c r="C365" s="20" t="s">
        <v>306</v>
      </c>
      <c r="D365" s="20" t="s">
        <v>125</v>
      </c>
      <c r="E365" s="20" t="s">
        <v>1219</v>
      </c>
      <c r="F365" s="20" t="s">
        <v>141</v>
      </c>
      <c r="G365" s="26">
        <v>8506.2000000000007</v>
      </c>
      <c r="H365" s="26">
        <f t="shared" si="23"/>
        <v>8506.2000000000007</v>
      </c>
      <c r="I365" s="203"/>
    </row>
    <row r="366" spans="1:13" ht="15.75" x14ac:dyDescent="0.25">
      <c r="A366" s="25" t="s">
        <v>142</v>
      </c>
      <c r="B366" s="16">
        <v>903</v>
      </c>
      <c r="C366" s="20" t="s">
        <v>306</v>
      </c>
      <c r="D366" s="20" t="s">
        <v>125</v>
      </c>
      <c r="E366" s="20" t="s">
        <v>1219</v>
      </c>
      <c r="F366" s="20" t="s">
        <v>152</v>
      </c>
      <c r="G366" s="26">
        <f>G367</f>
        <v>63</v>
      </c>
      <c r="H366" s="26">
        <f>H367</f>
        <v>63</v>
      </c>
      <c r="I366" s="203"/>
    </row>
    <row r="367" spans="1:13" ht="15.75" x14ac:dyDescent="0.25">
      <c r="A367" s="25" t="s">
        <v>575</v>
      </c>
      <c r="B367" s="16">
        <v>903</v>
      </c>
      <c r="C367" s="20" t="s">
        <v>306</v>
      </c>
      <c r="D367" s="20" t="s">
        <v>125</v>
      </c>
      <c r="E367" s="20" t="s">
        <v>1219</v>
      </c>
      <c r="F367" s="20" t="s">
        <v>145</v>
      </c>
      <c r="G367" s="26">
        <v>63</v>
      </c>
      <c r="H367" s="26">
        <f t="shared" ref="H367:H377" si="29">G367</f>
        <v>63</v>
      </c>
      <c r="I367" s="203"/>
    </row>
    <row r="368" spans="1:13" ht="31.5" x14ac:dyDescent="0.25">
      <c r="A368" s="212" t="s">
        <v>1318</v>
      </c>
      <c r="B368" s="19">
        <v>903</v>
      </c>
      <c r="C368" s="24" t="s">
        <v>306</v>
      </c>
      <c r="D368" s="24" t="s">
        <v>125</v>
      </c>
      <c r="E368" s="24" t="s">
        <v>1220</v>
      </c>
      <c r="F368" s="24"/>
      <c r="G368" s="21">
        <f>G369</f>
        <v>1380</v>
      </c>
      <c r="H368" s="21">
        <f>H369</f>
        <v>1380</v>
      </c>
      <c r="I368" s="203"/>
    </row>
    <row r="369" spans="1:9" ht="31.5" x14ac:dyDescent="0.25">
      <c r="A369" s="31" t="s">
        <v>826</v>
      </c>
      <c r="B369" s="16">
        <v>903</v>
      </c>
      <c r="C369" s="20" t="s">
        <v>306</v>
      </c>
      <c r="D369" s="20" t="s">
        <v>125</v>
      </c>
      <c r="E369" s="20" t="s">
        <v>1222</v>
      </c>
      <c r="F369" s="20"/>
      <c r="G369" s="26">
        <f>G370+G372</f>
        <v>1380</v>
      </c>
      <c r="H369" s="26">
        <f>H370+H372</f>
        <v>1380</v>
      </c>
      <c r="I369" s="203"/>
    </row>
    <row r="370" spans="1:9" ht="78.75" x14ac:dyDescent="0.25">
      <c r="A370" s="25" t="s">
        <v>134</v>
      </c>
      <c r="B370" s="16">
        <v>903</v>
      </c>
      <c r="C370" s="20" t="s">
        <v>306</v>
      </c>
      <c r="D370" s="20" t="s">
        <v>125</v>
      </c>
      <c r="E370" s="20" t="s">
        <v>906</v>
      </c>
      <c r="F370" s="20" t="s">
        <v>135</v>
      </c>
      <c r="G370" s="26">
        <f>G371</f>
        <v>0</v>
      </c>
      <c r="H370" s="26">
        <f>H371</f>
        <v>0</v>
      </c>
      <c r="I370" s="203"/>
    </row>
    <row r="371" spans="1:9" ht="15.75" x14ac:dyDescent="0.25">
      <c r="A371" s="25" t="s">
        <v>215</v>
      </c>
      <c r="B371" s="16">
        <v>903</v>
      </c>
      <c r="C371" s="20" t="s">
        <v>306</v>
      </c>
      <c r="D371" s="20" t="s">
        <v>125</v>
      </c>
      <c r="E371" s="20" t="s">
        <v>906</v>
      </c>
      <c r="F371" s="20" t="s">
        <v>216</v>
      </c>
      <c r="G371" s="26">
        <v>0</v>
      </c>
      <c r="H371" s="26">
        <v>0</v>
      </c>
      <c r="I371" s="203"/>
    </row>
    <row r="372" spans="1:9" ht="31.5" x14ac:dyDescent="0.25">
      <c r="A372" s="25" t="s">
        <v>138</v>
      </c>
      <c r="B372" s="16">
        <v>903</v>
      </c>
      <c r="C372" s="20" t="s">
        <v>306</v>
      </c>
      <c r="D372" s="20" t="s">
        <v>125</v>
      </c>
      <c r="E372" s="20" t="s">
        <v>1222</v>
      </c>
      <c r="F372" s="20" t="s">
        <v>139</v>
      </c>
      <c r="G372" s="26">
        <f>G373</f>
        <v>1380</v>
      </c>
      <c r="H372" s="26">
        <f>H373</f>
        <v>1380</v>
      </c>
      <c r="I372" s="203"/>
    </row>
    <row r="373" spans="1:9" ht="31.9" customHeight="1" x14ac:dyDescent="0.25">
      <c r="A373" s="25" t="s">
        <v>140</v>
      </c>
      <c r="B373" s="16">
        <v>903</v>
      </c>
      <c r="C373" s="20" t="s">
        <v>306</v>
      </c>
      <c r="D373" s="20" t="s">
        <v>125</v>
      </c>
      <c r="E373" s="20" t="s">
        <v>1222</v>
      </c>
      <c r="F373" s="20" t="s">
        <v>141</v>
      </c>
      <c r="G373" s="26">
        <f>380+1000</f>
        <v>1380</v>
      </c>
      <c r="H373" s="26">
        <f t="shared" si="29"/>
        <v>1380</v>
      </c>
      <c r="I373" s="203"/>
    </row>
    <row r="374" spans="1:9" ht="31.5" x14ac:dyDescent="0.25">
      <c r="A374" s="23" t="s">
        <v>957</v>
      </c>
      <c r="B374" s="19">
        <v>903</v>
      </c>
      <c r="C374" s="24" t="s">
        <v>306</v>
      </c>
      <c r="D374" s="24" t="s">
        <v>125</v>
      </c>
      <c r="E374" s="24" t="s">
        <v>1223</v>
      </c>
      <c r="F374" s="24"/>
      <c r="G374" s="44">
        <f t="shared" ref="G374:H376" si="30">G375</f>
        <v>875</v>
      </c>
      <c r="H374" s="44">
        <f t="shared" si="30"/>
        <v>875</v>
      </c>
      <c r="I374" s="203"/>
    </row>
    <row r="375" spans="1:9" ht="47.25" x14ac:dyDescent="0.25">
      <c r="A375" s="25" t="s">
        <v>849</v>
      </c>
      <c r="B375" s="16">
        <v>903</v>
      </c>
      <c r="C375" s="20" t="s">
        <v>306</v>
      </c>
      <c r="D375" s="20" t="s">
        <v>125</v>
      </c>
      <c r="E375" s="20" t="s">
        <v>1224</v>
      </c>
      <c r="F375" s="20"/>
      <c r="G375" s="26">
        <f t="shared" si="30"/>
        <v>875</v>
      </c>
      <c r="H375" s="26">
        <f t="shared" si="30"/>
        <v>875</v>
      </c>
      <c r="I375" s="203"/>
    </row>
    <row r="376" spans="1:9" ht="78.75" x14ac:dyDescent="0.25">
      <c r="A376" s="25" t="s">
        <v>134</v>
      </c>
      <c r="B376" s="16">
        <v>903</v>
      </c>
      <c r="C376" s="20" t="s">
        <v>306</v>
      </c>
      <c r="D376" s="20" t="s">
        <v>125</v>
      </c>
      <c r="E376" s="20" t="s">
        <v>1224</v>
      </c>
      <c r="F376" s="20" t="s">
        <v>135</v>
      </c>
      <c r="G376" s="26">
        <f t="shared" si="30"/>
        <v>875</v>
      </c>
      <c r="H376" s="26">
        <f t="shared" si="30"/>
        <v>875</v>
      </c>
      <c r="I376" s="203"/>
    </row>
    <row r="377" spans="1:9" ht="31.5" x14ac:dyDescent="0.25">
      <c r="A377" s="25" t="s">
        <v>136</v>
      </c>
      <c r="B377" s="16">
        <v>903</v>
      </c>
      <c r="C377" s="20" t="s">
        <v>306</v>
      </c>
      <c r="D377" s="20" t="s">
        <v>125</v>
      </c>
      <c r="E377" s="20" t="s">
        <v>1224</v>
      </c>
      <c r="F377" s="20" t="s">
        <v>216</v>
      </c>
      <c r="G377" s="26">
        <v>875</v>
      </c>
      <c r="H377" s="26">
        <f t="shared" si="29"/>
        <v>875</v>
      </c>
      <c r="I377" s="203"/>
    </row>
    <row r="378" spans="1:9" ht="47.25" x14ac:dyDescent="0.25">
      <c r="A378" s="213" t="s">
        <v>910</v>
      </c>
      <c r="B378" s="19">
        <v>903</v>
      </c>
      <c r="C378" s="24" t="s">
        <v>306</v>
      </c>
      <c r="D378" s="24" t="s">
        <v>125</v>
      </c>
      <c r="E378" s="24" t="s">
        <v>1225</v>
      </c>
      <c r="F378" s="24"/>
      <c r="G378" s="21">
        <f>G379+G382</f>
        <v>2442</v>
      </c>
      <c r="H378" s="21">
        <f>H379+H382</f>
        <v>2442</v>
      </c>
      <c r="I378" s="203"/>
    </row>
    <row r="379" spans="1:9" s="202" customFormat="1" ht="94.5" x14ac:dyDescent="0.25">
      <c r="A379" s="31" t="s">
        <v>300</v>
      </c>
      <c r="B379" s="16">
        <v>903</v>
      </c>
      <c r="C379" s="20" t="s">
        <v>306</v>
      </c>
      <c r="D379" s="20" t="s">
        <v>125</v>
      </c>
      <c r="E379" s="20" t="s">
        <v>1420</v>
      </c>
      <c r="F379" s="20"/>
      <c r="G379" s="26">
        <f t="shared" ref="G379:H380" si="31">G380</f>
        <v>2100.6</v>
      </c>
      <c r="H379" s="26">
        <f t="shared" si="31"/>
        <v>2100.6</v>
      </c>
      <c r="I379" s="203"/>
    </row>
    <row r="380" spans="1:9" s="202" customFormat="1" ht="78.75" x14ac:dyDescent="0.25">
      <c r="A380" s="25" t="s">
        <v>134</v>
      </c>
      <c r="B380" s="16">
        <v>903</v>
      </c>
      <c r="C380" s="20" t="s">
        <v>306</v>
      </c>
      <c r="D380" s="20" t="s">
        <v>125</v>
      </c>
      <c r="E380" s="20" t="s">
        <v>1420</v>
      </c>
      <c r="F380" s="20" t="s">
        <v>135</v>
      </c>
      <c r="G380" s="26">
        <f t="shared" si="31"/>
        <v>2100.6</v>
      </c>
      <c r="H380" s="26">
        <f t="shared" si="31"/>
        <v>2100.6</v>
      </c>
      <c r="I380" s="203"/>
    </row>
    <row r="381" spans="1:9" s="202" customFormat="1" ht="15.75" x14ac:dyDescent="0.25">
      <c r="A381" s="25" t="s">
        <v>215</v>
      </c>
      <c r="B381" s="16">
        <v>903</v>
      </c>
      <c r="C381" s="20" t="s">
        <v>306</v>
      </c>
      <c r="D381" s="20" t="s">
        <v>125</v>
      </c>
      <c r="E381" s="20" t="s">
        <v>1420</v>
      </c>
      <c r="F381" s="20" t="s">
        <v>216</v>
      </c>
      <c r="G381" s="26">
        <v>2100.6</v>
      </c>
      <c r="H381" s="26">
        <f>G381</f>
        <v>2100.6</v>
      </c>
      <c r="I381" s="203"/>
    </row>
    <row r="382" spans="1:9" s="202" customFormat="1" ht="78.75" x14ac:dyDescent="0.25">
      <c r="A382" s="25" t="s">
        <v>338</v>
      </c>
      <c r="B382" s="16">
        <v>903</v>
      </c>
      <c r="C382" s="20" t="s">
        <v>306</v>
      </c>
      <c r="D382" s="20" t="s">
        <v>125</v>
      </c>
      <c r="E382" s="20" t="s">
        <v>1306</v>
      </c>
      <c r="F382" s="20"/>
      <c r="G382" s="26">
        <f>G383</f>
        <v>341.4</v>
      </c>
      <c r="H382" s="26">
        <f>H383</f>
        <v>341.4</v>
      </c>
      <c r="I382" s="203"/>
    </row>
    <row r="383" spans="1:9" s="202" customFormat="1" ht="78.75" x14ac:dyDescent="0.25">
      <c r="A383" s="25" t="s">
        <v>134</v>
      </c>
      <c r="B383" s="16">
        <v>903</v>
      </c>
      <c r="C383" s="20" t="s">
        <v>306</v>
      </c>
      <c r="D383" s="20" t="s">
        <v>125</v>
      </c>
      <c r="E383" s="20" t="s">
        <v>1306</v>
      </c>
      <c r="F383" s="20" t="s">
        <v>135</v>
      </c>
      <c r="G383" s="26">
        <f>G384</f>
        <v>341.4</v>
      </c>
      <c r="H383" s="26">
        <f>H384</f>
        <v>341.4</v>
      </c>
      <c r="I383" s="203"/>
    </row>
    <row r="384" spans="1:9" s="202" customFormat="1" ht="15.75" x14ac:dyDescent="0.25">
      <c r="A384" s="25" t="s">
        <v>215</v>
      </c>
      <c r="B384" s="16">
        <v>903</v>
      </c>
      <c r="C384" s="20" t="s">
        <v>306</v>
      </c>
      <c r="D384" s="20" t="s">
        <v>125</v>
      </c>
      <c r="E384" s="20" t="s">
        <v>1306</v>
      </c>
      <c r="F384" s="20" t="s">
        <v>216</v>
      </c>
      <c r="G384" s="26">
        <v>341.4</v>
      </c>
      <c r="H384" s="26">
        <f>G384</f>
        <v>341.4</v>
      </c>
      <c r="I384" s="203"/>
    </row>
    <row r="385" spans="1:9" s="202" customFormat="1" ht="31.5" x14ac:dyDescent="0.25">
      <c r="A385" s="23" t="s">
        <v>912</v>
      </c>
      <c r="B385" s="19">
        <v>903</v>
      </c>
      <c r="C385" s="24" t="s">
        <v>306</v>
      </c>
      <c r="D385" s="24" t="s">
        <v>125</v>
      </c>
      <c r="E385" s="24" t="s">
        <v>1230</v>
      </c>
      <c r="F385" s="24"/>
      <c r="G385" s="21">
        <f t="shared" ref="G385:H387" si="32">G386</f>
        <v>50</v>
      </c>
      <c r="H385" s="21">
        <f t="shared" si="32"/>
        <v>50</v>
      </c>
      <c r="I385" s="203"/>
    </row>
    <row r="386" spans="1:9" s="202" customFormat="1" ht="31.5" x14ac:dyDescent="0.25">
      <c r="A386" s="25" t="s">
        <v>831</v>
      </c>
      <c r="B386" s="16">
        <v>903</v>
      </c>
      <c r="C386" s="20" t="s">
        <v>306</v>
      </c>
      <c r="D386" s="20" t="s">
        <v>125</v>
      </c>
      <c r="E386" s="20" t="s">
        <v>1231</v>
      </c>
      <c r="F386" s="20"/>
      <c r="G386" s="26">
        <f t="shared" si="32"/>
        <v>50</v>
      </c>
      <c r="H386" s="26">
        <f t="shared" si="32"/>
        <v>50</v>
      </c>
      <c r="I386" s="203"/>
    </row>
    <row r="387" spans="1:9" s="202" customFormat="1" ht="31.5" x14ac:dyDescent="0.25">
      <c r="A387" s="25" t="s">
        <v>138</v>
      </c>
      <c r="B387" s="16">
        <v>903</v>
      </c>
      <c r="C387" s="20" t="s">
        <v>306</v>
      </c>
      <c r="D387" s="20" t="s">
        <v>125</v>
      </c>
      <c r="E387" s="20" t="s">
        <v>1231</v>
      </c>
      <c r="F387" s="20" t="s">
        <v>139</v>
      </c>
      <c r="G387" s="26">
        <f t="shared" si="32"/>
        <v>50</v>
      </c>
      <c r="H387" s="26">
        <f t="shared" si="32"/>
        <v>50</v>
      </c>
      <c r="I387" s="203"/>
    </row>
    <row r="388" spans="1:9" s="202" customFormat="1" ht="31.5" x14ac:dyDescent="0.25">
      <c r="A388" s="25" t="s">
        <v>140</v>
      </c>
      <c r="B388" s="16">
        <v>903</v>
      </c>
      <c r="C388" s="20" t="s">
        <v>306</v>
      </c>
      <c r="D388" s="20" t="s">
        <v>125</v>
      </c>
      <c r="E388" s="20" t="s">
        <v>1231</v>
      </c>
      <c r="F388" s="20" t="s">
        <v>141</v>
      </c>
      <c r="G388" s="26">
        <v>50</v>
      </c>
      <c r="H388" s="26">
        <v>50</v>
      </c>
      <c r="I388" s="203"/>
    </row>
    <row r="389" spans="1:9" s="202" customFormat="1" ht="31.5" x14ac:dyDescent="0.25">
      <c r="A389" s="23" t="s">
        <v>1020</v>
      </c>
      <c r="B389" s="19">
        <v>903</v>
      </c>
      <c r="C389" s="24" t="s">
        <v>306</v>
      </c>
      <c r="D389" s="24" t="s">
        <v>125</v>
      </c>
      <c r="E389" s="24" t="s">
        <v>1232</v>
      </c>
      <c r="F389" s="24"/>
      <c r="G389" s="21">
        <f t="shared" ref="G389:H391" si="33">G390</f>
        <v>68.7</v>
      </c>
      <c r="H389" s="21">
        <f t="shared" si="33"/>
        <v>68.7</v>
      </c>
      <c r="I389" s="203"/>
    </row>
    <row r="390" spans="1:9" s="202" customFormat="1" ht="31.5" x14ac:dyDescent="0.25">
      <c r="A390" s="25" t="s">
        <v>1529</v>
      </c>
      <c r="B390" s="16">
        <v>903</v>
      </c>
      <c r="C390" s="20" t="s">
        <v>306</v>
      </c>
      <c r="D390" s="20" t="s">
        <v>125</v>
      </c>
      <c r="E390" s="20" t="s">
        <v>1233</v>
      </c>
      <c r="F390" s="20"/>
      <c r="G390" s="26">
        <f t="shared" si="33"/>
        <v>68.7</v>
      </c>
      <c r="H390" s="26">
        <f t="shared" si="33"/>
        <v>68.7</v>
      </c>
      <c r="I390" s="203"/>
    </row>
    <row r="391" spans="1:9" s="202" customFormat="1" ht="31.5" x14ac:dyDescent="0.25">
      <c r="A391" s="25" t="s">
        <v>138</v>
      </c>
      <c r="B391" s="16">
        <v>903</v>
      </c>
      <c r="C391" s="20" t="s">
        <v>306</v>
      </c>
      <c r="D391" s="20" t="s">
        <v>125</v>
      </c>
      <c r="E391" s="20" t="s">
        <v>1233</v>
      </c>
      <c r="F391" s="20" t="s">
        <v>139</v>
      </c>
      <c r="G391" s="26">
        <f t="shared" si="33"/>
        <v>68.7</v>
      </c>
      <c r="H391" s="26">
        <f t="shared" si="33"/>
        <v>68.7</v>
      </c>
      <c r="I391" s="203"/>
    </row>
    <row r="392" spans="1:9" s="202" customFormat="1" ht="31.5" x14ac:dyDescent="0.25">
      <c r="A392" s="25" t="s">
        <v>140</v>
      </c>
      <c r="B392" s="16">
        <v>903</v>
      </c>
      <c r="C392" s="20" t="s">
        <v>306</v>
      </c>
      <c r="D392" s="20" t="s">
        <v>125</v>
      </c>
      <c r="E392" s="20" t="s">
        <v>1233</v>
      </c>
      <c r="F392" s="20" t="s">
        <v>141</v>
      </c>
      <c r="G392" s="26">
        <f>3.5+65.2</f>
        <v>68.7</v>
      </c>
      <c r="H392" s="26">
        <f t="shared" ref="H392" si="34">G392</f>
        <v>68.7</v>
      </c>
      <c r="I392" s="203"/>
    </row>
    <row r="393" spans="1:9" s="202" customFormat="1" ht="31.5" x14ac:dyDescent="0.25">
      <c r="A393" s="206" t="s">
        <v>1193</v>
      </c>
      <c r="B393" s="19">
        <v>903</v>
      </c>
      <c r="C393" s="24" t="s">
        <v>306</v>
      </c>
      <c r="D393" s="24" t="s">
        <v>125</v>
      </c>
      <c r="E393" s="24" t="s">
        <v>1228</v>
      </c>
      <c r="F393" s="24"/>
      <c r="G393" s="21">
        <f t="shared" ref="G393:H395" si="35">G394</f>
        <v>300</v>
      </c>
      <c r="H393" s="21">
        <f t="shared" si="35"/>
        <v>1500</v>
      </c>
      <c r="I393" s="203"/>
    </row>
    <row r="394" spans="1:9" s="202" customFormat="1" ht="15.75" x14ac:dyDescent="0.25">
      <c r="A394" s="98" t="s">
        <v>1200</v>
      </c>
      <c r="B394" s="16">
        <v>903</v>
      </c>
      <c r="C394" s="20" t="s">
        <v>306</v>
      </c>
      <c r="D394" s="20" t="s">
        <v>125</v>
      </c>
      <c r="E394" s="20" t="s">
        <v>1229</v>
      </c>
      <c r="F394" s="20"/>
      <c r="G394" s="26">
        <f t="shared" si="35"/>
        <v>300</v>
      </c>
      <c r="H394" s="26">
        <f t="shared" si="35"/>
        <v>1500</v>
      </c>
      <c r="I394" s="203"/>
    </row>
    <row r="395" spans="1:9" s="202" customFormat="1" ht="31.5" x14ac:dyDescent="0.25">
      <c r="A395" s="25" t="s">
        <v>138</v>
      </c>
      <c r="B395" s="16">
        <v>903</v>
      </c>
      <c r="C395" s="20" t="s">
        <v>306</v>
      </c>
      <c r="D395" s="20" t="s">
        <v>125</v>
      </c>
      <c r="E395" s="20" t="s">
        <v>1229</v>
      </c>
      <c r="F395" s="20" t="s">
        <v>139</v>
      </c>
      <c r="G395" s="26">
        <f>G396</f>
        <v>300</v>
      </c>
      <c r="H395" s="26">
        <f t="shared" si="35"/>
        <v>1500</v>
      </c>
      <c r="I395" s="203"/>
    </row>
    <row r="396" spans="1:9" s="202" customFormat="1" ht="31.5" x14ac:dyDescent="0.25">
      <c r="A396" s="25" t="s">
        <v>140</v>
      </c>
      <c r="B396" s="16">
        <v>903</v>
      </c>
      <c r="C396" s="20" t="s">
        <v>306</v>
      </c>
      <c r="D396" s="20" t="s">
        <v>125</v>
      </c>
      <c r="E396" s="20" t="s">
        <v>1229</v>
      </c>
      <c r="F396" s="20" t="s">
        <v>141</v>
      </c>
      <c r="G396" s="26">
        <v>300</v>
      </c>
      <c r="H396" s="26">
        <v>1500</v>
      </c>
      <c r="I396" s="203"/>
    </row>
    <row r="397" spans="1:9" s="202" customFormat="1" ht="31.5" hidden="1" x14ac:dyDescent="0.25">
      <c r="A397" s="332" t="s">
        <v>1348</v>
      </c>
      <c r="B397" s="19">
        <v>903</v>
      </c>
      <c r="C397" s="24" t="s">
        <v>306</v>
      </c>
      <c r="D397" s="24" t="s">
        <v>125</v>
      </c>
      <c r="E397" s="24"/>
      <c r="F397" s="24"/>
      <c r="G397" s="21">
        <f t="shared" ref="G397:H399" si="36">G398</f>
        <v>0</v>
      </c>
      <c r="H397" s="21">
        <f t="shared" si="36"/>
        <v>0</v>
      </c>
      <c r="I397" s="203"/>
    </row>
    <row r="398" spans="1:9" s="202" customFormat="1" ht="15.75" hidden="1" x14ac:dyDescent="0.25">
      <c r="A398" s="25"/>
      <c r="B398" s="16">
        <v>903</v>
      </c>
      <c r="C398" s="20" t="s">
        <v>306</v>
      </c>
      <c r="D398" s="20" t="s">
        <v>125</v>
      </c>
      <c r="E398" s="20"/>
      <c r="F398" s="20"/>
      <c r="G398" s="26">
        <f t="shared" si="36"/>
        <v>0</v>
      </c>
      <c r="H398" s="26">
        <f t="shared" si="36"/>
        <v>0</v>
      </c>
      <c r="I398" s="203"/>
    </row>
    <row r="399" spans="1:9" s="202" customFormat="1" ht="31.5" hidden="1" x14ac:dyDescent="0.25">
      <c r="A399" s="25" t="s">
        <v>138</v>
      </c>
      <c r="B399" s="16">
        <v>903</v>
      </c>
      <c r="C399" s="20" t="s">
        <v>306</v>
      </c>
      <c r="D399" s="20" t="s">
        <v>125</v>
      </c>
      <c r="E399" s="20"/>
      <c r="F399" s="20" t="s">
        <v>139</v>
      </c>
      <c r="G399" s="26">
        <f t="shared" si="36"/>
        <v>0</v>
      </c>
      <c r="H399" s="26">
        <f t="shared" si="36"/>
        <v>0</v>
      </c>
      <c r="I399" s="203"/>
    </row>
    <row r="400" spans="1:9" s="202" customFormat="1" ht="31.5" hidden="1" x14ac:dyDescent="0.25">
      <c r="A400" s="25" t="s">
        <v>140</v>
      </c>
      <c r="B400" s="16">
        <v>903</v>
      </c>
      <c r="C400" s="20" t="s">
        <v>306</v>
      </c>
      <c r="D400" s="20" t="s">
        <v>125</v>
      </c>
      <c r="E400" s="20"/>
      <c r="F400" s="20" t="s">
        <v>141</v>
      </c>
      <c r="G400" s="26">
        <v>0</v>
      </c>
      <c r="H400" s="26">
        <v>0</v>
      </c>
      <c r="I400" s="203"/>
    </row>
    <row r="401" spans="1:9" ht="63" x14ac:dyDescent="0.25">
      <c r="A401" s="34" t="s">
        <v>791</v>
      </c>
      <c r="B401" s="19">
        <v>903</v>
      </c>
      <c r="C401" s="24" t="s">
        <v>306</v>
      </c>
      <c r="D401" s="24" t="s">
        <v>125</v>
      </c>
      <c r="E401" s="24" t="s">
        <v>331</v>
      </c>
      <c r="F401" s="24"/>
      <c r="G401" s="21">
        <f>G403</f>
        <v>10</v>
      </c>
      <c r="H401" s="21">
        <f>H403</f>
        <v>0</v>
      </c>
      <c r="I401" s="203"/>
    </row>
    <row r="402" spans="1:9" ht="63" x14ac:dyDescent="0.25">
      <c r="A402" s="34" t="s">
        <v>1035</v>
      </c>
      <c r="B402" s="19">
        <v>903</v>
      </c>
      <c r="C402" s="24" t="s">
        <v>306</v>
      </c>
      <c r="D402" s="24" t="s">
        <v>125</v>
      </c>
      <c r="E402" s="24" t="s">
        <v>944</v>
      </c>
      <c r="F402" s="24"/>
      <c r="G402" s="21">
        <f>G405</f>
        <v>10</v>
      </c>
      <c r="H402" s="21">
        <f>H405</f>
        <v>0</v>
      </c>
      <c r="I402" s="203"/>
    </row>
    <row r="403" spans="1:9" ht="47.25" x14ac:dyDescent="0.25">
      <c r="A403" s="31" t="s">
        <v>1091</v>
      </c>
      <c r="B403" s="16">
        <v>903</v>
      </c>
      <c r="C403" s="20" t="s">
        <v>306</v>
      </c>
      <c r="D403" s="20" t="s">
        <v>125</v>
      </c>
      <c r="E403" s="20" t="s">
        <v>1036</v>
      </c>
      <c r="F403" s="20"/>
      <c r="G403" s="26">
        <f>G404</f>
        <v>10</v>
      </c>
      <c r="H403" s="26">
        <f>H404</f>
        <v>0</v>
      </c>
      <c r="I403" s="203"/>
    </row>
    <row r="404" spans="1:9" ht="31.5" x14ac:dyDescent="0.25">
      <c r="A404" s="25" t="s">
        <v>138</v>
      </c>
      <c r="B404" s="16">
        <v>903</v>
      </c>
      <c r="C404" s="20" t="s">
        <v>306</v>
      </c>
      <c r="D404" s="20" t="s">
        <v>125</v>
      </c>
      <c r="E404" s="20" t="s">
        <v>1036</v>
      </c>
      <c r="F404" s="20" t="s">
        <v>139</v>
      </c>
      <c r="G404" s="26">
        <f>G405</f>
        <v>10</v>
      </c>
      <c r="H404" s="26">
        <f>H405</f>
        <v>0</v>
      </c>
      <c r="I404" s="203"/>
    </row>
    <row r="405" spans="1:9" ht="31.5" x14ac:dyDescent="0.25">
      <c r="A405" s="25" t="s">
        <v>140</v>
      </c>
      <c r="B405" s="16">
        <v>903</v>
      </c>
      <c r="C405" s="20" t="s">
        <v>306</v>
      </c>
      <c r="D405" s="20" t="s">
        <v>125</v>
      </c>
      <c r="E405" s="20" t="s">
        <v>1036</v>
      </c>
      <c r="F405" s="20" t="s">
        <v>141</v>
      </c>
      <c r="G405" s="26">
        <v>10</v>
      </c>
      <c r="H405" s="26">
        <v>0</v>
      </c>
      <c r="I405" s="203"/>
    </row>
    <row r="406" spans="1:9" ht="47.25" x14ac:dyDescent="0.25">
      <c r="A406" s="41" t="s">
        <v>1367</v>
      </c>
      <c r="B406" s="19">
        <v>903</v>
      </c>
      <c r="C406" s="24" t="s">
        <v>306</v>
      </c>
      <c r="D406" s="24" t="s">
        <v>125</v>
      </c>
      <c r="E406" s="24" t="s">
        <v>715</v>
      </c>
      <c r="F406" s="217"/>
      <c r="G406" s="21">
        <f t="shared" ref="G406:H409" si="37">G407</f>
        <v>878.7</v>
      </c>
      <c r="H406" s="21">
        <f t="shared" si="37"/>
        <v>913.9</v>
      </c>
      <c r="I406" s="203"/>
    </row>
    <row r="407" spans="1:9" ht="47.25" x14ac:dyDescent="0.25">
      <c r="A407" s="41" t="s">
        <v>900</v>
      </c>
      <c r="B407" s="19">
        <v>903</v>
      </c>
      <c r="C407" s="24" t="s">
        <v>306</v>
      </c>
      <c r="D407" s="24" t="s">
        <v>125</v>
      </c>
      <c r="E407" s="24" t="s">
        <v>898</v>
      </c>
      <c r="F407" s="217"/>
      <c r="G407" s="21">
        <f t="shared" si="37"/>
        <v>878.7</v>
      </c>
      <c r="H407" s="21">
        <f t="shared" si="37"/>
        <v>913.9</v>
      </c>
      <c r="I407" s="203"/>
    </row>
    <row r="408" spans="1:9" ht="41.25" customHeight="1" x14ac:dyDescent="0.25">
      <c r="A408" s="98" t="s">
        <v>1032</v>
      </c>
      <c r="B408" s="16">
        <v>903</v>
      </c>
      <c r="C408" s="20" t="s">
        <v>306</v>
      </c>
      <c r="D408" s="20" t="s">
        <v>125</v>
      </c>
      <c r="E408" s="20" t="s">
        <v>899</v>
      </c>
      <c r="F408" s="32"/>
      <c r="G408" s="26">
        <f t="shared" si="37"/>
        <v>878.7</v>
      </c>
      <c r="H408" s="26">
        <f t="shared" si="37"/>
        <v>913.9</v>
      </c>
      <c r="I408" s="203"/>
    </row>
    <row r="409" spans="1:9" ht="31.5" x14ac:dyDescent="0.25">
      <c r="A409" s="25" t="s">
        <v>138</v>
      </c>
      <c r="B409" s="16">
        <v>903</v>
      </c>
      <c r="C409" s="20" t="s">
        <v>306</v>
      </c>
      <c r="D409" s="20" t="s">
        <v>125</v>
      </c>
      <c r="E409" s="20" t="s">
        <v>899</v>
      </c>
      <c r="F409" s="32" t="s">
        <v>139</v>
      </c>
      <c r="G409" s="26">
        <f t="shared" si="37"/>
        <v>878.7</v>
      </c>
      <c r="H409" s="26">
        <f t="shared" si="37"/>
        <v>913.9</v>
      </c>
      <c r="I409" s="203"/>
    </row>
    <row r="410" spans="1:9" ht="31.5" x14ac:dyDescent="0.25">
      <c r="A410" s="25" t="s">
        <v>140</v>
      </c>
      <c r="B410" s="16">
        <v>903</v>
      </c>
      <c r="C410" s="20" t="s">
        <v>306</v>
      </c>
      <c r="D410" s="20" t="s">
        <v>125</v>
      </c>
      <c r="E410" s="20" t="s">
        <v>899</v>
      </c>
      <c r="F410" s="32" t="s">
        <v>141</v>
      </c>
      <c r="G410" s="26">
        <v>878.7</v>
      </c>
      <c r="H410" s="26">
        <v>913.9</v>
      </c>
      <c r="I410" s="203"/>
    </row>
    <row r="411" spans="1:9" ht="31.5" x14ac:dyDescent="0.25">
      <c r="A411" s="23" t="s">
        <v>340</v>
      </c>
      <c r="B411" s="19">
        <v>903</v>
      </c>
      <c r="C411" s="24" t="s">
        <v>306</v>
      </c>
      <c r="D411" s="24" t="s">
        <v>157</v>
      </c>
      <c r="E411" s="24"/>
      <c r="F411" s="24"/>
      <c r="G411" s="21">
        <f>G412+G422+G434+G440</f>
        <v>18566.400000000001</v>
      </c>
      <c r="H411" s="21">
        <f>H412+H422+H434+H440</f>
        <v>18595.400000000001</v>
      </c>
      <c r="I411" s="203"/>
    </row>
    <row r="412" spans="1:9" ht="31.5" x14ac:dyDescent="0.25">
      <c r="A412" s="23" t="s">
        <v>927</v>
      </c>
      <c r="B412" s="19">
        <v>903</v>
      </c>
      <c r="C412" s="24" t="s">
        <v>306</v>
      </c>
      <c r="D412" s="24" t="s">
        <v>157</v>
      </c>
      <c r="E412" s="24" t="s">
        <v>868</v>
      </c>
      <c r="F412" s="24"/>
      <c r="G412" s="21">
        <f>G413</f>
        <v>7291.6</v>
      </c>
      <c r="H412" s="21">
        <f>H413</f>
        <v>7291.6</v>
      </c>
      <c r="I412" s="203"/>
    </row>
    <row r="413" spans="1:9" ht="15.75" x14ac:dyDescent="0.25">
      <c r="A413" s="23" t="s">
        <v>928</v>
      </c>
      <c r="B413" s="19">
        <v>903</v>
      </c>
      <c r="C413" s="24" t="s">
        <v>306</v>
      </c>
      <c r="D413" s="24" t="s">
        <v>157</v>
      </c>
      <c r="E413" s="24" t="s">
        <v>869</v>
      </c>
      <c r="F413" s="24"/>
      <c r="G413" s="21">
        <f>G414+G419</f>
        <v>7291.6</v>
      </c>
      <c r="H413" s="21">
        <f>H414+H419</f>
        <v>7291.6</v>
      </c>
      <c r="I413" s="203"/>
    </row>
    <row r="414" spans="1:9" ht="31.5" x14ac:dyDescent="0.25">
      <c r="A414" s="25" t="s">
        <v>907</v>
      </c>
      <c r="B414" s="16">
        <v>903</v>
      </c>
      <c r="C414" s="20" t="s">
        <v>306</v>
      </c>
      <c r="D414" s="20" t="s">
        <v>157</v>
      </c>
      <c r="E414" s="20" t="s">
        <v>870</v>
      </c>
      <c r="F414" s="20"/>
      <c r="G414" s="26">
        <f>G415</f>
        <v>7015.6</v>
      </c>
      <c r="H414" s="26">
        <f>H415</f>
        <v>7015.6</v>
      </c>
      <c r="I414" s="203"/>
    </row>
    <row r="415" spans="1:9" ht="78.75" x14ac:dyDescent="0.25">
      <c r="A415" s="25" t="s">
        <v>134</v>
      </c>
      <c r="B415" s="16">
        <v>903</v>
      </c>
      <c r="C415" s="20" t="s">
        <v>306</v>
      </c>
      <c r="D415" s="20" t="s">
        <v>157</v>
      </c>
      <c r="E415" s="20" t="s">
        <v>870</v>
      </c>
      <c r="F415" s="20" t="s">
        <v>135</v>
      </c>
      <c r="G415" s="26">
        <f>G416</f>
        <v>7015.6</v>
      </c>
      <c r="H415" s="26">
        <f>H416</f>
        <v>7015.6</v>
      </c>
      <c r="I415" s="203"/>
    </row>
    <row r="416" spans="1:9" ht="31.5" x14ac:dyDescent="0.25">
      <c r="A416" s="25" t="s">
        <v>136</v>
      </c>
      <c r="B416" s="16">
        <v>903</v>
      </c>
      <c r="C416" s="20" t="s">
        <v>306</v>
      </c>
      <c r="D416" s="20" t="s">
        <v>157</v>
      </c>
      <c r="E416" s="20" t="s">
        <v>870</v>
      </c>
      <c r="F416" s="20" t="s">
        <v>137</v>
      </c>
      <c r="G416" s="26">
        <v>7015.6</v>
      </c>
      <c r="H416" s="26">
        <f t="shared" ref="H416:H499" si="38">G416</f>
        <v>7015.6</v>
      </c>
      <c r="I416" s="203"/>
    </row>
    <row r="417" spans="1:9" ht="31.5" hidden="1" x14ac:dyDescent="0.25">
      <c r="A417" s="25" t="s">
        <v>138</v>
      </c>
      <c r="B417" s="16">
        <v>903</v>
      </c>
      <c r="C417" s="20" t="s">
        <v>306</v>
      </c>
      <c r="D417" s="20" t="s">
        <v>157</v>
      </c>
      <c r="E417" s="20" t="s">
        <v>870</v>
      </c>
      <c r="F417" s="20" t="s">
        <v>139</v>
      </c>
      <c r="G417" s="26">
        <f>'Пр.4 ведом.21'!G409</f>
        <v>0</v>
      </c>
      <c r="H417" s="26">
        <f t="shared" si="38"/>
        <v>0</v>
      </c>
      <c r="I417" s="203"/>
    </row>
    <row r="418" spans="1:9" ht="31.5" hidden="1" x14ac:dyDescent="0.25">
      <c r="A418" s="25" t="s">
        <v>140</v>
      </c>
      <c r="B418" s="16">
        <v>903</v>
      </c>
      <c r="C418" s="20" t="s">
        <v>306</v>
      </c>
      <c r="D418" s="20" t="s">
        <v>157</v>
      </c>
      <c r="E418" s="20" t="s">
        <v>870</v>
      </c>
      <c r="F418" s="20" t="s">
        <v>141</v>
      </c>
      <c r="G418" s="26">
        <f>'Пр.4 ведом.21'!G410</f>
        <v>0</v>
      </c>
      <c r="H418" s="26">
        <f t="shared" si="38"/>
        <v>0</v>
      </c>
      <c r="I418" s="203"/>
    </row>
    <row r="419" spans="1:9" ht="47.25" x14ac:dyDescent="0.25">
      <c r="A419" s="25" t="s">
        <v>849</v>
      </c>
      <c r="B419" s="16">
        <v>903</v>
      </c>
      <c r="C419" s="20" t="s">
        <v>306</v>
      </c>
      <c r="D419" s="20" t="s">
        <v>157</v>
      </c>
      <c r="E419" s="20" t="s">
        <v>872</v>
      </c>
      <c r="F419" s="20"/>
      <c r="G419" s="26">
        <f>G420</f>
        <v>276</v>
      </c>
      <c r="H419" s="26">
        <f>H420</f>
        <v>276</v>
      </c>
      <c r="I419" s="203"/>
    </row>
    <row r="420" spans="1:9" ht="78.75" x14ac:dyDescent="0.25">
      <c r="A420" s="25" t="s">
        <v>134</v>
      </c>
      <c r="B420" s="16">
        <v>903</v>
      </c>
      <c r="C420" s="20" t="s">
        <v>306</v>
      </c>
      <c r="D420" s="20" t="s">
        <v>157</v>
      </c>
      <c r="E420" s="20" t="s">
        <v>872</v>
      </c>
      <c r="F420" s="20" t="s">
        <v>135</v>
      </c>
      <c r="G420" s="26">
        <f>G421</f>
        <v>276</v>
      </c>
      <c r="H420" s="26">
        <f>H421</f>
        <v>276</v>
      </c>
      <c r="I420" s="203"/>
    </row>
    <row r="421" spans="1:9" ht="31.5" x14ac:dyDescent="0.25">
      <c r="A421" s="25" t="s">
        <v>136</v>
      </c>
      <c r="B421" s="16">
        <v>903</v>
      </c>
      <c r="C421" s="20" t="s">
        <v>306</v>
      </c>
      <c r="D421" s="20" t="s">
        <v>157</v>
      </c>
      <c r="E421" s="20" t="s">
        <v>872</v>
      </c>
      <c r="F421" s="20" t="s">
        <v>137</v>
      </c>
      <c r="G421" s="26">
        <v>276</v>
      </c>
      <c r="H421" s="26">
        <f t="shared" si="38"/>
        <v>276</v>
      </c>
      <c r="I421" s="203"/>
    </row>
    <row r="422" spans="1:9" ht="15.75" x14ac:dyDescent="0.25">
      <c r="A422" s="23" t="s">
        <v>936</v>
      </c>
      <c r="B422" s="19">
        <v>903</v>
      </c>
      <c r="C422" s="24" t="s">
        <v>306</v>
      </c>
      <c r="D422" s="24" t="s">
        <v>157</v>
      </c>
      <c r="E422" s="24" t="s">
        <v>876</v>
      </c>
      <c r="F422" s="24"/>
      <c r="G422" s="21">
        <f>G423</f>
        <v>11014.8</v>
      </c>
      <c r="H422" s="21">
        <f>H423</f>
        <v>11014.8</v>
      </c>
      <c r="I422" s="203"/>
    </row>
    <row r="423" spans="1:9" ht="31.5" x14ac:dyDescent="0.25">
      <c r="A423" s="23" t="s">
        <v>939</v>
      </c>
      <c r="B423" s="19">
        <v>903</v>
      </c>
      <c r="C423" s="24" t="s">
        <v>306</v>
      </c>
      <c r="D423" s="24" t="s">
        <v>157</v>
      </c>
      <c r="E423" s="24" t="s">
        <v>924</v>
      </c>
      <c r="F423" s="24"/>
      <c r="G423" s="21">
        <f>G424+G431</f>
        <v>11014.8</v>
      </c>
      <c r="H423" s="21">
        <f>H424+H431</f>
        <v>11014.8</v>
      </c>
      <c r="I423" s="203"/>
    </row>
    <row r="424" spans="1:9" ht="31.5" x14ac:dyDescent="0.25">
      <c r="A424" s="25" t="s">
        <v>913</v>
      </c>
      <c r="B424" s="16">
        <v>903</v>
      </c>
      <c r="C424" s="20" t="s">
        <v>306</v>
      </c>
      <c r="D424" s="20" t="s">
        <v>157</v>
      </c>
      <c r="E424" s="20" t="s">
        <v>925</v>
      </c>
      <c r="F424" s="20"/>
      <c r="G424" s="26">
        <f>G425+G427+G429</f>
        <v>10804.8</v>
      </c>
      <c r="H424" s="26">
        <f>H425+H427+H429</f>
        <v>10804.8</v>
      </c>
      <c r="I424" s="203"/>
    </row>
    <row r="425" spans="1:9" ht="78.75" x14ac:dyDescent="0.25">
      <c r="A425" s="25" t="s">
        <v>134</v>
      </c>
      <c r="B425" s="16">
        <v>903</v>
      </c>
      <c r="C425" s="20" t="s">
        <v>306</v>
      </c>
      <c r="D425" s="20" t="s">
        <v>157</v>
      </c>
      <c r="E425" s="20" t="s">
        <v>925</v>
      </c>
      <c r="F425" s="20" t="s">
        <v>135</v>
      </c>
      <c r="G425" s="26">
        <f>G426</f>
        <v>8853.7999999999993</v>
      </c>
      <c r="H425" s="26">
        <f>H426</f>
        <v>8853.7999999999993</v>
      </c>
      <c r="I425" s="203"/>
    </row>
    <row r="426" spans="1:9" ht="24.75" customHeight="1" x14ac:dyDescent="0.25">
      <c r="A426" s="25" t="s">
        <v>349</v>
      </c>
      <c r="B426" s="16">
        <v>903</v>
      </c>
      <c r="C426" s="20" t="s">
        <v>306</v>
      </c>
      <c r="D426" s="20" t="s">
        <v>157</v>
      </c>
      <c r="E426" s="20" t="s">
        <v>925</v>
      </c>
      <c r="F426" s="20" t="s">
        <v>216</v>
      </c>
      <c r="G426" s="26">
        <v>8853.7999999999993</v>
      </c>
      <c r="H426" s="26">
        <f t="shared" si="38"/>
        <v>8853.7999999999993</v>
      </c>
      <c r="I426" s="203"/>
    </row>
    <row r="427" spans="1:9" ht="31.5" x14ac:dyDescent="0.25">
      <c r="A427" s="25" t="s">
        <v>138</v>
      </c>
      <c r="B427" s="16">
        <v>903</v>
      </c>
      <c r="C427" s="20" t="s">
        <v>306</v>
      </c>
      <c r="D427" s="20" t="s">
        <v>157</v>
      </c>
      <c r="E427" s="20" t="s">
        <v>925</v>
      </c>
      <c r="F427" s="20" t="s">
        <v>139</v>
      </c>
      <c r="G427" s="26">
        <f>G428</f>
        <v>1937</v>
      </c>
      <c r="H427" s="26">
        <f>H428</f>
        <v>1937</v>
      </c>
      <c r="I427" s="203"/>
    </row>
    <row r="428" spans="1:9" ht="31.5" x14ac:dyDescent="0.25">
      <c r="A428" s="25" t="s">
        <v>140</v>
      </c>
      <c r="B428" s="16">
        <v>903</v>
      </c>
      <c r="C428" s="20" t="s">
        <v>306</v>
      </c>
      <c r="D428" s="20" t="s">
        <v>157</v>
      </c>
      <c r="E428" s="20" t="s">
        <v>925</v>
      </c>
      <c r="F428" s="20" t="s">
        <v>141</v>
      </c>
      <c r="G428" s="26">
        <f>1937</f>
        <v>1937</v>
      </c>
      <c r="H428" s="26">
        <f t="shared" si="38"/>
        <v>1937</v>
      </c>
      <c r="I428" s="203"/>
    </row>
    <row r="429" spans="1:9" ht="15.75" x14ac:dyDescent="0.25">
      <c r="A429" s="25" t="s">
        <v>142</v>
      </c>
      <c r="B429" s="16">
        <v>903</v>
      </c>
      <c r="C429" s="20" t="s">
        <v>306</v>
      </c>
      <c r="D429" s="20" t="s">
        <v>157</v>
      </c>
      <c r="E429" s="20" t="s">
        <v>925</v>
      </c>
      <c r="F429" s="20" t="s">
        <v>152</v>
      </c>
      <c r="G429" s="26">
        <f>G430</f>
        <v>14</v>
      </c>
      <c r="H429" s="26">
        <f>H430</f>
        <v>14</v>
      </c>
      <c r="I429" s="203"/>
    </row>
    <row r="430" spans="1:9" ht="15.75" x14ac:dyDescent="0.25">
      <c r="A430" s="25" t="s">
        <v>575</v>
      </c>
      <c r="B430" s="16">
        <v>903</v>
      </c>
      <c r="C430" s="20" t="s">
        <v>306</v>
      </c>
      <c r="D430" s="20" t="s">
        <v>157</v>
      </c>
      <c r="E430" s="20" t="s">
        <v>925</v>
      </c>
      <c r="F430" s="20" t="s">
        <v>145</v>
      </c>
      <c r="G430" s="26">
        <f>14</f>
        <v>14</v>
      </c>
      <c r="H430" s="26">
        <f t="shared" si="38"/>
        <v>14</v>
      </c>
      <c r="I430" s="203"/>
    </row>
    <row r="431" spans="1:9" ht="47.25" x14ac:dyDescent="0.25">
      <c r="A431" s="25" t="s">
        <v>849</v>
      </c>
      <c r="B431" s="16">
        <v>903</v>
      </c>
      <c r="C431" s="20" t="s">
        <v>306</v>
      </c>
      <c r="D431" s="20" t="s">
        <v>157</v>
      </c>
      <c r="E431" s="20" t="s">
        <v>926</v>
      </c>
      <c r="F431" s="20"/>
      <c r="G431" s="26">
        <f>G432</f>
        <v>210</v>
      </c>
      <c r="H431" s="26">
        <f>H432</f>
        <v>210</v>
      </c>
      <c r="I431" s="203"/>
    </row>
    <row r="432" spans="1:9" ht="78.75" x14ac:dyDescent="0.25">
      <c r="A432" s="25" t="s">
        <v>134</v>
      </c>
      <c r="B432" s="16">
        <v>903</v>
      </c>
      <c r="C432" s="20" t="s">
        <v>306</v>
      </c>
      <c r="D432" s="20" t="s">
        <v>157</v>
      </c>
      <c r="E432" s="20" t="s">
        <v>926</v>
      </c>
      <c r="F432" s="20" t="s">
        <v>135</v>
      </c>
      <c r="G432" s="26">
        <f>G433</f>
        <v>210</v>
      </c>
      <c r="H432" s="26">
        <f>H433</f>
        <v>210</v>
      </c>
      <c r="I432" s="203"/>
    </row>
    <row r="433" spans="1:9" ht="25.5" customHeight="1" x14ac:dyDescent="0.25">
      <c r="A433" s="25" t="s">
        <v>349</v>
      </c>
      <c r="B433" s="16">
        <v>903</v>
      </c>
      <c r="C433" s="20" t="s">
        <v>306</v>
      </c>
      <c r="D433" s="20" t="s">
        <v>157</v>
      </c>
      <c r="E433" s="20" t="s">
        <v>926</v>
      </c>
      <c r="F433" s="20" t="s">
        <v>216</v>
      </c>
      <c r="G433" s="26">
        <f>210</f>
        <v>210</v>
      </c>
      <c r="H433" s="26">
        <f t="shared" si="38"/>
        <v>210</v>
      </c>
      <c r="I433" s="203"/>
    </row>
    <row r="434" spans="1:9" ht="47.25" x14ac:dyDescent="0.25">
      <c r="A434" s="23" t="s">
        <v>1383</v>
      </c>
      <c r="B434" s="19">
        <v>903</v>
      </c>
      <c r="C434" s="24" t="s">
        <v>306</v>
      </c>
      <c r="D434" s="24" t="s">
        <v>157</v>
      </c>
      <c r="E434" s="24" t="s">
        <v>351</v>
      </c>
      <c r="F434" s="24"/>
      <c r="G434" s="21">
        <f>G435</f>
        <v>260</v>
      </c>
      <c r="H434" s="21">
        <f>H435</f>
        <v>285</v>
      </c>
      <c r="I434" s="203"/>
    </row>
    <row r="435" spans="1:9" ht="33.950000000000003" customHeight="1" x14ac:dyDescent="0.25">
      <c r="A435" s="23" t="s">
        <v>1370</v>
      </c>
      <c r="B435" s="19">
        <v>903</v>
      </c>
      <c r="C435" s="24" t="s">
        <v>306</v>
      </c>
      <c r="D435" s="24" t="s">
        <v>157</v>
      </c>
      <c r="E435" s="24" t="s">
        <v>369</v>
      </c>
      <c r="F435" s="24"/>
      <c r="G435" s="21">
        <f t="shared" ref="G435:H436" si="39">G436</f>
        <v>260</v>
      </c>
      <c r="H435" s="21">
        <f t="shared" si="39"/>
        <v>285</v>
      </c>
      <c r="I435" s="203"/>
    </row>
    <row r="436" spans="1:9" ht="31.5" x14ac:dyDescent="0.25">
      <c r="A436" s="23" t="s">
        <v>1007</v>
      </c>
      <c r="B436" s="19">
        <v>903</v>
      </c>
      <c r="C436" s="24" t="s">
        <v>306</v>
      </c>
      <c r="D436" s="24" t="s">
        <v>157</v>
      </c>
      <c r="E436" s="24" t="s">
        <v>1236</v>
      </c>
      <c r="F436" s="24"/>
      <c r="G436" s="21">
        <f t="shared" si="39"/>
        <v>260</v>
      </c>
      <c r="H436" s="21">
        <f t="shared" si="39"/>
        <v>285</v>
      </c>
      <c r="I436" s="203"/>
    </row>
    <row r="437" spans="1:9" ht="31.5" x14ac:dyDescent="0.25">
      <c r="A437" s="25" t="s">
        <v>1006</v>
      </c>
      <c r="B437" s="16">
        <v>903</v>
      </c>
      <c r="C437" s="20" t="s">
        <v>306</v>
      </c>
      <c r="D437" s="20" t="s">
        <v>157</v>
      </c>
      <c r="E437" s="20" t="s">
        <v>1237</v>
      </c>
      <c r="F437" s="20"/>
      <c r="G437" s="26">
        <f>G438</f>
        <v>260</v>
      </c>
      <c r="H437" s="26">
        <f>H438</f>
        <v>285</v>
      </c>
      <c r="I437" s="203"/>
    </row>
    <row r="438" spans="1:9" ht="31.5" x14ac:dyDescent="0.25">
      <c r="A438" s="25" t="s">
        <v>138</v>
      </c>
      <c r="B438" s="16">
        <v>903</v>
      </c>
      <c r="C438" s="20" t="s">
        <v>306</v>
      </c>
      <c r="D438" s="20" t="s">
        <v>157</v>
      </c>
      <c r="E438" s="20" t="s">
        <v>1237</v>
      </c>
      <c r="F438" s="20" t="s">
        <v>139</v>
      </c>
      <c r="G438" s="26">
        <f>G439</f>
        <v>260</v>
      </c>
      <c r="H438" s="26">
        <f>H439</f>
        <v>285</v>
      </c>
      <c r="I438" s="203"/>
    </row>
    <row r="439" spans="1:9" ht="37.35" customHeight="1" x14ac:dyDescent="0.25">
      <c r="A439" s="25" t="s">
        <v>140</v>
      </c>
      <c r="B439" s="16">
        <v>903</v>
      </c>
      <c r="C439" s="20" t="s">
        <v>306</v>
      </c>
      <c r="D439" s="20" t="s">
        <v>157</v>
      </c>
      <c r="E439" s="20" t="s">
        <v>1237</v>
      </c>
      <c r="F439" s="20" t="s">
        <v>141</v>
      </c>
      <c r="G439" s="26">
        <f>260</f>
        <v>260</v>
      </c>
      <c r="H439" s="26">
        <v>285</v>
      </c>
      <c r="I439" s="203"/>
    </row>
    <row r="440" spans="1:9" s="202" customFormat="1" ht="51" customHeight="1" x14ac:dyDescent="0.25">
      <c r="A440" s="34" t="s">
        <v>1456</v>
      </c>
      <c r="B440" s="19">
        <v>903</v>
      </c>
      <c r="C440" s="24" t="s">
        <v>306</v>
      </c>
      <c r="D440" s="24" t="s">
        <v>157</v>
      </c>
      <c r="E440" s="24" t="s">
        <v>331</v>
      </c>
      <c r="F440" s="24"/>
      <c r="G440" s="21">
        <f>G442</f>
        <v>0</v>
      </c>
      <c r="H440" s="21">
        <f>H441</f>
        <v>4</v>
      </c>
      <c r="I440" s="203"/>
    </row>
    <row r="441" spans="1:9" s="202" customFormat="1" ht="59.1" customHeight="1" x14ac:dyDescent="0.25">
      <c r="A441" s="34" t="s">
        <v>1035</v>
      </c>
      <c r="B441" s="19">
        <v>903</v>
      </c>
      <c r="C441" s="24" t="s">
        <v>306</v>
      </c>
      <c r="D441" s="24" t="s">
        <v>157</v>
      </c>
      <c r="E441" s="24" t="s">
        <v>944</v>
      </c>
      <c r="F441" s="24"/>
      <c r="G441" s="21">
        <f>G444</f>
        <v>0</v>
      </c>
      <c r="H441" s="21">
        <f>H442</f>
        <v>4</v>
      </c>
      <c r="I441" s="203"/>
    </row>
    <row r="442" spans="1:9" s="202" customFormat="1" ht="53.1" customHeight="1" x14ac:dyDescent="0.25">
      <c r="A442" s="31" t="s">
        <v>1091</v>
      </c>
      <c r="B442" s="16">
        <v>903</v>
      </c>
      <c r="C442" s="20" t="s">
        <v>306</v>
      </c>
      <c r="D442" s="20" t="s">
        <v>157</v>
      </c>
      <c r="E442" s="20" t="s">
        <v>1036</v>
      </c>
      <c r="F442" s="20"/>
      <c r="G442" s="26">
        <f>G443</f>
        <v>0</v>
      </c>
      <c r="H442" s="26">
        <f>H443</f>
        <v>4</v>
      </c>
      <c r="I442" s="203"/>
    </row>
    <row r="443" spans="1:9" s="202" customFormat="1" ht="37.35" customHeight="1" x14ac:dyDescent="0.25">
      <c r="A443" s="25" t="s">
        <v>138</v>
      </c>
      <c r="B443" s="16">
        <v>903</v>
      </c>
      <c r="C443" s="20" t="s">
        <v>306</v>
      </c>
      <c r="D443" s="20" t="s">
        <v>157</v>
      </c>
      <c r="E443" s="20" t="s">
        <v>1036</v>
      </c>
      <c r="F443" s="20" t="s">
        <v>139</v>
      </c>
      <c r="G443" s="26">
        <f>G444</f>
        <v>0</v>
      </c>
      <c r="H443" s="26">
        <f>H444</f>
        <v>4</v>
      </c>
      <c r="I443" s="203"/>
    </row>
    <row r="444" spans="1:9" s="202" customFormat="1" ht="37.35" customHeight="1" x14ac:dyDescent="0.25">
      <c r="A444" s="25" t="s">
        <v>140</v>
      </c>
      <c r="B444" s="16">
        <v>903</v>
      </c>
      <c r="C444" s="20" t="s">
        <v>306</v>
      </c>
      <c r="D444" s="20" t="s">
        <v>157</v>
      </c>
      <c r="E444" s="20" t="s">
        <v>1036</v>
      </c>
      <c r="F444" s="20" t="s">
        <v>141</v>
      </c>
      <c r="G444" s="26">
        <v>0</v>
      </c>
      <c r="H444" s="26">
        <v>4</v>
      </c>
      <c r="I444" s="203"/>
    </row>
    <row r="445" spans="1:9" ht="15.75" x14ac:dyDescent="0.25">
      <c r="A445" s="23" t="s">
        <v>250</v>
      </c>
      <c r="B445" s="19">
        <v>903</v>
      </c>
      <c r="C445" s="24" t="s">
        <v>251</v>
      </c>
      <c r="D445" s="24"/>
      <c r="E445" s="24"/>
      <c r="F445" s="24"/>
      <c r="G445" s="21">
        <f>G446</f>
        <v>2001.6100000000001</v>
      </c>
      <c r="H445" s="21">
        <f>H446</f>
        <v>2026.1100000000001</v>
      </c>
      <c r="I445" s="203"/>
    </row>
    <row r="446" spans="1:9" ht="15.75" x14ac:dyDescent="0.25">
      <c r="A446" s="23" t="s">
        <v>259</v>
      </c>
      <c r="B446" s="19">
        <v>903</v>
      </c>
      <c r="C446" s="24" t="s">
        <v>251</v>
      </c>
      <c r="D446" s="24" t="s">
        <v>222</v>
      </c>
      <c r="E446" s="24"/>
      <c r="F446" s="24"/>
      <c r="G446" s="21">
        <f>G447</f>
        <v>2001.6100000000001</v>
      </c>
      <c r="H446" s="21">
        <f>H447</f>
        <v>2026.1100000000001</v>
      </c>
      <c r="I446" s="203"/>
    </row>
    <row r="447" spans="1:9" ht="47.25" x14ac:dyDescent="0.25">
      <c r="A447" s="23" t="s">
        <v>1383</v>
      </c>
      <c r="B447" s="19">
        <v>903</v>
      </c>
      <c r="C447" s="24" t="s">
        <v>251</v>
      </c>
      <c r="D447" s="24" t="s">
        <v>222</v>
      </c>
      <c r="E447" s="24" t="s">
        <v>351</v>
      </c>
      <c r="F447" s="24"/>
      <c r="G447" s="21">
        <f>G448+G453</f>
        <v>2001.6100000000001</v>
      </c>
      <c r="H447" s="21">
        <f>H448+H453</f>
        <v>2026.1100000000001</v>
      </c>
      <c r="I447" s="203"/>
    </row>
    <row r="448" spans="1:9" ht="31.5" x14ac:dyDescent="0.25">
      <c r="A448" s="23" t="s">
        <v>359</v>
      </c>
      <c r="B448" s="19">
        <v>903</v>
      </c>
      <c r="C448" s="24" t="s">
        <v>251</v>
      </c>
      <c r="D448" s="24" t="s">
        <v>222</v>
      </c>
      <c r="E448" s="24" t="s">
        <v>360</v>
      </c>
      <c r="F448" s="24"/>
      <c r="G448" s="21">
        <f t="shared" ref="G448:H451" si="40">G449</f>
        <v>294.61</v>
      </c>
      <c r="H448" s="21">
        <f t="shared" si="40"/>
        <v>289.11</v>
      </c>
      <c r="I448" s="203"/>
    </row>
    <row r="449" spans="1:13" ht="31.5" x14ac:dyDescent="0.25">
      <c r="A449" s="23" t="s">
        <v>915</v>
      </c>
      <c r="B449" s="19">
        <v>903</v>
      </c>
      <c r="C449" s="24" t="s">
        <v>251</v>
      </c>
      <c r="D449" s="24" t="s">
        <v>222</v>
      </c>
      <c r="E449" s="24" t="s">
        <v>914</v>
      </c>
      <c r="F449" s="24"/>
      <c r="G449" s="21">
        <f t="shared" si="40"/>
        <v>294.61</v>
      </c>
      <c r="H449" s="21">
        <f t="shared" si="40"/>
        <v>289.11</v>
      </c>
      <c r="I449" s="203"/>
    </row>
    <row r="450" spans="1:13" ht="31.5" x14ac:dyDescent="0.25">
      <c r="A450" s="25" t="s">
        <v>834</v>
      </c>
      <c r="B450" s="16">
        <v>903</v>
      </c>
      <c r="C450" s="20" t="s">
        <v>251</v>
      </c>
      <c r="D450" s="20" t="s">
        <v>222</v>
      </c>
      <c r="E450" s="20" t="s">
        <v>916</v>
      </c>
      <c r="F450" s="20"/>
      <c r="G450" s="26">
        <f t="shared" si="40"/>
        <v>294.61</v>
      </c>
      <c r="H450" s="26">
        <f t="shared" si="40"/>
        <v>289.11</v>
      </c>
      <c r="I450" s="203"/>
    </row>
    <row r="451" spans="1:13" ht="21.2" customHeight="1" x14ac:dyDescent="0.25">
      <c r="A451" s="25" t="s">
        <v>255</v>
      </c>
      <c r="B451" s="16">
        <v>903</v>
      </c>
      <c r="C451" s="20" t="s">
        <v>251</v>
      </c>
      <c r="D451" s="20" t="s">
        <v>222</v>
      </c>
      <c r="E451" s="20" t="s">
        <v>916</v>
      </c>
      <c r="F451" s="20" t="s">
        <v>256</v>
      </c>
      <c r="G451" s="26">
        <f>G452</f>
        <v>294.61</v>
      </c>
      <c r="H451" s="26">
        <f t="shared" si="40"/>
        <v>289.11</v>
      </c>
      <c r="I451" s="203"/>
    </row>
    <row r="452" spans="1:13" ht="31.5" x14ac:dyDescent="0.25">
      <c r="A452" s="25" t="s">
        <v>257</v>
      </c>
      <c r="B452" s="16">
        <v>903</v>
      </c>
      <c r="C452" s="20" t="s">
        <v>251</v>
      </c>
      <c r="D452" s="20" t="s">
        <v>222</v>
      </c>
      <c r="E452" s="20" t="s">
        <v>916</v>
      </c>
      <c r="F452" s="20" t="s">
        <v>258</v>
      </c>
      <c r="G452" s="26">
        <f>267.8+26.81</f>
        <v>294.61</v>
      </c>
      <c r="H452" s="26">
        <f>262.8+26.31</f>
        <v>289.11</v>
      </c>
      <c r="I452" s="203"/>
      <c r="L452">
        <v>26.81</v>
      </c>
      <c r="M452">
        <v>26.31</v>
      </c>
    </row>
    <row r="453" spans="1:13" ht="31.5" x14ac:dyDescent="0.25">
      <c r="A453" s="23" t="s">
        <v>362</v>
      </c>
      <c r="B453" s="19">
        <v>903</v>
      </c>
      <c r="C453" s="19">
        <v>10</v>
      </c>
      <c r="D453" s="24" t="s">
        <v>222</v>
      </c>
      <c r="E453" s="24" t="s">
        <v>369</v>
      </c>
      <c r="F453" s="24"/>
      <c r="G453" s="21">
        <f>G455+G458+G464</f>
        <v>1707</v>
      </c>
      <c r="H453" s="21">
        <f>H455+H458+H464</f>
        <v>1737</v>
      </c>
      <c r="I453" s="203"/>
    </row>
    <row r="454" spans="1:13" ht="31.5" x14ac:dyDescent="0.25">
      <c r="A454" s="23" t="s">
        <v>1048</v>
      </c>
      <c r="B454" s="19">
        <v>903</v>
      </c>
      <c r="C454" s="19">
        <v>10</v>
      </c>
      <c r="D454" s="24" t="s">
        <v>222</v>
      </c>
      <c r="E454" s="24" t="s">
        <v>923</v>
      </c>
      <c r="F454" s="24"/>
      <c r="G454" s="21">
        <f t="shared" ref="G454:H456" si="41">G455</f>
        <v>630</v>
      </c>
      <c r="H454" s="21">
        <f t="shared" si="41"/>
        <v>630</v>
      </c>
      <c r="I454" s="203"/>
    </row>
    <row r="455" spans="1:13" ht="47.25" x14ac:dyDescent="0.25">
      <c r="A455" s="98" t="s">
        <v>1049</v>
      </c>
      <c r="B455" s="16">
        <v>903</v>
      </c>
      <c r="C455" s="20" t="s">
        <v>251</v>
      </c>
      <c r="D455" s="20" t="s">
        <v>222</v>
      </c>
      <c r="E455" s="20" t="s">
        <v>1239</v>
      </c>
      <c r="F455" s="20"/>
      <c r="G455" s="26">
        <f t="shared" si="41"/>
        <v>630</v>
      </c>
      <c r="H455" s="26">
        <f t="shared" si="41"/>
        <v>630</v>
      </c>
      <c r="I455" s="203"/>
    </row>
    <row r="456" spans="1:13" ht="22.7" customHeight="1" x14ac:dyDescent="0.25">
      <c r="A456" s="25" t="s">
        <v>255</v>
      </c>
      <c r="B456" s="16">
        <v>903</v>
      </c>
      <c r="C456" s="20" t="s">
        <v>251</v>
      </c>
      <c r="D456" s="20" t="s">
        <v>222</v>
      </c>
      <c r="E456" s="20" t="s">
        <v>1239</v>
      </c>
      <c r="F456" s="20" t="s">
        <v>256</v>
      </c>
      <c r="G456" s="26">
        <f t="shared" si="41"/>
        <v>630</v>
      </c>
      <c r="H456" s="26">
        <f t="shared" si="41"/>
        <v>630</v>
      </c>
      <c r="I456" s="203"/>
    </row>
    <row r="457" spans="1:13" ht="31.5" x14ac:dyDescent="0.25">
      <c r="A457" s="25" t="s">
        <v>355</v>
      </c>
      <c r="B457" s="16">
        <v>903</v>
      </c>
      <c r="C457" s="20" t="s">
        <v>251</v>
      </c>
      <c r="D457" s="20" t="s">
        <v>222</v>
      </c>
      <c r="E457" s="20" t="s">
        <v>1239</v>
      </c>
      <c r="F457" s="20" t="s">
        <v>356</v>
      </c>
      <c r="G457" s="26">
        <v>630</v>
      </c>
      <c r="H457" s="26">
        <f t="shared" si="38"/>
        <v>630</v>
      </c>
      <c r="I457" s="203"/>
    </row>
    <row r="458" spans="1:13" ht="31.5" x14ac:dyDescent="0.25">
      <c r="A458" s="23" t="s">
        <v>1243</v>
      </c>
      <c r="B458" s="19">
        <v>903</v>
      </c>
      <c r="C458" s="19">
        <v>10</v>
      </c>
      <c r="D458" s="24" t="s">
        <v>222</v>
      </c>
      <c r="E458" s="24" t="s">
        <v>1241</v>
      </c>
      <c r="F458" s="24"/>
      <c r="G458" s="21">
        <f>G459+G462</f>
        <v>657</v>
      </c>
      <c r="H458" s="21">
        <f>H459+H462</f>
        <v>657</v>
      </c>
      <c r="I458" s="203"/>
    </row>
    <row r="459" spans="1:13" ht="31.5" x14ac:dyDescent="0.25">
      <c r="A459" s="25" t="s">
        <v>1240</v>
      </c>
      <c r="B459" s="16">
        <v>903</v>
      </c>
      <c r="C459" s="20" t="s">
        <v>251</v>
      </c>
      <c r="D459" s="20" t="s">
        <v>222</v>
      </c>
      <c r="E459" s="20" t="s">
        <v>1242</v>
      </c>
      <c r="F459" s="20"/>
      <c r="G459" s="26">
        <f>G460</f>
        <v>400</v>
      </c>
      <c r="H459" s="26">
        <f>H460</f>
        <v>400</v>
      </c>
      <c r="I459" s="203"/>
    </row>
    <row r="460" spans="1:13" ht="31.5" x14ac:dyDescent="0.25">
      <c r="A460" s="25" t="s">
        <v>138</v>
      </c>
      <c r="B460" s="16">
        <v>903</v>
      </c>
      <c r="C460" s="20" t="s">
        <v>251</v>
      </c>
      <c r="D460" s="20" t="s">
        <v>222</v>
      </c>
      <c r="E460" s="20" t="s">
        <v>1242</v>
      </c>
      <c r="F460" s="20" t="s">
        <v>139</v>
      </c>
      <c r="G460" s="26">
        <f>G461</f>
        <v>400</v>
      </c>
      <c r="H460" s="26">
        <f>H461</f>
        <v>400</v>
      </c>
      <c r="I460" s="203"/>
    </row>
    <row r="461" spans="1:13" ht="31.5" x14ac:dyDescent="0.25">
      <c r="A461" s="25" t="s">
        <v>140</v>
      </c>
      <c r="B461" s="16">
        <v>903</v>
      </c>
      <c r="C461" s="20" t="s">
        <v>251</v>
      </c>
      <c r="D461" s="20" t="s">
        <v>222</v>
      </c>
      <c r="E461" s="20" t="s">
        <v>1242</v>
      </c>
      <c r="F461" s="20" t="s">
        <v>141</v>
      </c>
      <c r="G461" s="26">
        <v>400</v>
      </c>
      <c r="H461" s="26">
        <f t="shared" si="38"/>
        <v>400</v>
      </c>
      <c r="I461" s="203"/>
    </row>
    <row r="462" spans="1:13" s="202" customFormat="1" ht="31.5" x14ac:dyDescent="0.25">
      <c r="A462" s="25" t="s">
        <v>255</v>
      </c>
      <c r="B462" s="16">
        <v>903</v>
      </c>
      <c r="C462" s="20" t="s">
        <v>251</v>
      </c>
      <c r="D462" s="20" t="s">
        <v>222</v>
      </c>
      <c r="E462" s="20" t="s">
        <v>1242</v>
      </c>
      <c r="F462" s="20" t="s">
        <v>256</v>
      </c>
      <c r="G462" s="26">
        <f>G463</f>
        <v>257</v>
      </c>
      <c r="H462" s="26">
        <f>H463</f>
        <v>257</v>
      </c>
      <c r="I462" s="203"/>
    </row>
    <row r="463" spans="1:13" s="202" customFormat="1" ht="31.5" x14ac:dyDescent="0.25">
      <c r="A463" s="25" t="s">
        <v>355</v>
      </c>
      <c r="B463" s="16">
        <v>903</v>
      </c>
      <c r="C463" s="20" t="s">
        <v>251</v>
      </c>
      <c r="D463" s="20" t="s">
        <v>222</v>
      </c>
      <c r="E463" s="20" t="s">
        <v>1242</v>
      </c>
      <c r="F463" s="20" t="s">
        <v>356</v>
      </c>
      <c r="G463" s="26">
        <v>257</v>
      </c>
      <c r="H463" s="26">
        <f t="shared" si="38"/>
        <v>257</v>
      </c>
      <c r="I463" s="203"/>
    </row>
    <row r="464" spans="1:13" ht="31.5" x14ac:dyDescent="0.25">
      <c r="A464" s="23" t="s">
        <v>1007</v>
      </c>
      <c r="B464" s="19">
        <v>903</v>
      </c>
      <c r="C464" s="19">
        <v>10</v>
      </c>
      <c r="D464" s="24" t="s">
        <v>222</v>
      </c>
      <c r="E464" s="24" t="s">
        <v>1236</v>
      </c>
      <c r="F464" s="24"/>
      <c r="G464" s="21">
        <f>G465</f>
        <v>420</v>
      </c>
      <c r="H464" s="21">
        <f t="shared" ref="H464:H466" si="42">H465</f>
        <v>450</v>
      </c>
      <c r="I464" s="203"/>
    </row>
    <row r="465" spans="1:9" ht="15.75" x14ac:dyDescent="0.25">
      <c r="A465" s="25" t="s">
        <v>1046</v>
      </c>
      <c r="B465" s="16">
        <v>903</v>
      </c>
      <c r="C465" s="20" t="s">
        <v>251</v>
      </c>
      <c r="D465" s="20" t="s">
        <v>222</v>
      </c>
      <c r="E465" s="20" t="s">
        <v>1238</v>
      </c>
      <c r="F465" s="20"/>
      <c r="G465" s="26">
        <f>G466</f>
        <v>420</v>
      </c>
      <c r="H465" s="26">
        <f t="shared" si="42"/>
        <v>450</v>
      </c>
      <c r="I465" s="203"/>
    </row>
    <row r="466" spans="1:9" ht="17.45" customHeight="1" x14ac:dyDescent="0.25">
      <c r="A466" s="25" t="s">
        <v>255</v>
      </c>
      <c r="B466" s="16">
        <v>903</v>
      </c>
      <c r="C466" s="20" t="s">
        <v>251</v>
      </c>
      <c r="D466" s="20" t="s">
        <v>222</v>
      </c>
      <c r="E466" s="20" t="s">
        <v>1238</v>
      </c>
      <c r="F466" s="20" t="s">
        <v>256</v>
      </c>
      <c r="G466" s="26">
        <f>G467</f>
        <v>420</v>
      </c>
      <c r="H466" s="26">
        <f t="shared" si="42"/>
        <v>450</v>
      </c>
      <c r="I466" s="203"/>
    </row>
    <row r="467" spans="1:9" ht="31.5" x14ac:dyDescent="0.25">
      <c r="A467" s="25" t="s">
        <v>355</v>
      </c>
      <c r="B467" s="16">
        <v>903</v>
      </c>
      <c r="C467" s="20" t="s">
        <v>251</v>
      </c>
      <c r="D467" s="20" t="s">
        <v>222</v>
      </c>
      <c r="E467" s="20" t="s">
        <v>1238</v>
      </c>
      <c r="F467" s="20" t="s">
        <v>356</v>
      </c>
      <c r="G467" s="26">
        <v>420</v>
      </c>
      <c r="H467" s="26">
        <v>450</v>
      </c>
      <c r="I467" s="203"/>
    </row>
    <row r="468" spans="1:9" s="202" customFormat="1" ht="15.75" x14ac:dyDescent="0.25">
      <c r="A468" s="23" t="s">
        <v>589</v>
      </c>
      <c r="B468" s="19">
        <v>903</v>
      </c>
      <c r="C468" s="24" t="s">
        <v>245</v>
      </c>
      <c r="D468" s="20"/>
      <c r="E468" s="20"/>
      <c r="F468" s="20"/>
      <c r="G468" s="21">
        <f>G469</f>
        <v>5873.2</v>
      </c>
      <c r="H468" s="21">
        <f>H469</f>
        <v>5876.2</v>
      </c>
      <c r="I468" s="203"/>
    </row>
    <row r="469" spans="1:9" s="202" customFormat="1" ht="15.75" x14ac:dyDescent="0.25">
      <c r="A469" s="23" t="s">
        <v>590</v>
      </c>
      <c r="B469" s="19">
        <v>903</v>
      </c>
      <c r="C469" s="24" t="s">
        <v>245</v>
      </c>
      <c r="D469" s="24" t="s">
        <v>220</v>
      </c>
      <c r="E469" s="24"/>
      <c r="F469" s="24"/>
      <c r="G469" s="21">
        <f>G470+G483</f>
        <v>5873.2</v>
      </c>
      <c r="H469" s="21">
        <f>H470+H483</f>
        <v>5876.2</v>
      </c>
      <c r="I469" s="203"/>
    </row>
    <row r="470" spans="1:9" s="202" customFormat="1" ht="31.5" x14ac:dyDescent="0.25">
      <c r="A470" s="23" t="s">
        <v>1368</v>
      </c>
      <c r="B470" s="19">
        <v>903</v>
      </c>
      <c r="C470" s="24" t="s">
        <v>245</v>
      </c>
      <c r="D470" s="24" t="s">
        <v>220</v>
      </c>
      <c r="E470" s="24" t="s">
        <v>274</v>
      </c>
      <c r="F470" s="24"/>
      <c r="G470" s="21">
        <f>G471+G479</f>
        <v>5798.3</v>
      </c>
      <c r="H470" s="21">
        <f>H471+H479</f>
        <v>5798.3</v>
      </c>
      <c r="I470" s="203"/>
    </row>
    <row r="471" spans="1:9" s="202" customFormat="1" ht="31.5" x14ac:dyDescent="0.25">
      <c r="A471" s="23" t="s">
        <v>1315</v>
      </c>
      <c r="B471" s="19">
        <v>903</v>
      </c>
      <c r="C471" s="24" t="s">
        <v>245</v>
      </c>
      <c r="D471" s="24" t="s">
        <v>220</v>
      </c>
      <c r="E471" s="24" t="s">
        <v>1218</v>
      </c>
      <c r="F471" s="24"/>
      <c r="G471" s="21">
        <f>G472</f>
        <v>5522.3</v>
      </c>
      <c r="H471" s="21">
        <f>H472</f>
        <v>5522.3</v>
      </c>
      <c r="I471" s="203"/>
    </row>
    <row r="472" spans="1:9" s="202" customFormat="1" ht="15.75" x14ac:dyDescent="0.25">
      <c r="A472" s="25" t="s">
        <v>811</v>
      </c>
      <c r="B472" s="16">
        <v>903</v>
      </c>
      <c r="C472" s="20" t="s">
        <v>245</v>
      </c>
      <c r="D472" s="20" t="s">
        <v>220</v>
      </c>
      <c r="E472" s="20" t="s">
        <v>1219</v>
      </c>
      <c r="F472" s="20"/>
      <c r="G472" s="26">
        <f>G473+G475+G477</f>
        <v>5522.3</v>
      </c>
      <c r="H472" s="26">
        <f>H473+H475+H477</f>
        <v>5522.3</v>
      </c>
      <c r="I472" s="203"/>
    </row>
    <row r="473" spans="1:9" s="202" customFormat="1" ht="78.75" x14ac:dyDescent="0.25">
      <c r="A473" s="25" t="s">
        <v>134</v>
      </c>
      <c r="B473" s="16">
        <v>903</v>
      </c>
      <c r="C473" s="20" t="s">
        <v>245</v>
      </c>
      <c r="D473" s="20" t="s">
        <v>220</v>
      </c>
      <c r="E473" s="20" t="s">
        <v>1219</v>
      </c>
      <c r="F473" s="20" t="s">
        <v>135</v>
      </c>
      <c r="G473" s="26">
        <f>G474</f>
        <v>4897.2</v>
      </c>
      <c r="H473" s="26">
        <f>H474</f>
        <v>4897.2</v>
      </c>
      <c r="I473" s="203"/>
    </row>
    <row r="474" spans="1:9" s="202" customFormat="1" ht="15.75" x14ac:dyDescent="0.25">
      <c r="A474" s="25" t="s">
        <v>215</v>
      </c>
      <c r="B474" s="16">
        <v>903</v>
      </c>
      <c r="C474" s="20" t="s">
        <v>245</v>
      </c>
      <c r="D474" s="20" t="s">
        <v>220</v>
      </c>
      <c r="E474" s="20" t="s">
        <v>1219</v>
      </c>
      <c r="F474" s="20" t="s">
        <v>216</v>
      </c>
      <c r="G474" s="27">
        <v>4897.2</v>
      </c>
      <c r="H474" s="27">
        <f>G474</f>
        <v>4897.2</v>
      </c>
      <c r="I474" s="203"/>
    </row>
    <row r="475" spans="1:9" s="202" customFormat="1" ht="31.5" x14ac:dyDescent="0.25">
      <c r="A475" s="25" t="s">
        <v>138</v>
      </c>
      <c r="B475" s="16">
        <v>903</v>
      </c>
      <c r="C475" s="20" t="s">
        <v>245</v>
      </c>
      <c r="D475" s="20" t="s">
        <v>220</v>
      </c>
      <c r="E475" s="20" t="s">
        <v>1219</v>
      </c>
      <c r="F475" s="20" t="s">
        <v>139</v>
      </c>
      <c r="G475" s="26">
        <f>G476</f>
        <v>595.1</v>
      </c>
      <c r="H475" s="26">
        <f>H476</f>
        <v>595.1</v>
      </c>
      <c r="I475" s="203"/>
    </row>
    <row r="476" spans="1:9" s="202" customFormat="1" ht="33.4" customHeight="1" x14ac:dyDescent="0.25">
      <c r="A476" s="25" t="s">
        <v>140</v>
      </c>
      <c r="B476" s="16">
        <v>903</v>
      </c>
      <c r="C476" s="20" t="s">
        <v>245</v>
      </c>
      <c r="D476" s="20" t="s">
        <v>220</v>
      </c>
      <c r="E476" s="20" t="s">
        <v>1219</v>
      </c>
      <c r="F476" s="20" t="s">
        <v>141</v>
      </c>
      <c r="G476" s="27">
        <v>595.1</v>
      </c>
      <c r="H476" s="27">
        <f>G476</f>
        <v>595.1</v>
      </c>
      <c r="I476" s="203"/>
    </row>
    <row r="477" spans="1:9" s="202" customFormat="1" ht="15.75" x14ac:dyDescent="0.25">
      <c r="A477" s="25" t="s">
        <v>142</v>
      </c>
      <c r="B477" s="16">
        <v>903</v>
      </c>
      <c r="C477" s="20" t="s">
        <v>245</v>
      </c>
      <c r="D477" s="20" t="s">
        <v>220</v>
      </c>
      <c r="E477" s="20" t="s">
        <v>1219</v>
      </c>
      <c r="F477" s="20" t="s">
        <v>152</v>
      </c>
      <c r="G477" s="26">
        <f>G478</f>
        <v>30</v>
      </c>
      <c r="H477" s="26">
        <f>H478</f>
        <v>30</v>
      </c>
      <c r="I477" s="203"/>
    </row>
    <row r="478" spans="1:9" s="202" customFormat="1" ht="15.75" x14ac:dyDescent="0.25">
      <c r="A478" s="25" t="s">
        <v>575</v>
      </c>
      <c r="B478" s="16">
        <v>903</v>
      </c>
      <c r="C478" s="20" t="s">
        <v>245</v>
      </c>
      <c r="D478" s="20" t="s">
        <v>220</v>
      </c>
      <c r="E478" s="20" t="s">
        <v>1219</v>
      </c>
      <c r="F478" s="20" t="s">
        <v>145</v>
      </c>
      <c r="G478" s="26">
        <v>30</v>
      </c>
      <c r="H478" s="26">
        <f>G478</f>
        <v>30</v>
      </c>
      <c r="I478" s="203"/>
    </row>
    <row r="479" spans="1:9" s="202" customFormat="1" ht="31.5" x14ac:dyDescent="0.25">
      <c r="A479" s="23" t="s">
        <v>957</v>
      </c>
      <c r="B479" s="19">
        <v>903</v>
      </c>
      <c r="C479" s="24" t="s">
        <v>245</v>
      </c>
      <c r="D479" s="24" t="s">
        <v>220</v>
      </c>
      <c r="E479" s="24" t="s">
        <v>1223</v>
      </c>
      <c r="F479" s="24"/>
      <c r="G479" s="21">
        <f t="shared" ref="G479:H481" si="43">G480</f>
        <v>276</v>
      </c>
      <c r="H479" s="21">
        <f t="shared" si="43"/>
        <v>276</v>
      </c>
      <c r="I479" s="203"/>
    </row>
    <row r="480" spans="1:9" s="202" customFormat="1" ht="47.25" x14ac:dyDescent="0.25">
      <c r="A480" s="25" t="s">
        <v>849</v>
      </c>
      <c r="B480" s="16">
        <v>903</v>
      </c>
      <c r="C480" s="20" t="s">
        <v>245</v>
      </c>
      <c r="D480" s="20" t="s">
        <v>220</v>
      </c>
      <c r="E480" s="20" t="s">
        <v>1224</v>
      </c>
      <c r="F480" s="20"/>
      <c r="G480" s="26">
        <f t="shared" si="43"/>
        <v>276</v>
      </c>
      <c r="H480" s="26">
        <f t="shared" si="43"/>
        <v>276</v>
      </c>
      <c r="I480" s="203"/>
    </row>
    <row r="481" spans="1:9" s="202" customFormat="1" ht="78.75" x14ac:dyDescent="0.25">
      <c r="A481" s="25" t="s">
        <v>134</v>
      </c>
      <c r="B481" s="16">
        <v>903</v>
      </c>
      <c r="C481" s="20" t="s">
        <v>245</v>
      </c>
      <c r="D481" s="20" t="s">
        <v>220</v>
      </c>
      <c r="E481" s="20" t="s">
        <v>1224</v>
      </c>
      <c r="F481" s="20" t="s">
        <v>135</v>
      </c>
      <c r="G481" s="26">
        <f t="shared" si="43"/>
        <v>276</v>
      </c>
      <c r="H481" s="26">
        <f t="shared" si="43"/>
        <v>276</v>
      </c>
      <c r="I481" s="203"/>
    </row>
    <row r="482" spans="1:9" s="202" customFormat="1" ht="15.75" x14ac:dyDescent="0.25">
      <c r="A482" s="25" t="s">
        <v>215</v>
      </c>
      <c r="B482" s="16">
        <v>903</v>
      </c>
      <c r="C482" s="20" t="s">
        <v>245</v>
      </c>
      <c r="D482" s="20" t="s">
        <v>220</v>
      </c>
      <c r="E482" s="20" t="s">
        <v>1224</v>
      </c>
      <c r="F482" s="20" t="s">
        <v>216</v>
      </c>
      <c r="G482" s="26">
        <v>276</v>
      </c>
      <c r="H482" s="26">
        <f>G482</f>
        <v>276</v>
      </c>
      <c r="I482" s="203"/>
    </row>
    <row r="483" spans="1:9" s="202" customFormat="1" ht="47.25" x14ac:dyDescent="0.25">
      <c r="A483" s="41" t="s">
        <v>1369</v>
      </c>
      <c r="B483" s="19">
        <v>903</v>
      </c>
      <c r="C483" s="24" t="s">
        <v>245</v>
      </c>
      <c r="D483" s="24" t="s">
        <v>220</v>
      </c>
      <c r="E483" s="24" t="s">
        <v>715</v>
      </c>
      <c r="F483" s="217"/>
      <c r="G483" s="21">
        <f>G485</f>
        <v>74.900000000000006</v>
      </c>
      <c r="H483" s="21">
        <f>H485</f>
        <v>77.900000000000006</v>
      </c>
      <c r="I483" s="203"/>
    </row>
    <row r="484" spans="1:9" s="202" customFormat="1" ht="47.25" x14ac:dyDescent="0.25">
      <c r="A484" s="41" t="s">
        <v>900</v>
      </c>
      <c r="B484" s="19">
        <v>903</v>
      </c>
      <c r="C484" s="24" t="s">
        <v>245</v>
      </c>
      <c r="D484" s="24" t="s">
        <v>220</v>
      </c>
      <c r="E484" s="24" t="s">
        <v>898</v>
      </c>
      <c r="F484" s="217"/>
      <c r="G484" s="21">
        <f t="shared" ref="G484:H486" si="44">G485</f>
        <v>74.900000000000006</v>
      </c>
      <c r="H484" s="21">
        <f t="shared" si="44"/>
        <v>77.900000000000006</v>
      </c>
      <c r="I484" s="203"/>
    </row>
    <row r="485" spans="1:9" s="202" customFormat="1" ht="29.25" customHeight="1" x14ac:dyDescent="0.25">
      <c r="A485" s="98" t="s">
        <v>1014</v>
      </c>
      <c r="B485" s="16">
        <v>903</v>
      </c>
      <c r="C485" s="20" t="s">
        <v>245</v>
      </c>
      <c r="D485" s="20" t="s">
        <v>220</v>
      </c>
      <c r="E485" s="20" t="s">
        <v>899</v>
      </c>
      <c r="F485" s="32"/>
      <c r="G485" s="26">
        <f t="shared" si="44"/>
        <v>74.900000000000006</v>
      </c>
      <c r="H485" s="26">
        <f t="shared" si="44"/>
        <v>77.900000000000006</v>
      </c>
      <c r="I485" s="203"/>
    </row>
    <row r="486" spans="1:9" s="202" customFormat="1" ht="31.5" x14ac:dyDescent="0.25">
      <c r="A486" s="25" t="s">
        <v>138</v>
      </c>
      <c r="B486" s="16">
        <v>903</v>
      </c>
      <c r="C486" s="20" t="s">
        <v>245</v>
      </c>
      <c r="D486" s="20" t="s">
        <v>220</v>
      </c>
      <c r="E486" s="20" t="s">
        <v>899</v>
      </c>
      <c r="F486" s="32" t="s">
        <v>139</v>
      </c>
      <c r="G486" s="26">
        <f t="shared" si="44"/>
        <v>74.900000000000006</v>
      </c>
      <c r="H486" s="26">
        <f t="shared" si="44"/>
        <v>77.900000000000006</v>
      </c>
      <c r="I486" s="203"/>
    </row>
    <row r="487" spans="1:9" s="202" customFormat="1" ht="30.6" customHeight="1" x14ac:dyDescent="0.25">
      <c r="A487" s="25" t="s">
        <v>140</v>
      </c>
      <c r="B487" s="16">
        <v>903</v>
      </c>
      <c r="C487" s="20" t="s">
        <v>245</v>
      </c>
      <c r="D487" s="20" t="s">
        <v>220</v>
      </c>
      <c r="E487" s="20" t="s">
        <v>899</v>
      </c>
      <c r="F487" s="32" t="s">
        <v>141</v>
      </c>
      <c r="G487" s="26">
        <v>74.900000000000006</v>
      </c>
      <c r="H487" s="26">
        <v>77.900000000000006</v>
      </c>
      <c r="I487" s="203"/>
    </row>
    <row r="488" spans="1:9" ht="47.25" x14ac:dyDescent="0.25">
      <c r="A488" s="19" t="s">
        <v>394</v>
      </c>
      <c r="B488" s="19">
        <v>905</v>
      </c>
      <c r="C488" s="20"/>
      <c r="D488" s="20"/>
      <c r="E488" s="20"/>
      <c r="F488" s="20"/>
      <c r="G488" s="21">
        <f>G489+G521+G531</f>
        <v>20108.5</v>
      </c>
      <c r="H488" s="21">
        <f>H489+H521+H531</f>
        <v>28442.600000000002</v>
      </c>
      <c r="I488" s="203"/>
    </row>
    <row r="489" spans="1:9" ht="15.75" x14ac:dyDescent="0.25">
      <c r="A489" s="23" t="s">
        <v>124</v>
      </c>
      <c r="B489" s="19">
        <v>905</v>
      </c>
      <c r="C489" s="24" t="s">
        <v>125</v>
      </c>
      <c r="D489" s="20"/>
      <c r="E489" s="20"/>
      <c r="F489" s="20"/>
      <c r="G489" s="21">
        <f>G490+G507</f>
        <v>17369</v>
      </c>
      <c r="H489" s="21">
        <f>H490+H507</f>
        <v>17369</v>
      </c>
      <c r="I489" s="203"/>
    </row>
    <row r="490" spans="1:9" ht="63" x14ac:dyDescent="0.25">
      <c r="A490" s="23" t="s">
        <v>156</v>
      </c>
      <c r="B490" s="19">
        <v>905</v>
      </c>
      <c r="C490" s="24" t="s">
        <v>125</v>
      </c>
      <c r="D490" s="24" t="s">
        <v>157</v>
      </c>
      <c r="E490" s="24"/>
      <c r="F490" s="24"/>
      <c r="G490" s="21">
        <f>G491</f>
        <v>12166.9</v>
      </c>
      <c r="H490" s="21">
        <f>H491</f>
        <v>12166.9</v>
      </c>
      <c r="I490" s="203"/>
    </row>
    <row r="491" spans="1:9" ht="31.5" x14ac:dyDescent="0.25">
      <c r="A491" s="23" t="s">
        <v>927</v>
      </c>
      <c r="B491" s="19">
        <v>905</v>
      </c>
      <c r="C491" s="24" t="s">
        <v>125</v>
      </c>
      <c r="D491" s="24" t="s">
        <v>157</v>
      </c>
      <c r="E491" s="24" t="s">
        <v>868</v>
      </c>
      <c r="F491" s="24"/>
      <c r="G491" s="21">
        <f>G492+G503</f>
        <v>12166.9</v>
      </c>
      <c r="H491" s="21">
        <f>H492+H503</f>
        <v>12166.9</v>
      </c>
      <c r="I491" s="203"/>
    </row>
    <row r="492" spans="1:9" ht="15.75" x14ac:dyDescent="0.25">
      <c r="A492" s="23" t="s">
        <v>928</v>
      </c>
      <c r="B492" s="19">
        <v>905</v>
      </c>
      <c r="C492" s="24" t="s">
        <v>125</v>
      </c>
      <c r="D492" s="24" t="s">
        <v>157</v>
      </c>
      <c r="E492" s="24" t="s">
        <v>869</v>
      </c>
      <c r="F492" s="24"/>
      <c r="G492" s="21">
        <f>G493+G500</f>
        <v>12144.6</v>
      </c>
      <c r="H492" s="21">
        <f>H493+H500</f>
        <v>12144.6</v>
      </c>
      <c r="I492" s="203"/>
    </row>
    <row r="493" spans="1:9" ht="31.5" x14ac:dyDescent="0.25">
      <c r="A493" s="25" t="s">
        <v>907</v>
      </c>
      <c r="B493" s="16">
        <v>905</v>
      </c>
      <c r="C493" s="20" t="s">
        <v>125</v>
      </c>
      <c r="D493" s="20" t="s">
        <v>157</v>
      </c>
      <c r="E493" s="20" t="s">
        <v>870</v>
      </c>
      <c r="F493" s="20"/>
      <c r="G493" s="26">
        <f>G494+G496+G498</f>
        <v>11682.6</v>
      </c>
      <c r="H493" s="26">
        <f>H494+H496+H498</f>
        <v>11682.6</v>
      </c>
      <c r="I493" s="203"/>
    </row>
    <row r="494" spans="1:9" ht="78.75" x14ac:dyDescent="0.25">
      <c r="A494" s="25" t="s">
        <v>134</v>
      </c>
      <c r="B494" s="16">
        <v>905</v>
      </c>
      <c r="C494" s="20" t="s">
        <v>125</v>
      </c>
      <c r="D494" s="20" t="s">
        <v>157</v>
      </c>
      <c r="E494" s="20" t="s">
        <v>870</v>
      </c>
      <c r="F494" s="20" t="s">
        <v>135</v>
      </c>
      <c r="G494" s="26">
        <f>G495</f>
        <v>11111.6</v>
      </c>
      <c r="H494" s="26">
        <f>H495</f>
        <v>11111.6</v>
      </c>
      <c r="I494" s="203"/>
    </row>
    <row r="495" spans="1:9" ht="31.5" x14ac:dyDescent="0.25">
      <c r="A495" s="25" t="s">
        <v>136</v>
      </c>
      <c r="B495" s="16">
        <v>905</v>
      </c>
      <c r="C495" s="20" t="s">
        <v>125</v>
      </c>
      <c r="D495" s="20" t="s">
        <v>157</v>
      </c>
      <c r="E495" s="20" t="s">
        <v>870</v>
      </c>
      <c r="F495" s="20" t="s">
        <v>137</v>
      </c>
      <c r="G495" s="26">
        <v>11111.6</v>
      </c>
      <c r="H495" s="26">
        <f t="shared" si="38"/>
        <v>11111.6</v>
      </c>
      <c r="I495" s="203"/>
    </row>
    <row r="496" spans="1:9" ht="31.5" x14ac:dyDescent="0.25">
      <c r="A496" s="25" t="s">
        <v>138</v>
      </c>
      <c r="B496" s="16">
        <v>905</v>
      </c>
      <c r="C496" s="20" t="s">
        <v>125</v>
      </c>
      <c r="D496" s="20" t="s">
        <v>157</v>
      </c>
      <c r="E496" s="20" t="s">
        <v>870</v>
      </c>
      <c r="F496" s="20" t="s">
        <v>139</v>
      </c>
      <c r="G496" s="26">
        <f>G497</f>
        <v>440</v>
      </c>
      <c r="H496" s="26">
        <f>H497</f>
        <v>440</v>
      </c>
      <c r="I496" s="203"/>
    </row>
    <row r="497" spans="1:9" ht="31.5" x14ac:dyDescent="0.25">
      <c r="A497" s="25" t="s">
        <v>140</v>
      </c>
      <c r="B497" s="16">
        <v>905</v>
      </c>
      <c r="C497" s="20" t="s">
        <v>125</v>
      </c>
      <c r="D497" s="20" t="s">
        <v>157</v>
      </c>
      <c r="E497" s="20" t="s">
        <v>870</v>
      </c>
      <c r="F497" s="20" t="s">
        <v>141</v>
      </c>
      <c r="G497" s="26">
        <f>440</f>
        <v>440</v>
      </c>
      <c r="H497" s="26">
        <f t="shared" si="38"/>
        <v>440</v>
      </c>
      <c r="I497" s="203"/>
    </row>
    <row r="498" spans="1:9" ht="15.75" x14ac:dyDescent="0.25">
      <c r="A498" s="25" t="s">
        <v>142</v>
      </c>
      <c r="B498" s="16">
        <v>905</v>
      </c>
      <c r="C498" s="20" t="s">
        <v>125</v>
      </c>
      <c r="D498" s="20" t="s">
        <v>157</v>
      </c>
      <c r="E498" s="20" t="s">
        <v>870</v>
      </c>
      <c r="F498" s="20" t="s">
        <v>152</v>
      </c>
      <c r="G498" s="26">
        <f>G499</f>
        <v>131</v>
      </c>
      <c r="H498" s="26">
        <f>H499</f>
        <v>131</v>
      </c>
      <c r="I498" s="203"/>
    </row>
    <row r="499" spans="1:9" ht="15.75" x14ac:dyDescent="0.25">
      <c r="A499" s="25" t="s">
        <v>575</v>
      </c>
      <c r="B499" s="16">
        <v>905</v>
      </c>
      <c r="C499" s="20" t="s">
        <v>125</v>
      </c>
      <c r="D499" s="20" t="s">
        <v>157</v>
      </c>
      <c r="E499" s="20" t="s">
        <v>870</v>
      </c>
      <c r="F499" s="20" t="s">
        <v>145</v>
      </c>
      <c r="G499" s="26">
        <f>131</f>
        <v>131</v>
      </c>
      <c r="H499" s="26">
        <f t="shared" si="38"/>
        <v>131</v>
      </c>
      <c r="I499" s="203"/>
    </row>
    <row r="500" spans="1:9" ht="47.25" x14ac:dyDescent="0.25">
      <c r="A500" s="25" t="s">
        <v>849</v>
      </c>
      <c r="B500" s="16">
        <v>905</v>
      </c>
      <c r="C500" s="20" t="s">
        <v>125</v>
      </c>
      <c r="D500" s="20" t="s">
        <v>157</v>
      </c>
      <c r="E500" s="20" t="s">
        <v>872</v>
      </c>
      <c r="F500" s="20"/>
      <c r="G500" s="26">
        <f>G501</f>
        <v>462</v>
      </c>
      <c r="H500" s="26">
        <f>H501</f>
        <v>462</v>
      </c>
      <c r="I500" s="203"/>
    </row>
    <row r="501" spans="1:9" ht="78.75" x14ac:dyDescent="0.25">
      <c r="A501" s="25" t="s">
        <v>134</v>
      </c>
      <c r="B501" s="16">
        <v>905</v>
      </c>
      <c r="C501" s="20" t="s">
        <v>125</v>
      </c>
      <c r="D501" s="20" t="s">
        <v>157</v>
      </c>
      <c r="E501" s="20" t="s">
        <v>872</v>
      </c>
      <c r="F501" s="20" t="s">
        <v>135</v>
      </c>
      <c r="G501" s="26">
        <f>G502</f>
        <v>462</v>
      </c>
      <c r="H501" s="26">
        <f>H502</f>
        <v>462</v>
      </c>
      <c r="I501" s="203"/>
    </row>
    <row r="502" spans="1:9" ht="31.5" x14ac:dyDescent="0.25">
      <c r="A502" s="25" t="s">
        <v>136</v>
      </c>
      <c r="B502" s="16">
        <v>905</v>
      </c>
      <c r="C502" s="20" t="s">
        <v>125</v>
      </c>
      <c r="D502" s="20" t="s">
        <v>157</v>
      </c>
      <c r="E502" s="20" t="s">
        <v>872</v>
      </c>
      <c r="F502" s="20" t="s">
        <v>137</v>
      </c>
      <c r="G502" s="26">
        <v>462</v>
      </c>
      <c r="H502" s="26">
        <f t="shared" ref="H502:H569" si="45">G502</f>
        <v>462</v>
      </c>
      <c r="I502" s="203"/>
    </row>
    <row r="503" spans="1:9" s="202" customFormat="1" ht="31.5" x14ac:dyDescent="0.25">
      <c r="A503" s="23" t="s">
        <v>895</v>
      </c>
      <c r="B503" s="19">
        <v>905</v>
      </c>
      <c r="C503" s="24" t="s">
        <v>125</v>
      </c>
      <c r="D503" s="24" t="s">
        <v>157</v>
      </c>
      <c r="E503" s="24" t="s">
        <v>873</v>
      </c>
      <c r="F503" s="24"/>
      <c r="G503" s="21">
        <f t="shared" ref="G503:H505" si="46">G504</f>
        <v>22.3</v>
      </c>
      <c r="H503" s="21">
        <f t="shared" si="46"/>
        <v>22.3</v>
      </c>
      <c r="I503" s="203"/>
    </row>
    <row r="504" spans="1:9" s="202" customFormat="1" ht="94.5" x14ac:dyDescent="0.25">
      <c r="A504" s="31" t="s">
        <v>1183</v>
      </c>
      <c r="B504" s="16">
        <v>905</v>
      </c>
      <c r="C504" s="20" t="s">
        <v>125</v>
      </c>
      <c r="D504" s="20" t="s">
        <v>157</v>
      </c>
      <c r="E504" s="20" t="s">
        <v>1182</v>
      </c>
      <c r="F504" s="20"/>
      <c r="G504" s="26">
        <f t="shared" si="46"/>
        <v>22.3</v>
      </c>
      <c r="H504" s="26">
        <f t="shared" si="46"/>
        <v>22.3</v>
      </c>
      <c r="I504" s="203"/>
    </row>
    <row r="505" spans="1:9" s="202" customFormat="1" ht="78.75" x14ac:dyDescent="0.25">
      <c r="A505" s="25" t="s">
        <v>134</v>
      </c>
      <c r="B505" s="16">
        <v>905</v>
      </c>
      <c r="C505" s="20" t="s">
        <v>125</v>
      </c>
      <c r="D505" s="20" t="s">
        <v>157</v>
      </c>
      <c r="E505" s="20" t="s">
        <v>1182</v>
      </c>
      <c r="F505" s="20" t="s">
        <v>135</v>
      </c>
      <c r="G505" s="26">
        <f>G506</f>
        <v>22.3</v>
      </c>
      <c r="H505" s="26">
        <f t="shared" si="46"/>
        <v>22.3</v>
      </c>
      <c r="I505" s="203"/>
    </row>
    <row r="506" spans="1:9" s="202" customFormat="1" ht="31.5" x14ac:dyDescent="0.25">
      <c r="A506" s="25" t="s">
        <v>136</v>
      </c>
      <c r="B506" s="16">
        <v>905</v>
      </c>
      <c r="C506" s="20" t="s">
        <v>125</v>
      </c>
      <c r="D506" s="20" t="s">
        <v>157</v>
      </c>
      <c r="E506" s="20" t="s">
        <v>1182</v>
      </c>
      <c r="F506" s="20" t="s">
        <v>137</v>
      </c>
      <c r="G506" s="26">
        <v>22.3</v>
      </c>
      <c r="H506" s="26">
        <v>22.3</v>
      </c>
      <c r="I506" s="203"/>
    </row>
    <row r="507" spans="1:9" ht="15.75" x14ac:dyDescent="0.25">
      <c r="A507" s="23" t="s">
        <v>146</v>
      </c>
      <c r="B507" s="19">
        <v>905</v>
      </c>
      <c r="C507" s="24" t="s">
        <v>125</v>
      </c>
      <c r="D507" s="24" t="s">
        <v>147</v>
      </c>
      <c r="E507" s="24"/>
      <c r="F507" s="24"/>
      <c r="G507" s="21">
        <f>G508+G516</f>
        <v>5202.1000000000004</v>
      </c>
      <c r="H507" s="21">
        <f>H508+H516</f>
        <v>5202.1000000000004</v>
      </c>
      <c r="I507" s="203"/>
    </row>
    <row r="508" spans="1:9" ht="15.75" x14ac:dyDescent="0.25">
      <c r="A508" s="23" t="s">
        <v>148</v>
      </c>
      <c r="B508" s="19">
        <v>905</v>
      </c>
      <c r="C508" s="24" t="s">
        <v>125</v>
      </c>
      <c r="D508" s="24" t="s">
        <v>147</v>
      </c>
      <c r="E508" s="24" t="s">
        <v>876</v>
      </c>
      <c r="F508" s="24"/>
      <c r="G508" s="21">
        <f>G509</f>
        <v>5202.1000000000004</v>
      </c>
      <c r="H508" s="21">
        <f>H509</f>
        <v>5202.1000000000004</v>
      </c>
      <c r="I508" s="203"/>
    </row>
    <row r="509" spans="1:9" ht="31.5" x14ac:dyDescent="0.25">
      <c r="A509" s="23" t="s">
        <v>880</v>
      </c>
      <c r="B509" s="19">
        <v>905</v>
      </c>
      <c r="C509" s="24" t="s">
        <v>125</v>
      </c>
      <c r="D509" s="24" t="s">
        <v>147</v>
      </c>
      <c r="E509" s="24" t="s">
        <v>875</v>
      </c>
      <c r="F509" s="24"/>
      <c r="G509" s="21">
        <f>G510+G513</f>
        <v>5202.1000000000004</v>
      </c>
      <c r="H509" s="21">
        <f>H510+H513</f>
        <v>5202.1000000000004</v>
      </c>
      <c r="I509" s="203"/>
    </row>
    <row r="510" spans="1:9" ht="47.25" x14ac:dyDescent="0.25">
      <c r="A510" s="25" t="s">
        <v>395</v>
      </c>
      <c r="B510" s="16">
        <v>905</v>
      </c>
      <c r="C510" s="20" t="s">
        <v>125</v>
      </c>
      <c r="D510" s="20" t="s">
        <v>147</v>
      </c>
      <c r="E510" s="20" t="s">
        <v>1021</v>
      </c>
      <c r="F510" s="20"/>
      <c r="G510" s="26">
        <f>G511</f>
        <v>5202.1000000000004</v>
      </c>
      <c r="H510" s="26">
        <f>H511</f>
        <v>5202.1000000000004</v>
      </c>
      <c r="I510" s="203"/>
    </row>
    <row r="511" spans="1:9" ht="31.5" x14ac:dyDescent="0.25">
      <c r="A511" s="25" t="s">
        <v>138</v>
      </c>
      <c r="B511" s="16">
        <v>905</v>
      </c>
      <c r="C511" s="20" t="s">
        <v>125</v>
      </c>
      <c r="D511" s="20" t="s">
        <v>147</v>
      </c>
      <c r="E511" s="20" t="s">
        <v>1021</v>
      </c>
      <c r="F511" s="20" t="s">
        <v>139</v>
      </c>
      <c r="G511" s="26">
        <f>G512</f>
        <v>5202.1000000000004</v>
      </c>
      <c r="H511" s="26">
        <f>H512</f>
        <v>5202.1000000000004</v>
      </c>
      <c r="I511" s="203"/>
    </row>
    <row r="512" spans="1:9" ht="35.450000000000003" customHeight="1" x14ac:dyDescent="0.25">
      <c r="A512" s="25" t="s">
        <v>140</v>
      </c>
      <c r="B512" s="16">
        <v>905</v>
      </c>
      <c r="C512" s="20" t="s">
        <v>125</v>
      </c>
      <c r="D512" s="20" t="s">
        <v>147</v>
      </c>
      <c r="E512" s="20" t="s">
        <v>1021</v>
      </c>
      <c r="F512" s="20" t="s">
        <v>141</v>
      </c>
      <c r="G512" s="26">
        <v>5202.1000000000004</v>
      </c>
      <c r="H512" s="26">
        <f t="shared" si="45"/>
        <v>5202.1000000000004</v>
      </c>
      <c r="I512" s="203"/>
    </row>
    <row r="513" spans="1:9" ht="31.5" hidden="1" x14ac:dyDescent="0.25">
      <c r="A513" s="25" t="s">
        <v>941</v>
      </c>
      <c r="B513" s="16">
        <v>905</v>
      </c>
      <c r="C513" s="20" t="s">
        <v>125</v>
      </c>
      <c r="D513" s="20" t="s">
        <v>147</v>
      </c>
      <c r="E513" s="20" t="s">
        <v>1022</v>
      </c>
      <c r="F513" s="20"/>
      <c r="G513" s="26">
        <f>'Пр.4 ведом.21'!G505</f>
        <v>0</v>
      </c>
      <c r="H513" s="26">
        <f t="shared" si="45"/>
        <v>0</v>
      </c>
      <c r="I513" s="203"/>
    </row>
    <row r="514" spans="1:9" ht="31.5" hidden="1" x14ac:dyDescent="0.25">
      <c r="A514" s="25" t="s">
        <v>138</v>
      </c>
      <c r="B514" s="16">
        <v>905</v>
      </c>
      <c r="C514" s="20" t="s">
        <v>125</v>
      </c>
      <c r="D514" s="20" t="s">
        <v>147</v>
      </c>
      <c r="E514" s="20" t="s">
        <v>1022</v>
      </c>
      <c r="F514" s="20" t="s">
        <v>139</v>
      </c>
      <c r="G514" s="26">
        <f>'Пр.4 ведом.21'!G506</f>
        <v>0</v>
      </c>
      <c r="H514" s="26">
        <f t="shared" si="45"/>
        <v>0</v>
      </c>
      <c r="I514" s="203"/>
    </row>
    <row r="515" spans="1:9" ht="31.5" hidden="1" x14ac:dyDescent="0.25">
      <c r="A515" s="25" t="s">
        <v>140</v>
      </c>
      <c r="B515" s="16">
        <v>905</v>
      </c>
      <c r="C515" s="20" t="s">
        <v>125</v>
      </c>
      <c r="D515" s="20" t="s">
        <v>147</v>
      </c>
      <c r="E515" s="20" t="s">
        <v>1022</v>
      </c>
      <c r="F515" s="20" t="s">
        <v>141</v>
      </c>
      <c r="G515" s="26">
        <f>'Пр.4 ведом.21'!G507</f>
        <v>0</v>
      </c>
      <c r="H515" s="26">
        <f t="shared" si="45"/>
        <v>0</v>
      </c>
      <c r="I515" s="203"/>
    </row>
    <row r="516" spans="1:9" ht="63" hidden="1" x14ac:dyDescent="0.25">
      <c r="A516" s="23" t="s">
        <v>1191</v>
      </c>
      <c r="B516" s="19">
        <v>905</v>
      </c>
      <c r="C516" s="24" t="s">
        <v>125</v>
      </c>
      <c r="D516" s="24" t="s">
        <v>147</v>
      </c>
      <c r="E516" s="24" t="s">
        <v>792</v>
      </c>
      <c r="F516" s="24"/>
      <c r="G516" s="21">
        <f t="shared" ref="G516:H519" si="47">G517</f>
        <v>0</v>
      </c>
      <c r="H516" s="21">
        <f t="shared" si="47"/>
        <v>0</v>
      </c>
      <c r="I516" s="203"/>
    </row>
    <row r="517" spans="1:9" ht="31.5" hidden="1" x14ac:dyDescent="0.25">
      <c r="A517" s="23" t="s">
        <v>940</v>
      </c>
      <c r="B517" s="19">
        <v>905</v>
      </c>
      <c r="C517" s="24" t="s">
        <v>125</v>
      </c>
      <c r="D517" s="24" t="s">
        <v>147</v>
      </c>
      <c r="E517" s="24" t="s">
        <v>1030</v>
      </c>
      <c r="F517" s="24"/>
      <c r="G517" s="21">
        <f t="shared" si="47"/>
        <v>0</v>
      </c>
      <c r="H517" s="21">
        <f t="shared" si="47"/>
        <v>0</v>
      </c>
      <c r="I517" s="203"/>
    </row>
    <row r="518" spans="1:9" ht="31.5" hidden="1" x14ac:dyDescent="0.25">
      <c r="A518" s="25" t="s">
        <v>800</v>
      </c>
      <c r="B518" s="16">
        <v>905</v>
      </c>
      <c r="C518" s="20" t="s">
        <v>125</v>
      </c>
      <c r="D518" s="20" t="s">
        <v>147</v>
      </c>
      <c r="E518" s="20" t="s">
        <v>1031</v>
      </c>
      <c r="F518" s="20"/>
      <c r="G518" s="26">
        <f t="shared" si="47"/>
        <v>0</v>
      </c>
      <c r="H518" s="26">
        <f t="shared" si="47"/>
        <v>0</v>
      </c>
      <c r="I518" s="203"/>
    </row>
    <row r="519" spans="1:9" ht="31.5" hidden="1" x14ac:dyDescent="0.25">
      <c r="A519" s="25" t="s">
        <v>138</v>
      </c>
      <c r="B519" s="16">
        <v>905</v>
      </c>
      <c r="C519" s="20" t="s">
        <v>125</v>
      </c>
      <c r="D519" s="20" t="s">
        <v>147</v>
      </c>
      <c r="E519" s="20" t="s">
        <v>1031</v>
      </c>
      <c r="F519" s="20" t="s">
        <v>139</v>
      </c>
      <c r="G519" s="26">
        <f t="shared" si="47"/>
        <v>0</v>
      </c>
      <c r="H519" s="26">
        <f t="shared" si="47"/>
        <v>0</v>
      </c>
      <c r="I519" s="203"/>
    </row>
    <row r="520" spans="1:9" ht="31.5" hidden="1" x14ac:dyDescent="0.25">
      <c r="A520" s="25" t="s">
        <v>140</v>
      </c>
      <c r="B520" s="16">
        <v>905</v>
      </c>
      <c r="C520" s="20" t="s">
        <v>125</v>
      </c>
      <c r="D520" s="20" t="s">
        <v>147</v>
      </c>
      <c r="E520" s="20" t="s">
        <v>1031</v>
      </c>
      <c r="F520" s="20" t="s">
        <v>141</v>
      </c>
      <c r="G520" s="26">
        <v>0</v>
      </c>
      <c r="H520" s="26">
        <v>0</v>
      </c>
      <c r="I520" s="203"/>
    </row>
    <row r="521" spans="1:9" ht="15.75" x14ac:dyDescent="0.25">
      <c r="A521" s="41" t="s">
        <v>397</v>
      </c>
      <c r="B521" s="19">
        <v>905</v>
      </c>
      <c r="C521" s="24" t="s">
        <v>241</v>
      </c>
      <c r="D521" s="24"/>
      <c r="E521" s="24"/>
      <c r="F521" s="24"/>
      <c r="G521" s="21">
        <f t="shared" ref="G521:H523" si="48">G522</f>
        <v>270.39999999999998</v>
      </c>
      <c r="H521" s="21">
        <f t="shared" si="48"/>
        <v>270.39999999999998</v>
      </c>
      <c r="I521" s="203"/>
    </row>
    <row r="522" spans="1:9" ht="15.75" x14ac:dyDescent="0.25">
      <c r="A522" s="41" t="s">
        <v>398</v>
      </c>
      <c r="B522" s="19">
        <v>905</v>
      </c>
      <c r="C522" s="24" t="s">
        <v>241</v>
      </c>
      <c r="D522" s="24" t="s">
        <v>125</v>
      </c>
      <c r="E522" s="24"/>
      <c r="F522" s="24"/>
      <c r="G522" s="21">
        <f t="shared" si="48"/>
        <v>270.39999999999998</v>
      </c>
      <c r="H522" s="21">
        <f t="shared" si="48"/>
        <v>270.39999999999998</v>
      </c>
      <c r="I522" s="203"/>
    </row>
    <row r="523" spans="1:9" ht="15.75" x14ac:dyDescent="0.25">
      <c r="A523" s="23" t="s">
        <v>148</v>
      </c>
      <c r="B523" s="19">
        <v>905</v>
      </c>
      <c r="C523" s="24" t="s">
        <v>241</v>
      </c>
      <c r="D523" s="24" t="s">
        <v>125</v>
      </c>
      <c r="E523" s="24" t="s">
        <v>876</v>
      </c>
      <c r="F523" s="24"/>
      <c r="G523" s="21">
        <f t="shared" si="48"/>
        <v>270.39999999999998</v>
      </c>
      <c r="H523" s="21">
        <f t="shared" si="48"/>
        <v>270.39999999999998</v>
      </c>
      <c r="I523" s="203"/>
    </row>
    <row r="524" spans="1:9" ht="31.5" x14ac:dyDescent="0.25">
      <c r="A524" s="23" t="s">
        <v>880</v>
      </c>
      <c r="B524" s="19">
        <v>905</v>
      </c>
      <c r="C524" s="24" t="s">
        <v>241</v>
      </c>
      <c r="D524" s="24" t="s">
        <v>125</v>
      </c>
      <c r="E524" s="24" t="s">
        <v>875</v>
      </c>
      <c r="F524" s="24"/>
      <c r="G524" s="21">
        <f>G525+G528</f>
        <v>270.39999999999998</v>
      </c>
      <c r="H524" s="21">
        <f>H525+H528</f>
        <v>270.39999999999998</v>
      </c>
      <c r="I524" s="203"/>
    </row>
    <row r="525" spans="1:9" ht="31.5" x14ac:dyDescent="0.25">
      <c r="A525" s="29" t="s">
        <v>405</v>
      </c>
      <c r="B525" s="16">
        <v>905</v>
      </c>
      <c r="C525" s="20" t="s">
        <v>241</v>
      </c>
      <c r="D525" s="20" t="s">
        <v>125</v>
      </c>
      <c r="E525" s="20" t="s">
        <v>971</v>
      </c>
      <c r="F525" s="20"/>
      <c r="G525" s="26">
        <f>G526</f>
        <v>270.39999999999998</v>
      </c>
      <c r="H525" s="26">
        <f>H526</f>
        <v>270.39999999999998</v>
      </c>
      <c r="I525" s="203"/>
    </row>
    <row r="526" spans="1:9" ht="31.5" x14ac:dyDescent="0.25">
      <c r="A526" s="25" t="s">
        <v>138</v>
      </c>
      <c r="B526" s="16">
        <v>905</v>
      </c>
      <c r="C526" s="20" t="s">
        <v>241</v>
      </c>
      <c r="D526" s="20" t="s">
        <v>125</v>
      </c>
      <c r="E526" s="20" t="s">
        <v>971</v>
      </c>
      <c r="F526" s="20" t="s">
        <v>139</v>
      </c>
      <c r="G526" s="26">
        <f>G527</f>
        <v>270.39999999999998</v>
      </c>
      <c r="H526" s="26">
        <f>H527</f>
        <v>270.39999999999998</v>
      </c>
      <c r="I526" s="203"/>
    </row>
    <row r="527" spans="1:9" ht="31.5" x14ac:dyDescent="0.25">
      <c r="A527" s="25" t="s">
        <v>140</v>
      </c>
      <c r="B527" s="16">
        <v>905</v>
      </c>
      <c r="C527" s="20" t="s">
        <v>241</v>
      </c>
      <c r="D527" s="20" t="s">
        <v>125</v>
      </c>
      <c r="E527" s="20" t="s">
        <v>971</v>
      </c>
      <c r="F527" s="20" t="s">
        <v>141</v>
      </c>
      <c r="G527" s="26">
        <f>270.4</f>
        <v>270.39999999999998</v>
      </c>
      <c r="H527" s="26">
        <f t="shared" si="45"/>
        <v>270.39999999999998</v>
      </c>
      <c r="I527" s="203"/>
    </row>
    <row r="528" spans="1:9" ht="31.5" hidden="1" x14ac:dyDescent="0.25">
      <c r="A528" s="29" t="s">
        <v>942</v>
      </c>
      <c r="B528" s="16">
        <v>905</v>
      </c>
      <c r="C528" s="20" t="s">
        <v>241</v>
      </c>
      <c r="D528" s="20" t="s">
        <v>125</v>
      </c>
      <c r="E528" s="20" t="s">
        <v>972</v>
      </c>
      <c r="F528" s="20"/>
      <c r="G528" s="26">
        <f>G529</f>
        <v>0</v>
      </c>
      <c r="H528" s="26">
        <f>H529</f>
        <v>0</v>
      </c>
      <c r="I528" s="203"/>
    </row>
    <row r="529" spans="1:15" ht="31.5" hidden="1" x14ac:dyDescent="0.25">
      <c r="A529" s="25" t="s">
        <v>138</v>
      </c>
      <c r="B529" s="16">
        <v>905</v>
      </c>
      <c r="C529" s="20" t="s">
        <v>241</v>
      </c>
      <c r="D529" s="20" t="s">
        <v>125</v>
      </c>
      <c r="E529" s="20" t="s">
        <v>972</v>
      </c>
      <c r="F529" s="20" t="s">
        <v>139</v>
      </c>
      <c r="G529" s="26">
        <f>G530</f>
        <v>0</v>
      </c>
      <c r="H529" s="26">
        <f>H530</f>
        <v>0</v>
      </c>
      <c r="I529" s="203"/>
    </row>
    <row r="530" spans="1:15" ht="31.5" hidden="1" x14ac:dyDescent="0.25">
      <c r="A530" s="25" t="s">
        <v>140</v>
      </c>
      <c r="B530" s="16">
        <v>905</v>
      </c>
      <c r="C530" s="20" t="s">
        <v>241</v>
      </c>
      <c r="D530" s="20" t="s">
        <v>125</v>
      </c>
      <c r="E530" s="20" t="s">
        <v>972</v>
      </c>
      <c r="F530" s="20" t="s">
        <v>141</v>
      </c>
      <c r="G530" s="26">
        <v>0</v>
      </c>
      <c r="H530" s="26">
        <v>0</v>
      </c>
      <c r="I530" s="203"/>
    </row>
    <row r="531" spans="1:15" s="202" customFormat="1" ht="15.75" x14ac:dyDescent="0.25">
      <c r="A531" s="23" t="s">
        <v>250</v>
      </c>
      <c r="B531" s="19">
        <v>905</v>
      </c>
      <c r="C531" s="24" t="s">
        <v>251</v>
      </c>
      <c r="D531" s="20"/>
      <c r="E531" s="20"/>
      <c r="F531" s="20"/>
      <c r="G531" s="21">
        <f t="shared" ref="G531:H535" si="49">G532</f>
        <v>2469.1</v>
      </c>
      <c r="H531" s="21">
        <f t="shared" si="49"/>
        <v>10803.2</v>
      </c>
      <c r="I531" s="203"/>
    </row>
    <row r="532" spans="1:15" s="202" customFormat="1" ht="15.75" x14ac:dyDescent="0.25">
      <c r="A532" s="23" t="s">
        <v>407</v>
      </c>
      <c r="B532" s="19">
        <v>905</v>
      </c>
      <c r="C532" s="24" t="s">
        <v>251</v>
      </c>
      <c r="D532" s="24" t="s">
        <v>157</v>
      </c>
      <c r="E532" s="20"/>
      <c r="F532" s="20"/>
      <c r="G532" s="21">
        <f t="shared" si="49"/>
        <v>2469.1</v>
      </c>
      <c r="H532" s="21">
        <f t="shared" si="49"/>
        <v>10803.2</v>
      </c>
      <c r="I532" s="203"/>
    </row>
    <row r="533" spans="1:15" s="202" customFormat="1" ht="31.5" x14ac:dyDescent="0.25">
      <c r="A533" s="23" t="s">
        <v>895</v>
      </c>
      <c r="B533" s="19">
        <v>905</v>
      </c>
      <c r="C533" s="24" t="s">
        <v>251</v>
      </c>
      <c r="D533" s="24" t="s">
        <v>157</v>
      </c>
      <c r="E533" s="24" t="s">
        <v>873</v>
      </c>
      <c r="F533" s="20"/>
      <c r="G533" s="21">
        <f t="shared" si="49"/>
        <v>2469.1</v>
      </c>
      <c r="H533" s="21">
        <f t="shared" si="49"/>
        <v>10803.2</v>
      </c>
      <c r="I533" s="203"/>
    </row>
    <row r="534" spans="1:15" s="202" customFormat="1" ht="47.25" x14ac:dyDescent="0.25">
      <c r="A534" s="25" t="s">
        <v>1185</v>
      </c>
      <c r="B534" s="16">
        <v>905</v>
      </c>
      <c r="C534" s="20" t="s">
        <v>251</v>
      </c>
      <c r="D534" s="20" t="s">
        <v>157</v>
      </c>
      <c r="E534" s="20" t="s">
        <v>1184</v>
      </c>
      <c r="F534" s="20"/>
      <c r="G534" s="26">
        <f t="shared" si="49"/>
        <v>2469.1</v>
      </c>
      <c r="H534" s="26">
        <f t="shared" si="49"/>
        <v>10803.2</v>
      </c>
      <c r="I534" s="203"/>
    </row>
    <row r="535" spans="1:15" s="202" customFormat="1" ht="31.5" x14ac:dyDescent="0.25">
      <c r="A535" s="25" t="s">
        <v>138</v>
      </c>
      <c r="B535" s="16">
        <v>905</v>
      </c>
      <c r="C535" s="20" t="s">
        <v>251</v>
      </c>
      <c r="D535" s="20" t="s">
        <v>157</v>
      </c>
      <c r="E535" s="20" t="s">
        <v>1184</v>
      </c>
      <c r="F535" s="20" t="s">
        <v>139</v>
      </c>
      <c r="G535" s="26">
        <f t="shared" si="49"/>
        <v>2469.1</v>
      </c>
      <c r="H535" s="26">
        <f t="shared" si="49"/>
        <v>10803.2</v>
      </c>
      <c r="I535" s="203"/>
    </row>
    <row r="536" spans="1:15" s="202" customFormat="1" ht="32.65" customHeight="1" x14ac:dyDescent="0.25">
      <c r="A536" s="25" t="s">
        <v>140</v>
      </c>
      <c r="B536" s="16">
        <v>905</v>
      </c>
      <c r="C536" s="20" t="s">
        <v>251</v>
      </c>
      <c r="D536" s="20" t="s">
        <v>157</v>
      </c>
      <c r="E536" s="20" t="s">
        <v>1184</v>
      </c>
      <c r="F536" s="20" t="s">
        <v>141</v>
      </c>
      <c r="G536" s="26">
        <v>2469.1</v>
      </c>
      <c r="H536" s="26">
        <v>10803.2</v>
      </c>
      <c r="I536" s="203"/>
    </row>
    <row r="537" spans="1:15" ht="31.5" x14ac:dyDescent="0.25">
      <c r="A537" s="19" t="s">
        <v>410</v>
      </c>
      <c r="B537" s="19">
        <v>906</v>
      </c>
      <c r="C537" s="24"/>
      <c r="D537" s="24"/>
      <c r="E537" s="24"/>
      <c r="F537" s="24"/>
      <c r="G537" s="21">
        <f>G548+G538</f>
        <v>346220.19999999995</v>
      </c>
      <c r="H537" s="21">
        <f>H548+H538</f>
        <v>369274.95</v>
      </c>
      <c r="I537" s="203"/>
      <c r="M537" s="22"/>
      <c r="O537" s="227"/>
    </row>
    <row r="538" spans="1:15" ht="15.75" hidden="1" x14ac:dyDescent="0.25">
      <c r="A538" s="23" t="s">
        <v>124</v>
      </c>
      <c r="B538" s="19">
        <v>906</v>
      </c>
      <c r="C538" s="24" t="s">
        <v>125</v>
      </c>
      <c r="D538" s="24"/>
      <c r="E538" s="24"/>
      <c r="F538" s="24"/>
      <c r="G538" s="21">
        <f t="shared" ref="G538:H541" si="50">G539</f>
        <v>0</v>
      </c>
      <c r="H538" s="21">
        <f t="shared" si="50"/>
        <v>0</v>
      </c>
      <c r="I538" s="203"/>
    </row>
    <row r="539" spans="1:15" ht="15.75" hidden="1" x14ac:dyDescent="0.25">
      <c r="A539" s="34" t="s">
        <v>146</v>
      </c>
      <c r="B539" s="19">
        <v>906</v>
      </c>
      <c r="C539" s="24" t="s">
        <v>125</v>
      </c>
      <c r="D539" s="24" t="s">
        <v>147</v>
      </c>
      <c r="E539" s="24"/>
      <c r="F539" s="24"/>
      <c r="G539" s="21">
        <f t="shared" si="50"/>
        <v>0</v>
      </c>
      <c r="H539" s="21">
        <f t="shared" si="50"/>
        <v>0</v>
      </c>
      <c r="I539" s="203"/>
    </row>
    <row r="540" spans="1:15" ht="47.25" hidden="1" x14ac:dyDescent="0.25">
      <c r="A540" s="23" t="s">
        <v>1372</v>
      </c>
      <c r="B540" s="19">
        <v>906</v>
      </c>
      <c r="C540" s="24" t="s">
        <v>125</v>
      </c>
      <c r="D540" s="24" t="s">
        <v>147</v>
      </c>
      <c r="E540" s="24" t="s">
        <v>342</v>
      </c>
      <c r="F540" s="24"/>
      <c r="G540" s="21">
        <f t="shared" si="50"/>
        <v>0</v>
      </c>
      <c r="H540" s="21">
        <f t="shared" si="50"/>
        <v>0</v>
      </c>
      <c r="I540" s="203"/>
    </row>
    <row r="541" spans="1:15" ht="31.5" hidden="1" x14ac:dyDescent="0.25">
      <c r="A541" s="208" t="s">
        <v>1060</v>
      </c>
      <c r="B541" s="19">
        <v>906</v>
      </c>
      <c r="C541" s="24" t="s">
        <v>125</v>
      </c>
      <c r="D541" s="24" t="s">
        <v>147</v>
      </c>
      <c r="E541" s="24" t="s">
        <v>1061</v>
      </c>
      <c r="F541" s="24"/>
      <c r="G541" s="21">
        <f t="shared" si="50"/>
        <v>0</v>
      </c>
      <c r="H541" s="21">
        <f t="shared" si="50"/>
        <v>0</v>
      </c>
      <c r="I541" s="203"/>
    </row>
    <row r="542" spans="1:15" ht="31.5" hidden="1" x14ac:dyDescent="0.25">
      <c r="A542" s="97" t="s">
        <v>343</v>
      </c>
      <c r="B542" s="16">
        <v>906</v>
      </c>
      <c r="C542" s="20" t="s">
        <v>125</v>
      </c>
      <c r="D542" s="20" t="s">
        <v>147</v>
      </c>
      <c r="E542" s="20" t="s">
        <v>1062</v>
      </c>
      <c r="F542" s="20"/>
      <c r="G542" s="26">
        <f>G543</f>
        <v>0</v>
      </c>
      <c r="H542" s="26">
        <f>H543</f>
        <v>0</v>
      </c>
      <c r="I542" s="203"/>
    </row>
    <row r="543" spans="1:15" ht="31.5" hidden="1" x14ac:dyDescent="0.25">
      <c r="A543" s="25" t="s">
        <v>138</v>
      </c>
      <c r="B543" s="16">
        <v>906</v>
      </c>
      <c r="C543" s="20" t="s">
        <v>125</v>
      </c>
      <c r="D543" s="20" t="s">
        <v>147</v>
      </c>
      <c r="E543" s="20" t="s">
        <v>1062</v>
      </c>
      <c r="F543" s="20" t="s">
        <v>139</v>
      </c>
      <c r="G543" s="26">
        <f>G544</f>
        <v>0</v>
      </c>
      <c r="H543" s="26">
        <f>H544</f>
        <v>0</v>
      </c>
      <c r="I543" s="203"/>
    </row>
    <row r="544" spans="1:15" ht="31.5" hidden="1" x14ac:dyDescent="0.25">
      <c r="A544" s="25" t="s">
        <v>140</v>
      </c>
      <c r="B544" s="16">
        <v>906</v>
      </c>
      <c r="C544" s="20" t="s">
        <v>125</v>
      </c>
      <c r="D544" s="20" t="s">
        <v>147</v>
      </c>
      <c r="E544" s="20" t="s">
        <v>1062</v>
      </c>
      <c r="F544" s="20" t="s">
        <v>141</v>
      </c>
      <c r="G544" s="26">
        <v>0</v>
      </c>
      <c r="H544" s="26">
        <v>0</v>
      </c>
      <c r="I544" s="203"/>
    </row>
    <row r="545" spans="1:9" ht="16.350000000000001" hidden="1" customHeight="1" x14ac:dyDescent="0.25">
      <c r="A545" s="31" t="s">
        <v>783</v>
      </c>
      <c r="B545" s="16">
        <v>906</v>
      </c>
      <c r="C545" s="20" t="s">
        <v>125</v>
      </c>
      <c r="D545" s="20" t="s">
        <v>147</v>
      </c>
      <c r="E545" s="20" t="s">
        <v>1084</v>
      </c>
      <c r="F545" s="20"/>
      <c r="G545" s="26" t="e">
        <f>'Пр.4 ведом.21'!#REF!</f>
        <v>#REF!</v>
      </c>
      <c r="H545" s="26" t="e">
        <f t="shared" si="45"/>
        <v>#REF!</v>
      </c>
      <c r="I545" s="203"/>
    </row>
    <row r="546" spans="1:9" ht="31.5" hidden="1" x14ac:dyDescent="0.25">
      <c r="A546" s="25" t="s">
        <v>138</v>
      </c>
      <c r="B546" s="16">
        <v>906</v>
      </c>
      <c r="C546" s="20" t="s">
        <v>125</v>
      </c>
      <c r="D546" s="20" t="s">
        <v>147</v>
      </c>
      <c r="E546" s="20" t="s">
        <v>1084</v>
      </c>
      <c r="F546" s="20" t="s">
        <v>139</v>
      </c>
      <c r="G546" s="26" t="e">
        <f>'Пр.4 ведом.21'!#REF!</f>
        <v>#REF!</v>
      </c>
      <c r="H546" s="26" t="e">
        <f t="shared" si="45"/>
        <v>#REF!</v>
      </c>
      <c r="I546" s="203"/>
    </row>
    <row r="547" spans="1:9" ht="31.5" hidden="1" x14ac:dyDescent="0.25">
      <c r="A547" s="25" t="s">
        <v>140</v>
      </c>
      <c r="B547" s="16">
        <v>906</v>
      </c>
      <c r="C547" s="20" t="s">
        <v>125</v>
      </c>
      <c r="D547" s="20" t="s">
        <v>147</v>
      </c>
      <c r="E547" s="20" t="s">
        <v>1084</v>
      </c>
      <c r="F547" s="20" t="s">
        <v>141</v>
      </c>
      <c r="G547" s="26" t="e">
        <f>'Пр.4 ведом.21'!#REF!</f>
        <v>#REF!</v>
      </c>
      <c r="H547" s="26" t="e">
        <f t="shared" si="45"/>
        <v>#REF!</v>
      </c>
      <c r="I547" s="203"/>
    </row>
    <row r="548" spans="1:9" ht="15.75" x14ac:dyDescent="0.25">
      <c r="A548" s="23" t="s">
        <v>270</v>
      </c>
      <c r="B548" s="19">
        <v>906</v>
      </c>
      <c r="C548" s="24" t="s">
        <v>271</v>
      </c>
      <c r="D548" s="24"/>
      <c r="E548" s="24"/>
      <c r="F548" s="24"/>
      <c r="G548" s="21">
        <f>G549+G609+G720+G729+G691</f>
        <v>346220.19999999995</v>
      </c>
      <c r="H548" s="21">
        <f>H549+H609+H720+H729+H691</f>
        <v>369274.95</v>
      </c>
      <c r="I548" s="203"/>
    </row>
    <row r="549" spans="1:9" ht="15.75" x14ac:dyDescent="0.25">
      <c r="A549" s="23" t="s">
        <v>411</v>
      </c>
      <c r="B549" s="19">
        <v>906</v>
      </c>
      <c r="C549" s="24" t="s">
        <v>271</v>
      </c>
      <c r="D549" s="24" t="s">
        <v>125</v>
      </c>
      <c r="E549" s="24"/>
      <c r="F549" s="24"/>
      <c r="G549" s="21">
        <f>G550+G599+G604</f>
        <v>102250.3</v>
      </c>
      <c r="H549" s="21">
        <f>H550+H599+H604</f>
        <v>105829.20000000001</v>
      </c>
      <c r="I549" s="203"/>
    </row>
    <row r="550" spans="1:9" ht="31.9" customHeight="1" x14ac:dyDescent="0.25">
      <c r="A550" s="23" t="s">
        <v>1375</v>
      </c>
      <c r="B550" s="19">
        <v>906</v>
      </c>
      <c r="C550" s="24" t="s">
        <v>271</v>
      </c>
      <c r="D550" s="24" t="s">
        <v>125</v>
      </c>
      <c r="E550" s="24" t="s">
        <v>413</v>
      </c>
      <c r="F550" s="24"/>
      <c r="G550" s="21">
        <f>G551+G555+G568+G578+G588+G592</f>
        <v>101599.40000000001</v>
      </c>
      <c r="H550" s="21">
        <f>H551+H555+H568+H578+H588+H592</f>
        <v>105210.40000000001</v>
      </c>
      <c r="I550" s="203"/>
    </row>
    <row r="551" spans="1:9" ht="31.5" x14ac:dyDescent="0.25">
      <c r="A551" s="23" t="s">
        <v>947</v>
      </c>
      <c r="B551" s="19">
        <v>906</v>
      </c>
      <c r="C551" s="24" t="s">
        <v>271</v>
      </c>
      <c r="D551" s="24" t="s">
        <v>125</v>
      </c>
      <c r="E551" s="24" t="s">
        <v>1245</v>
      </c>
      <c r="F551" s="24"/>
      <c r="G551" s="21">
        <f t="shared" ref="G551:H553" si="51">G552</f>
        <v>14795.6</v>
      </c>
      <c r="H551" s="21">
        <f t="shared" si="51"/>
        <v>14795.6</v>
      </c>
      <c r="I551" s="203"/>
    </row>
    <row r="552" spans="1:9" ht="43.5" customHeight="1" x14ac:dyDescent="0.25">
      <c r="A552" s="25" t="s">
        <v>1244</v>
      </c>
      <c r="B552" s="16">
        <v>906</v>
      </c>
      <c r="C552" s="20" t="s">
        <v>271</v>
      </c>
      <c r="D552" s="20" t="s">
        <v>125</v>
      </c>
      <c r="E552" s="20" t="s">
        <v>1246</v>
      </c>
      <c r="F552" s="20"/>
      <c r="G552" s="26">
        <f t="shared" si="51"/>
        <v>14795.6</v>
      </c>
      <c r="H552" s="26">
        <f t="shared" si="51"/>
        <v>14795.6</v>
      </c>
      <c r="I552" s="203"/>
    </row>
    <row r="553" spans="1:9" ht="31.5" x14ac:dyDescent="0.25">
      <c r="A553" s="25" t="s">
        <v>279</v>
      </c>
      <c r="B553" s="16">
        <v>906</v>
      </c>
      <c r="C553" s="20" t="s">
        <v>271</v>
      </c>
      <c r="D553" s="20" t="s">
        <v>125</v>
      </c>
      <c r="E553" s="20" t="s">
        <v>1246</v>
      </c>
      <c r="F553" s="20" t="s">
        <v>280</v>
      </c>
      <c r="G553" s="26">
        <f t="shared" si="51"/>
        <v>14795.6</v>
      </c>
      <c r="H553" s="26">
        <f t="shared" si="51"/>
        <v>14795.6</v>
      </c>
      <c r="I553" s="203"/>
    </row>
    <row r="554" spans="1:9" ht="15.75" x14ac:dyDescent="0.25">
      <c r="A554" s="25" t="s">
        <v>281</v>
      </c>
      <c r="B554" s="16">
        <v>906</v>
      </c>
      <c r="C554" s="20" t="s">
        <v>271</v>
      </c>
      <c r="D554" s="20" t="s">
        <v>125</v>
      </c>
      <c r="E554" s="20" t="s">
        <v>1246</v>
      </c>
      <c r="F554" s="20" t="s">
        <v>282</v>
      </c>
      <c r="G554" s="26">
        <v>14795.6</v>
      </c>
      <c r="H554" s="26">
        <f t="shared" si="45"/>
        <v>14795.6</v>
      </c>
      <c r="I554" s="203"/>
    </row>
    <row r="555" spans="1:9" ht="47.25" x14ac:dyDescent="0.25">
      <c r="A555" s="23" t="s">
        <v>910</v>
      </c>
      <c r="B555" s="19">
        <v>906</v>
      </c>
      <c r="C555" s="24" t="s">
        <v>271</v>
      </c>
      <c r="D555" s="24" t="s">
        <v>125</v>
      </c>
      <c r="E555" s="24" t="s">
        <v>1247</v>
      </c>
      <c r="F555" s="24"/>
      <c r="G555" s="44">
        <f>G559+G562+G565+G556</f>
        <v>75561.5</v>
      </c>
      <c r="H555" s="44">
        <f>H559+H562+H565+H556</f>
        <v>79924.100000000006</v>
      </c>
      <c r="I555" s="203"/>
    </row>
    <row r="556" spans="1:9" s="202" customFormat="1" ht="94.5" x14ac:dyDescent="0.25">
      <c r="A556" s="31" t="s">
        <v>300</v>
      </c>
      <c r="B556" s="16">
        <v>906</v>
      </c>
      <c r="C556" s="20" t="s">
        <v>271</v>
      </c>
      <c r="D556" s="20" t="s">
        <v>125</v>
      </c>
      <c r="E556" s="20" t="s">
        <v>1407</v>
      </c>
      <c r="F556" s="20"/>
      <c r="G556" s="26">
        <f>G557</f>
        <v>3230</v>
      </c>
      <c r="H556" s="26">
        <f>H557</f>
        <v>3230</v>
      </c>
      <c r="I556" s="203"/>
    </row>
    <row r="557" spans="1:9" s="202" customFormat="1" ht="31.5" x14ac:dyDescent="0.25">
      <c r="A557" s="25" t="s">
        <v>279</v>
      </c>
      <c r="B557" s="16">
        <v>906</v>
      </c>
      <c r="C557" s="20" t="s">
        <v>271</v>
      </c>
      <c r="D557" s="20" t="s">
        <v>125</v>
      </c>
      <c r="E557" s="20" t="s">
        <v>1407</v>
      </c>
      <c r="F557" s="20" t="s">
        <v>280</v>
      </c>
      <c r="G557" s="26">
        <f>G558</f>
        <v>3230</v>
      </c>
      <c r="H557" s="26">
        <f>H558</f>
        <v>3230</v>
      </c>
      <c r="I557" s="203"/>
    </row>
    <row r="558" spans="1:9" s="202" customFormat="1" ht="15.75" x14ac:dyDescent="0.25">
      <c r="A558" s="25" t="s">
        <v>281</v>
      </c>
      <c r="B558" s="16">
        <v>906</v>
      </c>
      <c r="C558" s="20" t="s">
        <v>271</v>
      </c>
      <c r="D558" s="20" t="s">
        <v>125</v>
      </c>
      <c r="E558" s="20" t="s">
        <v>1407</v>
      </c>
      <c r="F558" s="20" t="s">
        <v>282</v>
      </c>
      <c r="G558" s="26">
        <v>3230</v>
      </c>
      <c r="H558" s="26">
        <f>G558</f>
        <v>3230</v>
      </c>
      <c r="I558" s="203"/>
    </row>
    <row r="559" spans="1:9" ht="66.75" customHeight="1" x14ac:dyDescent="0.25">
      <c r="A559" s="31" t="s">
        <v>296</v>
      </c>
      <c r="B559" s="16">
        <v>906</v>
      </c>
      <c r="C559" s="20" t="s">
        <v>271</v>
      </c>
      <c r="D559" s="20" t="s">
        <v>125</v>
      </c>
      <c r="E559" s="20" t="s">
        <v>1248</v>
      </c>
      <c r="F559" s="20"/>
      <c r="G559" s="26">
        <f>G560</f>
        <v>589</v>
      </c>
      <c r="H559" s="26">
        <f>H560</f>
        <v>589</v>
      </c>
      <c r="I559" s="203"/>
    </row>
    <row r="560" spans="1:9" ht="31.5" x14ac:dyDescent="0.25">
      <c r="A560" s="25" t="s">
        <v>279</v>
      </c>
      <c r="B560" s="16">
        <v>906</v>
      </c>
      <c r="C560" s="20" t="s">
        <v>271</v>
      </c>
      <c r="D560" s="20" t="s">
        <v>125</v>
      </c>
      <c r="E560" s="20" t="s">
        <v>1248</v>
      </c>
      <c r="F560" s="20" t="s">
        <v>280</v>
      </c>
      <c r="G560" s="26">
        <f>G561</f>
        <v>589</v>
      </c>
      <c r="H560" s="26">
        <f>H561</f>
        <v>589</v>
      </c>
      <c r="I560" s="203"/>
    </row>
    <row r="561" spans="1:9" ht="15.75" x14ac:dyDescent="0.25">
      <c r="A561" s="25" t="s">
        <v>281</v>
      </c>
      <c r="B561" s="16">
        <v>906</v>
      </c>
      <c r="C561" s="20" t="s">
        <v>271</v>
      </c>
      <c r="D561" s="20" t="s">
        <v>125</v>
      </c>
      <c r="E561" s="20" t="s">
        <v>1248</v>
      </c>
      <c r="F561" s="20" t="s">
        <v>282</v>
      </c>
      <c r="G561" s="26">
        <v>589</v>
      </c>
      <c r="H561" s="26">
        <f t="shared" si="45"/>
        <v>589</v>
      </c>
      <c r="I561" s="203"/>
    </row>
    <row r="562" spans="1:9" ht="63" x14ac:dyDescent="0.25">
      <c r="A562" s="31" t="s">
        <v>298</v>
      </c>
      <c r="B562" s="16">
        <v>906</v>
      </c>
      <c r="C562" s="20" t="s">
        <v>271</v>
      </c>
      <c r="D562" s="20" t="s">
        <v>125</v>
      </c>
      <c r="E562" s="20" t="s">
        <v>1249</v>
      </c>
      <c r="F562" s="20"/>
      <c r="G562" s="26">
        <f>G563</f>
        <v>1629.3</v>
      </c>
      <c r="H562" s="26">
        <f>H563</f>
        <v>1629.3</v>
      </c>
      <c r="I562" s="203"/>
    </row>
    <row r="563" spans="1:9" ht="31.5" x14ac:dyDescent="0.25">
      <c r="A563" s="25" t="s">
        <v>279</v>
      </c>
      <c r="B563" s="16">
        <v>906</v>
      </c>
      <c r="C563" s="20" t="s">
        <v>271</v>
      </c>
      <c r="D563" s="20" t="s">
        <v>125</v>
      </c>
      <c r="E563" s="20" t="s">
        <v>1249</v>
      </c>
      <c r="F563" s="20" t="s">
        <v>280</v>
      </c>
      <c r="G563" s="26">
        <f>G564</f>
        <v>1629.3</v>
      </c>
      <c r="H563" s="26">
        <f>H564</f>
        <v>1629.3</v>
      </c>
      <c r="I563" s="203"/>
    </row>
    <row r="564" spans="1:9" ht="15.75" x14ac:dyDescent="0.25">
      <c r="A564" s="25" t="s">
        <v>281</v>
      </c>
      <c r="B564" s="16">
        <v>906</v>
      </c>
      <c r="C564" s="20" t="s">
        <v>271</v>
      </c>
      <c r="D564" s="20" t="s">
        <v>125</v>
      </c>
      <c r="E564" s="20" t="s">
        <v>1249</v>
      </c>
      <c r="F564" s="20" t="s">
        <v>282</v>
      </c>
      <c r="G564" s="26">
        <f>1629.3</f>
        <v>1629.3</v>
      </c>
      <c r="H564" s="26">
        <f t="shared" si="45"/>
        <v>1629.3</v>
      </c>
      <c r="I564" s="203"/>
    </row>
    <row r="565" spans="1:9" ht="94.5" x14ac:dyDescent="0.25">
      <c r="A565" s="31" t="s">
        <v>428</v>
      </c>
      <c r="B565" s="16">
        <v>906</v>
      </c>
      <c r="C565" s="20" t="s">
        <v>271</v>
      </c>
      <c r="D565" s="20" t="s">
        <v>125</v>
      </c>
      <c r="E565" s="20" t="s">
        <v>1250</v>
      </c>
      <c r="F565" s="20"/>
      <c r="G565" s="26">
        <f>G566</f>
        <v>70113.2</v>
      </c>
      <c r="H565" s="26">
        <f>H566</f>
        <v>74475.8</v>
      </c>
      <c r="I565" s="203"/>
    </row>
    <row r="566" spans="1:9" ht="31.5" x14ac:dyDescent="0.25">
      <c r="A566" s="25" t="s">
        <v>279</v>
      </c>
      <c r="B566" s="16">
        <v>906</v>
      </c>
      <c r="C566" s="20" t="s">
        <v>271</v>
      </c>
      <c r="D566" s="20" t="s">
        <v>125</v>
      </c>
      <c r="E566" s="20" t="s">
        <v>1250</v>
      </c>
      <c r="F566" s="20" t="s">
        <v>280</v>
      </c>
      <c r="G566" s="26">
        <f>G567</f>
        <v>70113.2</v>
      </c>
      <c r="H566" s="26">
        <f>H567</f>
        <v>74475.8</v>
      </c>
      <c r="I566" s="203"/>
    </row>
    <row r="567" spans="1:9" ht="15.75" x14ac:dyDescent="0.25">
      <c r="A567" s="25" t="s">
        <v>281</v>
      </c>
      <c r="B567" s="16">
        <v>906</v>
      </c>
      <c r="C567" s="20" t="s">
        <v>271</v>
      </c>
      <c r="D567" s="20" t="s">
        <v>125</v>
      </c>
      <c r="E567" s="20" t="s">
        <v>1250</v>
      </c>
      <c r="F567" s="20" t="s">
        <v>282</v>
      </c>
      <c r="G567" s="26">
        <v>70113.2</v>
      </c>
      <c r="H567" s="26">
        <v>74475.8</v>
      </c>
      <c r="I567" s="203"/>
    </row>
    <row r="568" spans="1:9" ht="31.5" x14ac:dyDescent="0.25">
      <c r="A568" s="23" t="s">
        <v>1307</v>
      </c>
      <c r="B568" s="19">
        <v>906</v>
      </c>
      <c r="C568" s="24" t="s">
        <v>271</v>
      </c>
      <c r="D568" s="24" t="s">
        <v>125</v>
      </c>
      <c r="E568" s="24" t="s">
        <v>1252</v>
      </c>
      <c r="F568" s="24"/>
      <c r="G568" s="21">
        <f>G569+G572+G575</f>
        <v>4430</v>
      </c>
      <c r="H568" s="21">
        <f>H569+H572+H575</f>
        <v>4430</v>
      </c>
      <c r="I568" s="203"/>
    </row>
    <row r="569" spans="1:9" ht="31.5" hidden="1" x14ac:dyDescent="0.25">
      <c r="A569" s="25" t="s">
        <v>285</v>
      </c>
      <c r="B569" s="16">
        <v>906</v>
      </c>
      <c r="C569" s="20" t="s">
        <v>271</v>
      </c>
      <c r="D569" s="20" t="s">
        <v>125</v>
      </c>
      <c r="E569" s="20" t="s">
        <v>1333</v>
      </c>
      <c r="F569" s="20"/>
      <c r="G569" s="26">
        <f>'Пр.4 ведом.21'!G558</f>
        <v>0</v>
      </c>
      <c r="H569" s="26">
        <f t="shared" si="45"/>
        <v>0</v>
      </c>
      <c r="I569" s="203"/>
    </row>
    <row r="570" spans="1:9" ht="31.5" hidden="1" x14ac:dyDescent="0.25">
      <c r="A570" s="25" t="s">
        <v>279</v>
      </c>
      <c r="B570" s="16">
        <v>906</v>
      </c>
      <c r="C570" s="20" t="s">
        <v>271</v>
      </c>
      <c r="D570" s="20" t="s">
        <v>125</v>
      </c>
      <c r="E570" s="20" t="s">
        <v>1333</v>
      </c>
      <c r="F570" s="20" t="s">
        <v>280</v>
      </c>
      <c r="G570" s="26">
        <f>'Пр.4 ведом.21'!G559</f>
        <v>0</v>
      </c>
      <c r="H570" s="26">
        <f t="shared" ref="H570:H630" si="52">G570</f>
        <v>0</v>
      </c>
      <c r="I570" s="203"/>
    </row>
    <row r="571" spans="1:9" ht="15.75" hidden="1" x14ac:dyDescent="0.25">
      <c r="A571" s="25" t="s">
        <v>281</v>
      </c>
      <c r="B571" s="16">
        <v>906</v>
      </c>
      <c r="C571" s="20" t="s">
        <v>271</v>
      </c>
      <c r="D571" s="20" t="s">
        <v>125</v>
      </c>
      <c r="E571" s="20" t="s">
        <v>1333</v>
      </c>
      <c r="F571" s="20" t="s">
        <v>282</v>
      </c>
      <c r="G571" s="26">
        <f>'Пр.4 ведом.21'!G560</f>
        <v>0</v>
      </c>
      <c r="H571" s="26">
        <f t="shared" si="52"/>
        <v>0</v>
      </c>
      <c r="I571" s="203"/>
    </row>
    <row r="572" spans="1:9" ht="31.5" hidden="1" x14ac:dyDescent="0.25">
      <c r="A572" s="25" t="s">
        <v>287</v>
      </c>
      <c r="B572" s="16">
        <v>906</v>
      </c>
      <c r="C572" s="20" t="s">
        <v>271</v>
      </c>
      <c r="D572" s="20" t="s">
        <v>125</v>
      </c>
      <c r="E572" s="20" t="s">
        <v>1334</v>
      </c>
      <c r="F572" s="20"/>
      <c r="G572" s="26">
        <f>'Пр.4 ведом.21'!G561</f>
        <v>0</v>
      </c>
      <c r="H572" s="26">
        <f t="shared" si="52"/>
        <v>0</v>
      </c>
      <c r="I572" s="203"/>
    </row>
    <row r="573" spans="1:9" ht="31.5" hidden="1" x14ac:dyDescent="0.25">
      <c r="A573" s="25" t="s">
        <v>279</v>
      </c>
      <c r="B573" s="16">
        <v>906</v>
      </c>
      <c r="C573" s="20" t="s">
        <v>271</v>
      </c>
      <c r="D573" s="20" t="s">
        <v>125</v>
      </c>
      <c r="E573" s="20" t="s">
        <v>1334</v>
      </c>
      <c r="F573" s="20" t="s">
        <v>280</v>
      </c>
      <c r="G573" s="26">
        <f>'Пр.4 ведом.21'!G562</f>
        <v>0</v>
      </c>
      <c r="H573" s="26">
        <f t="shared" si="52"/>
        <v>0</v>
      </c>
      <c r="I573" s="203"/>
    </row>
    <row r="574" spans="1:9" ht="15.75" hidden="1" x14ac:dyDescent="0.25">
      <c r="A574" s="25" t="s">
        <v>281</v>
      </c>
      <c r="B574" s="16">
        <v>906</v>
      </c>
      <c r="C574" s="20" t="s">
        <v>271</v>
      </c>
      <c r="D574" s="20" t="s">
        <v>125</v>
      </c>
      <c r="E574" s="20" t="s">
        <v>1334</v>
      </c>
      <c r="F574" s="20" t="s">
        <v>282</v>
      </c>
      <c r="G574" s="26">
        <f>'Пр.4 ведом.21'!G563</f>
        <v>0</v>
      </c>
      <c r="H574" s="26">
        <f t="shared" si="52"/>
        <v>0</v>
      </c>
      <c r="I574" s="203"/>
    </row>
    <row r="575" spans="1:9" ht="31.5" x14ac:dyDescent="0.25">
      <c r="A575" s="29" t="s">
        <v>422</v>
      </c>
      <c r="B575" s="16">
        <v>906</v>
      </c>
      <c r="C575" s="20" t="s">
        <v>271</v>
      </c>
      <c r="D575" s="20" t="s">
        <v>125</v>
      </c>
      <c r="E575" s="20" t="s">
        <v>1253</v>
      </c>
      <c r="F575" s="20"/>
      <c r="G575" s="26">
        <f>G576</f>
        <v>4430</v>
      </c>
      <c r="H575" s="26">
        <f>H576</f>
        <v>4430</v>
      </c>
      <c r="I575" s="203"/>
    </row>
    <row r="576" spans="1:9" ht="31.5" x14ac:dyDescent="0.25">
      <c r="A576" s="25" t="s">
        <v>279</v>
      </c>
      <c r="B576" s="16">
        <v>906</v>
      </c>
      <c r="C576" s="20" t="s">
        <v>271</v>
      </c>
      <c r="D576" s="20" t="s">
        <v>125</v>
      </c>
      <c r="E576" s="20" t="s">
        <v>1253</v>
      </c>
      <c r="F576" s="20" t="s">
        <v>280</v>
      </c>
      <c r="G576" s="26">
        <f>G577</f>
        <v>4430</v>
      </c>
      <c r="H576" s="26">
        <f>H577</f>
        <v>4430</v>
      </c>
      <c r="I576" s="203"/>
    </row>
    <row r="577" spans="1:9" ht="15.75" x14ac:dyDescent="0.25">
      <c r="A577" s="25" t="s">
        <v>281</v>
      </c>
      <c r="B577" s="16">
        <v>906</v>
      </c>
      <c r="C577" s="20" t="s">
        <v>271</v>
      </c>
      <c r="D577" s="20" t="s">
        <v>125</v>
      </c>
      <c r="E577" s="20" t="s">
        <v>1253</v>
      </c>
      <c r="F577" s="20" t="s">
        <v>282</v>
      </c>
      <c r="G577" s="26">
        <f>4430</f>
        <v>4430</v>
      </c>
      <c r="H577" s="26">
        <f t="shared" si="52"/>
        <v>4430</v>
      </c>
      <c r="I577" s="203"/>
    </row>
    <row r="578" spans="1:9" ht="31.5" x14ac:dyDescent="0.25">
      <c r="A578" s="214" t="s">
        <v>958</v>
      </c>
      <c r="B578" s="19">
        <v>906</v>
      </c>
      <c r="C578" s="24" t="s">
        <v>271</v>
      </c>
      <c r="D578" s="24" t="s">
        <v>125</v>
      </c>
      <c r="E578" s="24" t="s">
        <v>1255</v>
      </c>
      <c r="F578" s="24"/>
      <c r="G578" s="44">
        <f>G579+G582+G585</f>
        <v>4848</v>
      </c>
      <c r="H578" s="44">
        <f>H579+H582+H585</f>
        <v>4848</v>
      </c>
      <c r="I578" s="203"/>
    </row>
    <row r="579" spans="1:9" ht="31.5" hidden="1" x14ac:dyDescent="0.25">
      <c r="A579" s="25" t="s">
        <v>291</v>
      </c>
      <c r="B579" s="16">
        <v>906</v>
      </c>
      <c r="C579" s="20" t="s">
        <v>271</v>
      </c>
      <c r="D579" s="20" t="s">
        <v>125</v>
      </c>
      <c r="E579" s="20" t="s">
        <v>1273</v>
      </c>
      <c r="F579" s="20"/>
      <c r="G579" s="26">
        <f>'Пр.4 ведом.21'!G568</f>
        <v>0</v>
      </c>
      <c r="H579" s="26">
        <f t="shared" si="52"/>
        <v>0</v>
      </c>
      <c r="I579" s="203"/>
    </row>
    <row r="580" spans="1:9" ht="31.5" hidden="1" x14ac:dyDescent="0.25">
      <c r="A580" s="25" t="s">
        <v>279</v>
      </c>
      <c r="B580" s="16">
        <v>906</v>
      </c>
      <c r="C580" s="20" t="s">
        <v>271</v>
      </c>
      <c r="D580" s="20" t="s">
        <v>125</v>
      </c>
      <c r="E580" s="20" t="s">
        <v>1273</v>
      </c>
      <c r="F580" s="20" t="s">
        <v>280</v>
      </c>
      <c r="G580" s="26">
        <f>'Пр.4 ведом.21'!G569</f>
        <v>0</v>
      </c>
      <c r="H580" s="26">
        <f t="shared" si="52"/>
        <v>0</v>
      </c>
      <c r="I580" s="203"/>
    </row>
    <row r="581" spans="1:9" ht="15.75" hidden="1" x14ac:dyDescent="0.25">
      <c r="A581" s="25" t="s">
        <v>281</v>
      </c>
      <c r="B581" s="16">
        <v>906</v>
      </c>
      <c r="C581" s="20" t="s">
        <v>271</v>
      </c>
      <c r="D581" s="20" t="s">
        <v>125</v>
      </c>
      <c r="E581" s="20" t="s">
        <v>1273</v>
      </c>
      <c r="F581" s="20" t="s">
        <v>282</v>
      </c>
      <c r="G581" s="26">
        <f>'Пр.4 ведом.21'!G570</f>
        <v>0</v>
      </c>
      <c r="H581" s="26">
        <f t="shared" si="52"/>
        <v>0</v>
      </c>
      <c r="I581" s="203"/>
    </row>
    <row r="582" spans="1:9" ht="31.5" x14ac:dyDescent="0.25">
      <c r="A582" s="60" t="s">
        <v>774</v>
      </c>
      <c r="B582" s="16">
        <v>906</v>
      </c>
      <c r="C582" s="20" t="s">
        <v>271</v>
      </c>
      <c r="D582" s="20" t="s">
        <v>125</v>
      </c>
      <c r="E582" s="20" t="s">
        <v>1256</v>
      </c>
      <c r="F582" s="20"/>
      <c r="G582" s="26">
        <f>G583</f>
        <v>3088</v>
      </c>
      <c r="H582" s="26">
        <f>H583</f>
        <v>3088</v>
      </c>
      <c r="I582" s="203"/>
    </row>
    <row r="583" spans="1:9" ht="31.5" x14ac:dyDescent="0.25">
      <c r="A583" s="29" t="s">
        <v>279</v>
      </c>
      <c r="B583" s="16">
        <v>906</v>
      </c>
      <c r="C583" s="20" t="s">
        <v>271</v>
      </c>
      <c r="D583" s="20" t="s">
        <v>125</v>
      </c>
      <c r="E583" s="20" t="s">
        <v>1256</v>
      </c>
      <c r="F583" s="20" t="s">
        <v>280</v>
      </c>
      <c r="G583" s="26">
        <f>G584</f>
        <v>3088</v>
      </c>
      <c r="H583" s="26">
        <f>H584</f>
        <v>3088</v>
      </c>
      <c r="I583" s="203"/>
    </row>
    <row r="584" spans="1:9" ht="15.75" x14ac:dyDescent="0.25">
      <c r="A584" s="184" t="s">
        <v>281</v>
      </c>
      <c r="B584" s="16">
        <v>906</v>
      </c>
      <c r="C584" s="20" t="s">
        <v>271</v>
      </c>
      <c r="D584" s="20" t="s">
        <v>125</v>
      </c>
      <c r="E584" s="20" t="s">
        <v>1256</v>
      </c>
      <c r="F584" s="20" t="s">
        <v>282</v>
      </c>
      <c r="G584" s="26">
        <v>3088</v>
      </c>
      <c r="H584" s="26">
        <f t="shared" si="52"/>
        <v>3088</v>
      </c>
      <c r="I584" s="203"/>
    </row>
    <row r="585" spans="1:9" ht="47.25" x14ac:dyDescent="0.25">
      <c r="A585" s="60" t="s">
        <v>775</v>
      </c>
      <c r="B585" s="16">
        <v>906</v>
      </c>
      <c r="C585" s="20" t="s">
        <v>271</v>
      </c>
      <c r="D585" s="20" t="s">
        <v>125</v>
      </c>
      <c r="E585" s="20" t="s">
        <v>1257</v>
      </c>
      <c r="F585" s="20"/>
      <c r="G585" s="26">
        <f>G586</f>
        <v>1760</v>
      </c>
      <c r="H585" s="26">
        <f>H586</f>
        <v>1760</v>
      </c>
      <c r="I585" s="203"/>
    </row>
    <row r="586" spans="1:9" ht="31.5" x14ac:dyDescent="0.25">
      <c r="A586" s="29" t="s">
        <v>279</v>
      </c>
      <c r="B586" s="16">
        <v>906</v>
      </c>
      <c r="C586" s="20" t="s">
        <v>271</v>
      </c>
      <c r="D586" s="20" t="s">
        <v>125</v>
      </c>
      <c r="E586" s="20" t="s">
        <v>1257</v>
      </c>
      <c r="F586" s="20" t="s">
        <v>280</v>
      </c>
      <c r="G586" s="26">
        <f>G587</f>
        <v>1760</v>
      </c>
      <c r="H586" s="26">
        <f>H587</f>
        <v>1760</v>
      </c>
      <c r="I586" s="203"/>
    </row>
    <row r="587" spans="1:9" ht="15.75" x14ac:dyDescent="0.25">
      <c r="A587" s="184" t="s">
        <v>281</v>
      </c>
      <c r="B587" s="16">
        <v>906</v>
      </c>
      <c r="C587" s="20" t="s">
        <v>271</v>
      </c>
      <c r="D587" s="20" t="s">
        <v>125</v>
      </c>
      <c r="E587" s="20" t="s">
        <v>1257</v>
      </c>
      <c r="F587" s="20" t="s">
        <v>282</v>
      </c>
      <c r="G587" s="26">
        <f>1760</f>
        <v>1760</v>
      </c>
      <c r="H587" s="26">
        <f t="shared" si="52"/>
        <v>1760</v>
      </c>
      <c r="I587" s="203"/>
    </row>
    <row r="588" spans="1:9" ht="63" x14ac:dyDescent="0.25">
      <c r="A588" s="23" t="s">
        <v>943</v>
      </c>
      <c r="B588" s="19">
        <v>906</v>
      </c>
      <c r="C588" s="24" t="s">
        <v>271</v>
      </c>
      <c r="D588" s="24" t="s">
        <v>125</v>
      </c>
      <c r="E588" s="24" t="s">
        <v>1258</v>
      </c>
      <c r="F588" s="24"/>
      <c r="G588" s="21">
        <f t="shared" ref="G588:H590" si="53">G589</f>
        <v>297.70000000000005</v>
      </c>
      <c r="H588" s="21">
        <f t="shared" si="53"/>
        <v>297.70000000000005</v>
      </c>
      <c r="I588" s="203"/>
    </row>
    <row r="589" spans="1:9" ht="115.5" customHeight="1" x14ac:dyDescent="0.25">
      <c r="A589" s="25" t="s">
        <v>1555</v>
      </c>
      <c r="B589" s="16">
        <v>906</v>
      </c>
      <c r="C589" s="20" t="s">
        <v>271</v>
      </c>
      <c r="D589" s="20" t="s">
        <v>125</v>
      </c>
      <c r="E589" s="20" t="s">
        <v>1259</v>
      </c>
      <c r="F589" s="20"/>
      <c r="G589" s="26">
        <f t="shared" si="53"/>
        <v>297.70000000000005</v>
      </c>
      <c r="H589" s="26">
        <f t="shared" si="53"/>
        <v>297.70000000000005</v>
      </c>
      <c r="I589" s="203"/>
    </row>
    <row r="590" spans="1:9" ht="31.5" x14ac:dyDescent="0.25">
      <c r="A590" s="29" t="s">
        <v>279</v>
      </c>
      <c r="B590" s="16">
        <v>906</v>
      </c>
      <c r="C590" s="20" t="s">
        <v>271</v>
      </c>
      <c r="D590" s="20" t="s">
        <v>125</v>
      </c>
      <c r="E590" s="20" t="s">
        <v>1259</v>
      </c>
      <c r="F590" s="20" t="s">
        <v>280</v>
      </c>
      <c r="G590" s="26">
        <f t="shared" si="53"/>
        <v>297.70000000000005</v>
      </c>
      <c r="H590" s="26">
        <f t="shared" si="53"/>
        <v>297.70000000000005</v>
      </c>
      <c r="I590" s="203"/>
    </row>
    <row r="591" spans="1:9" ht="15.75" x14ac:dyDescent="0.25">
      <c r="A591" s="184" t="s">
        <v>281</v>
      </c>
      <c r="B591" s="16">
        <v>906</v>
      </c>
      <c r="C591" s="20" t="s">
        <v>271</v>
      </c>
      <c r="D591" s="20" t="s">
        <v>125</v>
      </c>
      <c r="E591" s="20" t="s">
        <v>1259</v>
      </c>
      <c r="F591" s="20" t="s">
        <v>282</v>
      </c>
      <c r="G591" s="26">
        <f>124.4+173.3</f>
        <v>297.70000000000005</v>
      </c>
      <c r="H591" s="26">
        <f t="shared" si="52"/>
        <v>297.70000000000005</v>
      </c>
      <c r="I591" s="203"/>
    </row>
    <row r="592" spans="1:9" s="202" customFormat="1" ht="94.5" x14ac:dyDescent="0.25">
      <c r="A592" s="23" t="s">
        <v>1180</v>
      </c>
      <c r="B592" s="19">
        <v>906</v>
      </c>
      <c r="C592" s="24" t="s">
        <v>271</v>
      </c>
      <c r="D592" s="24" t="s">
        <v>125</v>
      </c>
      <c r="E592" s="24" t="s">
        <v>1261</v>
      </c>
      <c r="F592" s="24"/>
      <c r="G592" s="21">
        <f>G593+G596</f>
        <v>1666.6</v>
      </c>
      <c r="H592" s="21">
        <f>H593+H596</f>
        <v>915</v>
      </c>
      <c r="I592" s="203"/>
    </row>
    <row r="593" spans="1:9" s="202" customFormat="1" ht="94.5" hidden="1" x14ac:dyDescent="0.25">
      <c r="A593" s="150" t="s">
        <v>1199</v>
      </c>
      <c r="B593" s="16">
        <v>906</v>
      </c>
      <c r="C593" s="20" t="s">
        <v>271</v>
      </c>
      <c r="D593" s="20" t="s">
        <v>125</v>
      </c>
      <c r="E593" s="20" t="s">
        <v>1262</v>
      </c>
      <c r="F593" s="20"/>
      <c r="G593" s="26">
        <f>G594</f>
        <v>0</v>
      </c>
      <c r="H593" s="26">
        <f>H594</f>
        <v>0</v>
      </c>
      <c r="I593" s="203"/>
    </row>
    <row r="594" spans="1:9" s="202" customFormat="1" ht="31.5" hidden="1" x14ac:dyDescent="0.25">
      <c r="A594" s="25" t="s">
        <v>279</v>
      </c>
      <c r="B594" s="16">
        <v>906</v>
      </c>
      <c r="C594" s="20" t="s">
        <v>271</v>
      </c>
      <c r="D594" s="20" t="s">
        <v>125</v>
      </c>
      <c r="E594" s="20" t="s">
        <v>1262</v>
      </c>
      <c r="F594" s="20" t="s">
        <v>280</v>
      </c>
      <c r="G594" s="26">
        <f>G595</f>
        <v>0</v>
      </c>
      <c r="H594" s="26">
        <f>H595</f>
        <v>0</v>
      </c>
      <c r="I594" s="203"/>
    </row>
    <row r="595" spans="1:9" s="202" customFormat="1" ht="15.75" hidden="1" x14ac:dyDescent="0.25">
      <c r="A595" s="25" t="s">
        <v>281</v>
      </c>
      <c r="B595" s="16">
        <v>906</v>
      </c>
      <c r="C595" s="20" t="s">
        <v>271</v>
      </c>
      <c r="D595" s="20" t="s">
        <v>125</v>
      </c>
      <c r="E595" s="20" t="s">
        <v>1262</v>
      </c>
      <c r="F595" s="20" t="s">
        <v>282</v>
      </c>
      <c r="G595" s="26">
        <v>0</v>
      </c>
      <c r="H595" s="26">
        <v>0</v>
      </c>
      <c r="I595" s="203"/>
    </row>
    <row r="596" spans="1:9" s="202" customFormat="1" ht="96.4" customHeight="1" x14ac:dyDescent="0.25">
      <c r="A596" s="150" t="s">
        <v>1538</v>
      </c>
      <c r="B596" s="16">
        <v>906</v>
      </c>
      <c r="C596" s="20" t="s">
        <v>271</v>
      </c>
      <c r="D596" s="20" t="s">
        <v>125</v>
      </c>
      <c r="E596" s="20" t="s">
        <v>1262</v>
      </c>
      <c r="F596" s="20"/>
      <c r="G596" s="26">
        <f>G597</f>
        <v>1666.6</v>
      </c>
      <c r="H596" s="26">
        <f>H597</f>
        <v>915</v>
      </c>
      <c r="I596" s="203"/>
    </row>
    <row r="597" spans="1:9" s="202" customFormat="1" ht="31.5" x14ac:dyDescent="0.25">
      <c r="A597" s="25" t="s">
        <v>279</v>
      </c>
      <c r="B597" s="16">
        <v>906</v>
      </c>
      <c r="C597" s="20" t="s">
        <v>271</v>
      </c>
      <c r="D597" s="20" t="s">
        <v>125</v>
      </c>
      <c r="E597" s="20" t="s">
        <v>1262</v>
      </c>
      <c r="F597" s="20" t="s">
        <v>280</v>
      </c>
      <c r="G597" s="26">
        <f>G598</f>
        <v>1666.6</v>
      </c>
      <c r="H597" s="26">
        <f>H598</f>
        <v>915</v>
      </c>
      <c r="I597" s="203"/>
    </row>
    <row r="598" spans="1:9" s="202" customFormat="1" ht="15.75" x14ac:dyDescent="0.25">
      <c r="A598" s="25" t="s">
        <v>281</v>
      </c>
      <c r="B598" s="16">
        <v>906</v>
      </c>
      <c r="C598" s="20" t="s">
        <v>271</v>
      </c>
      <c r="D598" s="20" t="s">
        <v>125</v>
      </c>
      <c r="E598" s="20" t="s">
        <v>1262</v>
      </c>
      <c r="F598" s="20" t="s">
        <v>282</v>
      </c>
      <c r="G598" s="26">
        <f>1666.6</f>
        <v>1666.6</v>
      </c>
      <c r="H598" s="26">
        <v>915</v>
      </c>
      <c r="I598" s="203"/>
    </row>
    <row r="599" spans="1:9" s="202" customFormat="1" ht="47.25" x14ac:dyDescent="0.25">
      <c r="A599" s="34" t="s">
        <v>1374</v>
      </c>
      <c r="B599" s="19">
        <v>906</v>
      </c>
      <c r="C599" s="24" t="s">
        <v>271</v>
      </c>
      <c r="D599" s="24" t="s">
        <v>125</v>
      </c>
      <c r="E599" s="24" t="s">
        <v>331</v>
      </c>
      <c r="F599" s="24"/>
      <c r="G599" s="21">
        <f t="shared" ref="G599:H602" si="54">G600</f>
        <v>80</v>
      </c>
      <c r="H599" s="21">
        <f t="shared" si="54"/>
        <v>25</v>
      </c>
      <c r="I599" s="203"/>
    </row>
    <row r="600" spans="1:9" s="202" customFormat="1" ht="63" x14ac:dyDescent="0.25">
      <c r="A600" s="34" t="s">
        <v>1019</v>
      </c>
      <c r="B600" s="19">
        <v>906</v>
      </c>
      <c r="C600" s="24" t="s">
        <v>271</v>
      </c>
      <c r="D600" s="24" t="s">
        <v>125</v>
      </c>
      <c r="E600" s="24" t="s">
        <v>944</v>
      </c>
      <c r="F600" s="24"/>
      <c r="G600" s="21">
        <f t="shared" si="54"/>
        <v>80</v>
      </c>
      <c r="H600" s="21">
        <f t="shared" si="54"/>
        <v>25</v>
      </c>
      <c r="I600" s="203"/>
    </row>
    <row r="601" spans="1:9" s="202" customFormat="1" ht="47.25" x14ac:dyDescent="0.25">
      <c r="A601" s="31" t="s">
        <v>1092</v>
      </c>
      <c r="B601" s="16">
        <v>906</v>
      </c>
      <c r="C601" s="20" t="s">
        <v>271</v>
      </c>
      <c r="D601" s="20" t="s">
        <v>125</v>
      </c>
      <c r="E601" s="20" t="s">
        <v>945</v>
      </c>
      <c r="F601" s="20"/>
      <c r="G601" s="26">
        <f t="shared" si="54"/>
        <v>80</v>
      </c>
      <c r="H601" s="26">
        <f t="shared" si="54"/>
        <v>25</v>
      </c>
      <c r="I601" s="203"/>
    </row>
    <row r="602" spans="1:9" s="202" customFormat="1" ht="31.5" x14ac:dyDescent="0.25">
      <c r="A602" s="31" t="s">
        <v>279</v>
      </c>
      <c r="B602" s="16">
        <v>906</v>
      </c>
      <c r="C602" s="20" t="s">
        <v>271</v>
      </c>
      <c r="D602" s="20" t="s">
        <v>125</v>
      </c>
      <c r="E602" s="20" t="s">
        <v>945</v>
      </c>
      <c r="F602" s="20" t="s">
        <v>280</v>
      </c>
      <c r="G602" s="26">
        <f t="shared" si="54"/>
        <v>80</v>
      </c>
      <c r="H602" s="26">
        <f t="shared" si="54"/>
        <v>25</v>
      </c>
      <c r="I602" s="203"/>
    </row>
    <row r="603" spans="1:9" s="202" customFormat="1" ht="15.75" x14ac:dyDescent="0.25">
      <c r="A603" s="31" t="s">
        <v>281</v>
      </c>
      <c r="B603" s="16">
        <v>906</v>
      </c>
      <c r="C603" s="20" t="s">
        <v>271</v>
      </c>
      <c r="D603" s="20" t="s">
        <v>125</v>
      </c>
      <c r="E603" s="20" t="s">
        <v>945</v>
      </c>
      <c r="F603" s="20" t="s">
        <v>282</v>
      </c>
      <c r="G603" s="26">
        <v>80</v>
      </c>
      <c r="H603" s="26">
        <v>25</v>
      </c>
      <c r="I603" s="203"/>
    </row>
    <row r="604" spans="1:9" ht="47.25" x14ac:dyDescent="0.25">
      <c r="A604" s="41" t="s">
        <v>1369</v>
      </c>
      <c r="B604" s="19">
        <v>906</v>
      </c>
      <c r="C604" s="24" t="s">
        <v>271</v>
      </c>
      <c r="D604" s="24" t="s">
        <v>125</v>
      </c>
      <c r="E604" s="24" t="s">
        <v>715</v>
      </c>
      <c r="F604" s="217"/>
      <c r="G604" s="21">
        <f>G606</f>
        <v>570.9</v>
      </c>
      <c r="H604" s="21">
        <f>H606</f>
        <v>593.79999999999995</v>
      </c>
      <c r="I604" s="203"/>
    </row>
    <row r="605" spans="1:9" ht="47.25" x14ac:dyDescent="0.25">
      <c r="A605" s="41" t="s">
        <v>900</v>
      </c>
      <c r="B605" s="19">
        <v>906</v>
      </c>
      <c r="C605" s="24" t="s">
        <v>271</v>
      </c>
      <c r="D605" s="24" t="s">
        <v>125</v>
      </c>
      <c r="E605" s="24" t="s">
        <v>898</v>
      </c>
      <c r="F605" s="217"/>
      <c r="G605" s="21">
        <f t="shared" ref="G605:H607" si="55">G606</f>
        <v>570.9</v>
      </c>
      <c r="H605" s="21">
        <f t="shared" si="55"/>
        <v>593.79999999999995</v>
      </c>
      <c r="I605" s="203"/>
    </row>
    <row r="606" spans="1:9" ht="47.25" x14ac:dyDescent="0.25">
      <c r="A606" s="98" t="s">
        <v>790</v>
      </c>
      <c r="B606" s="16">
        <v>906</v>
      </c>
      <c r="C606" s="20" t="s">
        <v>271</v>
      </c>
      <c r="D606" s="20" t="s">
        <v>125</v>
      </c>
      <c r="E606" s="20" t="s">
        <v>946</v>
      </c>
      <c r="F606" s="32"/>
      <c r="G606" s="26">
        <f t="shared" si="55"/>
        <v>570.9</v>
      </c>
      <c r="H606" s="26">
        <f t="shared" si="55"/>
        <v>593.79999999999995</v>
      </c>
      <c r="I606" s="203"/>
    </row>
    <row r="607" spans="1:9" ht="31.5" x14ac:dyDescent="0.25">
      <c r="A607" s="29" t="s">
        <v>279</v>
      </c>
      <c r="B607" s="16">
        <v>906</v>
      </c>
      <c r="C607" s="20" t="s">
        <v>271</v>
      </c>
      <c r="D607" s="20" t="s">
        <v>125</v>
      </c>
      <c r="E607" s="20" t="s">
        <v>946</v>
      </c>
      <c r="F607" s="32" t="s">
        <v>280</v>
      </c>
      <c r="G607" s="26">
        <f t="shared" si="55"/>
        <v>570.9</v>
      </c>
      <c r="H607" s="26">
        <f t="shared" si="55"/>
        <v>593.79999999999995</v>
      </c>
      <c r="I607" s="203"/>
    </row>
    <row r="608" spans="1:9" ht="15.75" x14ac:dyDescent="0.25">
      <c r="A608" s="184" t="s">
        <v>281</v>
      </c>
      <c r="B608" s="16">
        <v>906</v>
      </c>
      <c r="C608" s="20" t="s">
        <v>271</v>
      </c>
      <c r="D608" s="20" t="s">
        <v>125</v>
      </c>
      <c r="E608" s="20" t="s">
        <v>946</v>
      </c>
      <c r="F608" s="32" t="s">
        <v>282</v>
      </c>
      <c r="G608" s="26">
        <v>570.9</v>
      </c>
      <c r="H608" s="26">
        <v>593.79999999999995</v>
      </c>
      <c r="I608" s="203"/>
    </row>
    <row r="609" spans="1:13" ht="15.75" x14ac:dyDescent="0.25">
      <c r="A609" s="23" t="s">
        <v>432</v>
      </c>
      <c r="B609" s="19">
        <v>906</v>
      </c>
      <c r="C609" s="24" t="s">
        <v>271</v>
      </c>
      <c r="D609" s="24" t="s">
        <v>220</v>
      </c>
      <c r="E609" s="24"/>
      <c r="F609" s="24"/>
      <c r="G609" s="21">
        <f>G610+G686+G681</f>
        <v>177341.49999999997</v>
      </c>
      <c r="H609" s="21">
        <f>H610+H686+H681</f>
        <v>196805.15000000002</v>
      </c>
      <c r="I609" s="203"/>
      <c r="M609" s="227"/>
    </row>
    <row r="610" spans="1:13" ht="31.5" x14ac:dyDescent="0.25">
      <c r="A610" s="23" t="s">
        <v>1373</v>
      </c>
      <c r="B610" s="19">
        <v>906</v>
      </c>
      <c r="C610" s="24" t="s">
        <v>271</v>
      </c>
      <c r="D610" s="24" t="s">
        <v>220</v>
      </c>
      <c r="E610" s="24" t="s">
        <v>413</v>
      </c>
      <c r="F610" s="24"/>
      <c r="G610" s="21">
        <f>G611+G615+G634+G647+G654+G658+G662+G673+G669+G677</f>
        <v>176410.99999999997</v>
      </c>
      <c r="H610" s="21">
        <f>H611+H615+H634+H647+H654+H658+H662+H673+H669+H677</f>
        <v>195829.85000000003</v>
      </c>
      <c r="I610" s="203"/>
    </row>
    <row r="611" spans="1:13" ht="31.5" x14ac:dyDescent="0.25">
      <c r="A611" s="23" t="s">
        <v>947</v>
      </c>
      <c r="B611" s="19">
        <v>906</v>
      </c>
      <c r="C611" s="24" t="s">
        <v>271</v>
      </c>
      <c r="D611" s="24" t="s">
        <v>220</v>
      </c>
      <c r="E611" s="24" t="s">
        <v>1245</v>
      </c>
      <c r="F611" s="24"/>
      <c r="G611" s="21">
        <f t="shared" ref="G611:H613" si="56">G612</f>
        <v>28690.799999999999</v>
      </c>
      <c r="H611" s="21">
        <f t="shared" si="56"/>
        <v>28690.799999999999</v>
      </c>
      <c r="I611" s="203"/>
    </row>
    <row r="612" spans="1:13" ht="47.25" x14ac:dyDescent="0.25">
      <c r="A612" s="25" t="s">
        <v>434</v>
      </c>
      <c r="B612" s="16">
        <v>906</v>
      </c>
      <c r="C612" s="20" t="s">
        <v>271</v>
      </c>
      <c r="D612" s="20" t="s">
        <v>220</v>
      </c>
      <c r="E612" s="20" t="s">
        <v>1264</v>
      </c>
      <c r="F612" s="20"/>
      <c r="G612" s="26">
        <f t="shared" si="56"/>
        <v>28690.799999999999</v>
      </c>
      <c r="H612" s="26">
        <f t="shared" si="56"/>
        <v>28690.799999999999</v>
      </c>
      <c r="I612" s="203"/>
    </row>
    <row r="613" spans="1:13" ht="31.5" x14ac:dyDescent="0.25">
      <c r="A613" s="25" t="s">
        <v>279</v>
      </c>
      <c r="B613" s="16">
        <v>906</v>
      </c>
      <c r="C613" s="20" t="s">
        <v>271</v>
      </c>
      <c r="D613" s="20" t="s">
        <v>220</v>
      </c>
      <c r="E613" s="20" t="s">
        <v>1264</v>
      </c>
      <c r="F613" s="20" t="s">
        <v>280</v>
      </c>
      <c r="G613" s="26">
        <f t="shared" si="56"/>
        <v>28690.799999999999</v>
      </c>
      <c r="H613" s="26">
        <f t="shared" si="56"/>
        <v>28690.799999999999</v>
      </c>
      <c r="I613" s="203"/>
    </row>
    <row r="614" spans="1:13" ht="15.75" x14ac:dyDescent="0.25">
      <c r="A614" s="25" t="s">
        <v>281</v>
      </c>
      <c r="B614" s="16">
        <v>906</v>
      </c>
      <c r="C614" s="20" t="s">
        <v>271</v>
      </c>
      <c r="D614" s="20" t="s">
        <v>220</v>
      </c>
      <c r="E614" s="20" t="s">
        <v>1264</v>
      </c>
      <c r="F614" s="20" t="s">
        <v>282</v>
      </c>
      <c r="G614" s="26">
        <v>28690.799999999999</v>
      </c>
      <c r="H614" s="26">
        <f t="shared" si="52"/>
        <v>28690.799999999999</v>
      </c>
      <c r="I614" s="203"/>
    </row>
    <row r="615" spans="1:13" ht="47.25" x14ac:dyDescent="0.25">
      <c r="A615" s="23" t="s">
        <v>910</v>
      </c>
      <c r="B615" s="19">
        <v>906</v>
      </c>
      <c r="C615" s="24" t="s">
        <v>271</v>
      </c>
      <c r="D615" s="24" t="s">
        <v>220</v>
      </c>
      <c r="E615" s="24" t="s">
        <v>1247</v>
      </c>
      <c r="F615" s="24"/>
      <c r="G615" s="44">
        <f>G622+G625+G628+G631+G619+G616</f>
        <v>131370.9</v>
      </c>
      <c r="H615" s="44">
        <f>H622+H625+H628+H631+H619+H616</f>
        <v>150534.80000000002</v>
      </c>
      <c r="I615" s="203"/>
      <c r="L615" s="227"/>
    </row>
    <row r="616" spans="1:13" s="202" customFormat="1" ht="63" x14ac:dyDescent="0.25">
      <c r="A616" s="25" t="s">
        <v>1409</v>
      </c>
      <c r="B616" s="16">
        <v>906</v>
      </c>
      <c r="C616" s="20" t="s">
        <v>271</v>
      </c>
      <c r="D616" s="20" t="s">
        <v>220</v>
      </c>
      <c r="E616" s="20" t="s">
        <v>1410</v>
      </c>
      <c r="F616" s="20"/>
      <c r="G616" s="27">
        <f>G617</f>
        <v>7226.1</v>
      </c>
      <c r="H616" s="27">
        <f>H617</f>
        <v>7226.1</v>
      </c>
      <c r="I616" s="203"/>
    </row>
    <row r="617" spans="1:13" s="202" customFormat="1" ht="31.5" x14ac:dyDescent="0.25">
      <c r="A617" s="25" t="s">
        <v>279</v>
      </c>
      <c r="B617" s="16">
        <v>906</v>
      </c>
      <c r="C617" s="20" t="s">
        <v>271</v>
      </c>
      <c r="D617" s="20" t="s">
        <v>220</v>
      </c>
      <c r="E617" s="20" t="s">
        <v>1410</v>
      </c>
      <c r="F617" s="20" t="s">
        <v>280</v>
      </c>
      <c r="G617" s="27">
        <f>G618</f>
        <v>7226.1</v>
      </c>
      <c r="H617" s="27">
        <f>H618</f>
        <v>7226.1</v>
      </c>
      <c r="I617" s="203"/>
    </row>
    <row r="618" spans="1:13" s="202" customFormat="1" ht="15.75" x14ac:dyDescent="0.25">
      <c r="A618" s="25" t="s">
        <v>281</v>
      </c>
      <c r="B618" s="16">
        <v>906</v>
      </c>
      <c r="C618" s="20" t="s">
        <v>271</v>
      </c>
      <c r="D618" s="20" t="s">
        <v>220</v>
      </c>
      <c r="E618" s="20" t="s">
        <v>1410</v>
      </c>
      <c r="F618" s="20" t="s">
        <v>282</v>
      </c>
      <c r="G618" s="27">
        <v>7226.1</v>
      </c>
      <c r="H618" s="27">
        <v>7226.1</v>
      </c>
      <c r="I618" s="203"/>
    </row>
    <row r="619" spans="1:13" s="202" customFormat="1" ht="94.5" x14ac:dyDescent="0.25">
      <c r="A619" s="31" t="s">
        <v>471</v>
      </c>
      <c r="B619" s="16">
        <v>906</v>
      </c>
      <c r="C619" s="20" t="s">
        <v>271</v>
      </c>
      <c r="D619" s="20" t="s">
        <v>220</v>
      </c>
      <c r="E619" s="20" t="s">
        <v>1407</v>
      </c>
      <c r="F619" s="20"/>
      <c r="G619" s="26">
        <f>G620</f>
        <v>4610</v>
      </c>
      <c r="H619" s="26">
        <f>H620</f>
        <v>4610</v>
      </c>
      <c r="I619" s="203"/>
    </row>
    <row r="620" spans="1:13" s="202" customFormat="1" ht="31.5" x14ac:dyDescent="0.25">
      <c r="A620" s="25" t="s">
        <v>279</v>
      </c>
      <c r="B620" s="16">
        <v>906</v>
      </c>
      <c r="C620" s="20" t="s">
        <v>271</v>
      </c>
      <c r="D620" s="20" t="s">
        <v>220</v>
      </c>
      <c r="E620" s="20" t="s">
        <v>1407</v>
      </c>
      <c r="F620" s="20" t="s">
        <v>280</v>
      </c>
      <c r="G620" s="26">
        <f>G621</f>
        <v>4610</v>
      </c>
      <c r="H620" s="26">
        <f>H621</f>
        <v>4610</v>
      </c>
      <c r="I620" s="203"/>
    </row>
    <row r="621" spans="1:13" s="202" customFormat="1" ht="15.75" x14ac:dyDescent="0.25">
      <c r="A621" s="25" t="s">
        <v>281</v>
      </c>
      <c r="B621" s="16">
        <v>906</v>
      </c>
      <c r="C621" s="20" t="s">
        <v>271</v>
      </c>
      <c r="D621" s="20" t="s">
        <v>220</v>
      </c>
      <c r="E621" s="20" t="s">
        <v>1407</v>
      </c>
      <c r="F621" s="20" t="s">
        <v>282</v>
      </c>
      <c r="G621" s="26">
        <v>4610</v>
      </c>
      <c r="H621" s="26">
        <f>G621</f>
        <v>4610</v>
      </c>
      <c r="I621" s="203"/>
    </row>
    <row r="622" spans="1:13" ht="78.75" x14ac:dyDescent="0.25">
      <c r="A622" s="31" t="s">
        <v>467</v>
      </c>
      <c r="B622" s="16">
        <v>906</v>
      </c>
      <c r="C622" s="20" t="s">
        <v>271</v>
      </c>
      <c r="D622" s="20" t="s">
        <v>220</v>
      </c>
      <c r="E622" s="20" t="s">
        <v>1265</v>
      </c>
      <c r="F622" s="20"/>
      <c r="G622" s="26">
        <f>G623</f>
        <v>115047.8</v>
      </c>
      <c r="H622" s="26">
        <f>H623</f>
        <v>134211.70000000001</v>
      </c>
      <c r="I622" s="203"/>
    </row>
    <row r="623" spans="1:13" ht="31.5" x14ac:dyDescent="0.25">
      <c r="A623" s="25" t="s">
        <v>279</v>
      </c>
      <c r="B623" s="16">
        <v>906</v>
      </c>
      <c r="C623" s="20" t="s">
        <v>271</v>
      </c>
      <c r="D623" s="20" t="s">
        <v>220</v>
      </c>
      <c r="E623" s="20" t="s">
        <v>1265</v>
      </c>
      <c r="F623" s="20" t="s">
        <v>280</v>
      </c>
      <c r="G623" s="26">
        <f>G624</f>
        <v>115047.8</v>
      </c>
      <c r="H623" s="26">
        <f>H624</f>
        <v>134211.70000000001</v>
      </c>
      <c r="I623" s="203"/>
    </row>
    <row r="624" spans="1:13" ht="15.75" x14ac:dyDescent="0.25">
      <c r="A624" s="25" t="s">
        <v>281</v>
      </c>
      <c r="B624" s="16">
        <v>906</v>
      </c>
      <c r="C624" s="20" t="s">
        <v>271</v>
      </c>
      <c r="D624" s="20" t="s">
        <v>220</v>
      </c>
      <c r="E624" s="20" t="s">
        <v>1265</v>
      </c>
      <c r="F624" s="20" t="s">
        <v>282</v>
      </c>
      <c r="G624" s="26">
        <v>115047.8</v>
      </c>
      <c r="H624" s="26">
        <v>134211.70000000001</v>
      </c>
      <c r="I624" s="203"/>
    </row>
    <row r="625" spans="1:9" ht="63" x14ac:dyDescent="0.25">
      <c r="A625" s="31" t="s">
        <v>296</v>
      </c>
      <c r="B625" s="16">
        <v>906</v>
      </c>
      <c r="C625" s="20" t="s">
        <v>271</v>
      </c>
      <c r="D625" s="20" t="s">
        <v>220</v>
      </c>
      <c r="E625" s="20" t="s">
        <v>1248</v>
      </c>
      <c r="F625" s="20"/>
      <c r="G625" s="26">
        <f>G626</f>
        <v>1311</v>
      </c>
      <c r="H625" s="26">
        <f>H626</f>
        <v>1311</v>
      </c>
      <c r="I625" s="203"/>
    </row>
    <row r="626" spans="1:9" ht="31.5" x14ac:dyDescent="0.25">
      <c r="A626" s="25" t="s">
        <v>279</v>
      </c>
      <c r="B626" s="16">
        <v>906</v>
      </c>
      <c r="C626" s="20" t="s">
        <v>271</v>
      </c>
      <c r="D626" s="20" t="s">
        <v>220</v>
      </c>
      <c r="E626" s="20" t="s">
        <v>1248</v>
      </c>
      <c r="F626" s="20" t="s">
        <v>280</v>
      </c>
      <c r="G626" s="26">
        <f>G627</f>
        <v>1311</v>
      </c>
      <c r="H626" s="26">
        <f>H627</f>
        <v>1311</v>
      </c>
      <c r="I626" s="203"/>
    </row>
    <row r="627" spans="1:9" ht="15.75" x14ac:dyDescent="0.25">
      <c r="A627" s="25" t="s">
        <v>281</v>
      </c>
      <c r="B627" s="16">
        <v>906</v>
      </c>
      <c r="C627" s="20" t="s">
        <v>271</v>
      </c>
      <c r="D627" s="20" t="s">
        <v>220</v>
      </c>
      <c r="E627" s="20" t="s">
        <v>1248</v>
      </c>
      <c r="F627" s="20" t="s">
        <v>282</v>
      </c>
      <c r="G627" s="26">
        <v>1311</v>
      </c>
      <c r="H627" s="26">
        <f t="shared" si="52"/>
        <v>1311</v>
      </c>
      <c r="I627" s="203"/>
    </row>
    <row r="628" spans="1:9" ht="63" x14ac:dyDescent="0.25">
      <c r="A628" s="31" t="s">
        <v>298</v>
      </c>
      <c r="B628" s="16">
        <v>906</v>
      </c>
      <c r="C628" s="20" t="s">
        <v>271</v>
      </c>
      <c r="D628" s="20" t="s">
        <v>220</v>
      </c>
      <c r="E628" s="20" t="s">
        <v>1249</v>
      </c>
      <c r="F628" s="20"/>
      <c r="G628" s="26">
        <f>G629</f>
        <v>2266.6999999999998</v>
      </c>
      <c r="H628" s="26">
        <f>H629</f>
        <v>2266.6999999999998</v>
      </c>
      <c r="I628" s="203"/>
    </row>
    <row r="629" spans="1:9" ht="31.5" x14ac:dyDescent="0.25">
      <c r="A629" s="25" t="s">
        <v>279</v>
      </c>
      <c r="B629" s="16">
        <v>906</v>
      </c>
      <c r="C629" s="20" t="s">
        <v>271</v>
      </c>
      <c r="D629" s="20" t="s">
        <v>220</v>
      </c>
      <c r="E629" s="20" t="s">
        <v>1249</v>
      </c>
      <c r="F629" s="20" t="s">
        <v>280</v>
      </c>
      <c r="G629" s="26">
        <f>G630</f>
        <v>2266.6999999999998</v>
      </c>
      <c r="H629" s="26">
        <f>H630</f>
        <v>2266.6999999999998</v>
      </c>
      <c r="I629" s="203"/>
    </row>
    <row r="630" spans="1:9" ht="15.75" x14ac:dyDescent="0.25">
      <c r="A630" s="25" t="s">
        <v>281</v>
      </c>
      <c r="B630" s="16">
        <v>906</v>
      </c>
      <c r="C630" s="20" t="s">
        <v>271</v>
      </c>
      <c r="D630" s="20" t="s">
        <v>220</v>
      </c>
      <c r="E630" s="20" t="s">
        <v>1249</v>
      </c>
      <c r="F630" s="20" t="s">
        <v>282</v>
      </c>
      <c r="G630" s="26">
        <f>2266.7</f>
        <v>2266.6999999999998</v>
      </c>
      <c r="H630" s="26">
        <f t="shared" si="52"/>
        <v>2266.6999999999998</v>
      </c>
      <c r="I630" s="203"/>
    </row>
    <row r="631" spans="1:9" ht="47.25" x14ac:dyDescent="0.25">
      <c r="A631" s="31" t="s">
        <v>469</v>
      </c>
      <c r="B631" s="16">
        <v>906</v>
      </c>
      <c r="C631" s="20" t="s">
        <v>271</v>
      </c>
      <c r="D631" s="20" t="s">
        <v>220</v>
      </c>
      <c r="E631" s="20" t="s">
        <v>1266</v>
      </c>
      <c r="F631" s="20"/>
      <c r="G631" s="26">
        <f>G632</f>
        <v>909.3</v>
      </c>
      <c r="H631" s="26">
        <f>H632</f>
        <v>909.3</v>
      </c>
      <c r="I631" s="203"/>
    </row>
    <row r="632" spans="1:9" ht="31.5" x14ac:dyDescent="0.25">
      <c r="A632" s="25" t="s">
        <v>279</v>
      </c>
      <c r="B632" s="16">
        <v>906</v>
      </c>
      <c r="C632" s="20" t="s">
        <v>271</v>
      </c>
      <c r="D632" s="20" t="s">
        <v>220</v>
      </c>
      <c r="E632" s="20" t="s">
        <v>1266</v>
      </c>
      <c r="F632" s="20" t="s">
        <v>280</v>
      </c>
      <c r="G632" s="26">
        <f>G633</f>
        <v>909.3</v>
      </c>
      <c r="H632" s="26">
        <f>H633</f>
        <v>909.3</v>
      </c>
      <c r="I632" s="203"/>
    </row>
    <row r="633" spans="1:9" ht="15.75" x14ac:dyDescent="0.25">
      <c r="A633" s="25" t="s">
        <v>281</v>
      </c>
      <c r="B633" s="16">
        <v>906</v>
      </c>
      <c r="C633" s="20" t="s">
        <v>271</v>
      </c>
      <c r="D633" s="20" t="s">
        <v>220</v>
      </c>
      <c r="E633" s="20" t="s">
        <v>1266</v>
      </c>
      <c r="F633" s="20" t="s">
        <v>282</v>
      </c>
      <c r="G633" s="26">
        <v>909.3</v>
      </c>
      <c r="H633" s="26">
        <v>909.3</v>
      </c>
      <c r="I633" s="203"/>
    </row>
    <row r="634" spans="1:9" ht="31.5" x14ac:dyDescent="0.25">
      <c r="A634" s="23" t="s">
        <v>1267</v>
      </c>
      <c r="B634" s="250">
        <v>906</v>
      </c>
      <c r="C634" s="24" t="s">
        <v>271</v>
      </c>
      <c r="D634" s="24" t="s">
        <v>220</v>
      </c>
      <c r="E634" s="24" t="s">
        <v>1252</v>
      </c>
      <c r="F634" s="24"/>
      <c r="G634" s="21">
        <f>G635+G638+G641+G644</f>
        <v>224</v>
      </c>
      <c r="H634" s="21">
        <f>H635+H638+H641+H644</f>
        <v>224</v>
      </c>
      <c r="I634" s="203"/>
    </row>
    <row r="635" spans="1:9" ht="31.5" hidden="1" x14ac:dyDescent="0.25">
      <c r="A635" s="25" t="s">
        <v>447</v>
      </c>
      <c r="B635" s="37">
        <v>906</v>
      </c>
      <c r="C635" s="20" t="s">
        <v>271</v>
      </c>
      <c r="D635" s="20" t="s">
        <v>220</v>
      </c>
      <c r="E635" s="20" t="s">
        <v>1332</v>
      </c>
      <c r="F635" s="20"/>
      <c r="G635" s="26">
        <f>'Пр.4 ведом.21'!G624</f>
        <v>0</v>
      </c>
      <c r="H635" s="26">
        <f t="shared" ref="H635:H706" si="57">G635</f>
        <v>0</v>
      </c>
      <c r="I635" s="203"/>
    </row>
    <row r="636" spans="1:9" ht="31.5" hidden="1" x14ac:dyDescent="0.25">
      <c r="A636" s="25" t="s">
        <v>279</v>
      </c>
      <c r="B636" s="37">
        <v>906</v>
      </c>
      <c r="C636" s="20" t="s">
        <v>271</v>
      </c>
      <c r="D636" s="20" t="s">
        <v>220</v>
      </c>
      <c r="E636" s="20" t="s">
        <v>1332</v>
      </c>
      <c r="F636" s="20" t="s">
        <v>280</v>
      </c>
      <c r="G636" s="26">
        <f>'Пр.4 ведом.21'!G625</f>
        <v>0</v>
      </c>
      <c r="H636" s="26">
        <f t="shared" si="57"/>
        <v>0</v>
      </c>
      <c r="I636" s="203"/>
    </row>
    <row r="637" spans="1:9" ht="15.75" hidden="1" x14ac:dyDescent="0.25">
      <c r="A637" s="25" t="s">
        <v>281</v>
      </c>
      <c r="B637" s="37">
        <v>906</v>
      </c>
      <c r="C637" s="20" t="s">
        <v>271</v>
      </c>
      <c r="D637" s="20" t="s">
        <v>220</v>
      </c>
      <c r="E637" s="20" t="s">
        <v>1332</v>
      </c>
      <c r="F637" s="20" t="s">
        <v>282</v>
      </c>
      <c r="G637" s="26">
        <f>'Пр.4 ведом.21'!G626</f>
        <v>0</v>
      </c>
      <c r="H637" s="26">
        <f t="shared" si="57"/>
        <v>0</v>
      </c>
      <c r="I637" s="203"/>
    </row>
    <row r="638" spans="1:9" ht="31.5" hidden="1" x14ac:dyDescent="0.25">
      <c r="A638" s="25" t="s">
        <v>285</v>
      </c>
      <c r="B638" s="37">
        <v>906</v>
      </c>
      <c r="C638" s="20" t="s">
        <v>271</v>
      </c>
      <c r="D638" s="20" t="s">
        <v>220</v>
      </c>
      <c r="E638" s="20" t="s">
        <v>1333</v>
      </c>
      <c r="F638" s="20"/>
      <c r="G638" s="26">
        <f>'Пр.4 ведом.21'!G627</f>
        <v>0</v>
      </c>
      <c r="H638" s="26">
        <f t="shared" si="57"/>
        <v>0</v>
      </c>
      <c r="I638" s="203"/>
    </row>
    <row r="639" spans="1:9" ht="31.5" hidden="1" x14ac:dyDescent="0.25">
      <c r="A639" s="25" t="s">
        <v>279</v>
      </c>
      <c r="B639" s="37">
        <v>906</v>
      </c>
      <c r="C639" s="20" t="s">
        <v>271</v>
      </c>
      <c r="D639" s="20" t="s">
        <v>220</v>
      </c>
      <c r="E639" s="20" t="s">
        <v>1333</v>
      </c>
      <c r="F639" s="20" t="s">
        <v>280</v>
      </c>
      <c r="G639" s="26">
        <f>'Пр.4 ведом.21'!G628</f>
        <v>0</v>
      </c>
      <c r="H639" s="26">
        <f t="shared" si="57"/>
        <v>0</v>
      </c>
      <c r="I639" s="203"/>
    </row>
    <row r="640" spans="1:9" ht="15.75" hidden="1" x14ac:dyDescent="0.25">
      <c r="A640" s="25" t="s">
        <v>281</v>
      </c>
      <c r="B640" s="37">
        <v>906</v>
      </c>
      <c r="C640" s="20" t="s">
        <v>271</v>
      </c>
      <c r="D640" s="20" t="s">
        <v>220</v>
      </c>
      <c r="E640" s="20" t="s">
        <v>1333</v>
      </c>
      <c r="F640" s="20" t="s">
        <v>282</v>
      </c>
      <c r="G640" s="26">
        <f>'Пр.4 ведом.21'!G629</f>
        <v>0</v>
      </c>
      <c r="H640" s="26">
        <f t="shared" si="57"/>
        <v>0</v>
      </c>
      <c r="I640" s="203"/>
    </row>
    <row r="641" spans="1:9" ht="31.5" hidden="1" x14ac:dyDescent="0.25">
      <c r="A641" s="25" t="s">
        <v>287</v>
      </c>
      <c r="B641" s="37">
        <v>906</v>
      </c>
      <c r="C641" s="20" t="s">
        <v>271</v>
      </c>
      <c r="D641" s="20" t="s">
        <v>220</v>
      </c>
      <c r="E641" s="20" t="s">
        <v>1334</v>
      </c>
      <c r="F641" s="20"/>
      <c r="G641" s="26">
        <f>'Пр.4 ведом.21'!G630</f>
        <v>0</v>
      </c>
      <c r="H641" s="26">
        <f t="shared" si="57"/>
        <v>0</v>
      </c>
      <c r="I641" s="203"/>
    </row>
    <row r="642" spans="1:9" ht="31.5" hidden="1" x14ac:dyDescent="0.25">
      <c r="A642" s="25" t="s">
        <v>279</v>
      </c>
      <c r="B642" s="37">
        <v>906</v>
      </c>
      <c r="C642" s="20" t="s">
        <v>271</v>
      </c>
      <c r="D642" s="20" t="s">
        <v>220</v>
      </c>
      <c r="E642" s="20" t="s">
        <v>1334</v>
      </c>
      <c r="F642" s="20" t="s">
        <v>280</v>
      </c>
      <c r="G642" s="26">
        <f>'Пр.4 ведом.21'!G631</f>
        <v>0</v>
      </c>
      <c r="H642" s="26">
        <f t="shared" si="57"/>
        <v>0</v>
      </c>
      <c r="I642" s="203"/>
    </row>
    <row r="643" spans="1:9" ht="15.75" hidden="1" x14ac:dyDescent="0.25">
      <c r="A643" s="25" t="s">
        <v>281</v>
      </c>
      <c r="B643" s="37">
        <v>906</v>
      </c>
      <c r="C643" s="20" t="s">
        <v>271</v>
      </c>
      <c r="D643" s="20" t="s">
        <v>220</v>
      </c>
      <c r="E643" s="20" t="s">
        <v>1334</v>
      </c>
      <c r="F643" s="20" t="s">
        <v>282</v>
      </c>
      <c r="G643" s="26">
        <f>'Пр.4 ведом.21'!G632</f>
        <v>0</v>
      </c>
      <c r="H643" s="26">
        <f t="shared" si="57"/>
        <v>0</v>
      </c>
      <c r="I643" s="203"/>
    </row>
    <row r="644" spans="1:9" ht="31.5" x14ac:dyDescent="0.25">
      <c r="A644" s="25" t="s">
        <v>289</v>
      </c>
      <c r="B644" s="37">
        <v>906</v>
      </c>
      <c r="C644" s="20" t="s">
        <v>271</v>
      </c>
      <c r="D644" s="20" t="s">
        <v>220</v>
      </c>
      <c r="E644" s="20" t="s">
        <v>1268</v>
      </c>
      <c r="F644" s="20"/>
      <c r="G644" s="26">
        <f>G645</f>
        <v>224</v>
      </c>
      <c r="H644" s="26">
        <f>H645</f>
        <v>224</v>
      </c>
      <c r="I644" s="203"/>
    </row>
    <row r="645" spans="1:9" ht="31.5" x14ac:dyDescent="0.25">
      <c r="A645" s="25" t="s">
        <v>279</v>
      </c>
      <c r="B645" s="37">
        <v>906</v>
      </c>
      <c r="C645" s="20" t="s">
        <v>271</v>
      </c>
      <c r="D645" s="20" t="s">
        <v>220</v>
      </c>
      <c r="E645" s="20" t="s">
        <v>1268</v>
      </c>
      <c r="F645" s="20" t="s">
        <v>280</v>
      </c>
      <c r="G645" s="26">
        <f>G646</f>
        <v>224</v>
      </c>
      <c r="H645" s="26">
        <f>H646</f>
        <v>224</v>
      </c>
      <c r="I645" s="203"/>
    </row>
    <row r="646" spans="1:9" ht="15.75" x14ac:dyDescent="0.25">
      <c r="A646" s="25" t="s">
        <v>281</v>
      </c>
      <c r="B646" s="37">
        <v>906</v>
      </c>
      <c r="C646" s="20" t="s">
        <v>271</v>
      </c>
      <c r="D646" s="20" t="s">
        <v>220</v>
      </c>
      <c r="E646" s="20" t="s">
        <v>1268</v>
      </c>
      <c r="F646" s="20" t="s">
        <v>282</v>
      </c>
      <c r="G646" s="26">
        <f>224</f>
        <v>224</v>
      </c>
      <c r="H646" s="26">
        <f t="shared" si="57"/>
        <v>224</v>
      </c>
      <c r="I646" s="203"/>
    </row>
    <row r="647" spans="1:9" s="202" customFormat="1" ht="31.5" x14ac:dyDescent="0.25">
      <c r="A647" s="214" t="s">
        <v>958</v>
      </c>
      <c r="B647" s="19">
        <v>906</v>
      </c>
      <c r="C647" s="24" t="s">
        <v>271</v>
      </c>
      <c r="D647" s="24" t="s">
        <v>220</v>
      </c>
      <c r="E647" s="24" t="s">
        <v>1255</v>
      </c>
      <c r="F647" s="24"/>
      <c r="G647" s="44">
        <f>G648+G651</f>
        <v>2888</v>
      </c>
      <c r="H647" s="44">
        <f>H648+H651</f>
        <v>2888</v>
      </c>
      <c r="I647" s="203"/>
    </row>
    <row r="648" spans="1:9" s="202" customFormat="1" ht="31.5" hidden="1" x14ac:dyDescent="0.25">
      <c r="A648" s="25" t="s">
        <v>801</v>
      </c>
      <c r="B648" s="16">
        <v>906</v>
      </c>
      <c r="C648" s="20" t="s">
        <v>271</v>
      </c>
      <c r="D648" s="20" t="s">
        <v>220</v>
      </c>
      <c r="E648" s="20" t="s">
        <v>1273</v>
      </c>
      <c r="F648" s="20"/>
      <c r="G648" s="26">
        <f>'Пр.4 ведом.21'!G637</f>
        <v>0</v>
      </c>
      <c r="H648" s="26">
        <f>G648</f>
        <v>0</v>
      </c>
      <c r="I648" s="203"/>
    </row>
    <row r="649" spans="1:9" s="202" customFormat="1" ht="31.5" hidden="1" x14ac:dyDescent="0.25">
      <c r="A649" s="25" t="s">
        <v>279</v>
      </c>
      <c r="B649" s="16">
        <v>906</v>
      </c>
      <c r="C649" s="20" t="s">
        <v>271</v>
      </c>
      <c r="D649" s="20" t="s">
        <v>220</v>
      </c>
      <c r="E649" s="20" t="s">
        <v>1273</v>
      </c>
      <c r="F649" s="20" t="s">
        <v>280</v>
      </c>
      <c r="G649" s="26">
        <f>'Пр.4 ведом.21'!G638</f>
        <v>0</v>
      </c>
      <c r="H649" s="26">
        <f>G649</f>
        <v>0</v>
      </c>
      <c r="I649" s="203"/>
    </row>
    <row r="650" spans="1:9" s="202" customFormat="1" ht="15.75" hidden="1" x14ac:dyDescent="0.25">
      <c r="A650" s="25" t="s">
        <v>281</v>
      </c>
      <c r="B650" s="16">
        <v>906</v>
      </c>
      <c r="C650" s="20" t="s">
        <v>271</v>
      </c>
      <c r="D650" s="20" t="s">
        <v>220</v>
      </c>
      <c r="E650" s="20" t="s">
        <v>1273</v>
      </c>
      <c r="F650" s="20" t="s">
        <v>282</v>
      </c>
      <c r="G650" s="26">
        <f>'Пр.4 ведом.21'!G639</f>
        <v>0</v>
      </c>
      <c r="H650" s="26">
        <f>G650</f>
        <v>0</v>
      </c>
      <c r="I650" s="203"/>
    </row>
    <row r="651" spans="1:9" s="202" customFormat="1" ht="31.5" x14ac:dyDescent="0.25">
      <c r="A651" s="60" t="s">
        <v>774</v>
      </c>
      <c r="B651" s="16">
        <v>906</v>
      </c>
      <c r="C651" s="20" t="s">
        <v>271</v>
      </c>
      <c r="D651" s="20" t="s">
        <v>220</v>
      </c>
      <c r="E651" s="20" t="s">
        <v>1256</v>
      </c>
      <c r="F651" s="20"/>
      <c r="G651" s="26">
        <f>G652</f>
        <v>2888</v>
      </c>
      <c r="H651" s="26">
        <f>H652</f>
        <v>2888</v>
      </c>
      <c r="I651" s="203"/>
    </row>
    <row r="652" spans="1:9" s="202" customFormat="1" ht="31.5" x14ac:dyDescent="0.25">
      <c r="A652" s="29" t="s">
        <v>279</v>
      </c>
      <c r="B652" s="16">
        <v>906</v>
      </c>
      <c r="C652" s="20" t="s">
        <v>271</v>
      </c>
      <c r="D652" s="20" t="s">
        <v>220</v>
      </c>
      <c r="E652" s="20" t="s">
        <v>1256</v>
      </c>
      <c r="F652" s="20" t="s">
        <v>280</v>
      </c>
      <c r="G652" s="26">
        <f>G653</f>
        <v>2888</v>
      </c>
      <c r="H652" s="26">
        <f>H653</f>
        <v>2888</v>
      </c>
      <c r="I652" s="203"/>
    </row>
    <row r="653" spans="1:9" s="202" customFormat="1" ht="15.75" x14ac:dyDescent="0.25">
      <c r="A653" s="184" t="s">
        <v>281</v>
      </c>
      <c r="B653" s="16">
        <v>906</v>
      </c>
      <c r="C653" s="20" t="s">
        <v>271</v>
      </c>
      <c r="D653" s="20" t="s">
        <v>220</v>
      </c>
      <c r="E653" s="20" t="s">
        <v>1256</v>
      </c>
      <c r="F653" s="20" t="s">
        <v>282</v>
      </c>
      <c r="G653" s="26">
        <v>2888</v>
      </c>
      <c r="H653" s="26">
        <f>G653</f>
        <v>2888</v>
      </c>
      <c r="I653" s="203"/>
    </row>
    <row r="654" spans="1:9" ht="31.5" x14ac:dyDescent="0.25">
      <c r="A654" s="23" t="s">
        <v>948</v>
      </c>
      <c r="B654" s="250">
        <v>906</v>
      </c>
      <c r="C654" s="24" t="s">
        <v>271</v>
      </c>
      <c r="D654" s="24" t="s">
        <v>220</v>
      </c>
      <c r="E654" s="24" t="s">
        <v>1269</v>
      </c>
      <c r="F654" s="24"/>
      <c r="G654" s="21">
        <f t="shared" ref="G654:H656" si="58">G655</f>
        <v>3931.8</v>
      </c>
      <c r="H654" s="21">
        <f t="shared" si="58"/>
        <v>3865.2</v>
      </c>
      <c r="I654" s="203"/>
    </row>
    <row r="655" spans="1:9" ht="49.7" customHeight="1" x14ac:dyDescent="0.25">
      <c r="A655" s="29" t="s">
        <v>610</v>
      </c>
      <c r="B655" s="37">
        <v>906</v>
      </c>
      <c r="C655" s="20" t="s">
        <v>271</v>
      </c>
      <c r="D655" s="20" t="s">
        <v>220</v>
      </c>
      <c r="E655" s="20" t="s">
        <v>1270</v>
      </c>
      <c r="F655" s="20"/>
      <c r="G655" s="26">
        <f t="shared" si="58"/>
        <v>3931.8</v>
      </c>
      <c r="H655" s="26">
        <f t="shared" si="58"/>
        <v>3865.2</v>
      </c>
      <c r="I655" s="203"/>
    </row>
    <row r="656" spans="1:9" ht="31.5" x14ac:dyDescent="0.25">
      <c r="A656" s="25" t="s">
        <v>279</v>
      </c>
      <c r="B656" s="37">
        <v>906</v>
      </c>
      <c r="C656" s="20" t="s">
        <v>271</v>
      </c>
      <c r="D656" s="20" t="s">
        <v>220</v>
      </c>
      <c r="E656" s="20" t="s">
        <v>1270</v>
      </c>
      <c r="F656" s="20" t="s">
        <v>280</v>
      </c>
      <c r="G656" s="26">
        <f t="shared" si="58"/>
        <v>3931.8</v>
      </c>
      <c r="H656" s="26">
        <f t="shared" si="58"/>
        <v>3865.2</v>
      </c>
      <c r="I656" s="203"/>
    </row>
    <row r="657" spans="1:15" ht="15.75" x14ac:dyDescent="0.25">
      <c r="A657" s="25" t="s">
        <v>281</v>
      </c>
      <c r="B657" s="37">
        <v>906</v>
      </c>
      <c r="C657" s="20" t="s">
        <v>271</v>
      </c>
      <c r="D657" s="20" t="s">
        <v>220</v>
      </c>
      <c r="E657" s="20" t="s">
        <v>1270</v>
      </c>
      <c r="F657" s="20" t="s">
        <v>282</v>
      </c>
      <c r="G657" s="26">
        <v>3931.8</v>
      </c>
      <c r="H657" s="26">
        <v>3865.2</v>
      </c>
      <c r="I657" s="203"/>
    </row>
    <row r="658" spans="1:15" ht="31.5" x14ac:dyDescent="0.25">
      <c r="A658" s="23" t="s">
        <v>949</v>
      </c>
      <c r="B658" s="250">
        <v>906</v>
      </c>
      <c r="C658" s="24" t="s">
        <v>271</v>
      </c>
      <c r="D658" s="24" t="s">
        <v>220</v>
      </c>
      <c r="E658" s="24" t="s">
        <v>1271</v>
      </c>
      <c r="F658" s="24"/>
      <c r="G658" s="44">
        <f t="shared" ref="G658:H660" si="59">G659</f>
        <v>1384.6</v>
      </c>
      <c r="H658" s="44">
        <f t="shared" si="59"/>
        <v>1384.6</v>
      </c>
      <c r="I658" s="203"/>
    </row>
    <row r="659" spans="1:15" ht="47.25" x14ac:dyDescent="0.25">
      <c r="A659" s="25" t="s">
        <v>445</v>
      </c>
      <c r="B659" s="37">
        <v>906</v>
      </c>
      <c r="C659" s="20" t="s">
        <v>271</v>
      </c>
      <c r="D659" s="20" t="s">
        <v>220</v>
      </c>
      <c r="E659" s="20" t="s">
        <v>1272</v>
      </c>
      <c r="F659" s="20"/>
      <c r="G659" s="26">
        <f t="shared" si="59"/>
        <v>1384.6</v>
      </c>
      <c r="H659" s="26">
        <f t="shared" si="59"/>
        <v>1384.6</v>
      </c>
      <c r="I659" s="203"/>
    </row>
    <row r="660" spans="1:15" ht="31.5" x14ac:dyDescent="0.25">
      <c r="A660" s="25" t="s">
        <v>279</v>
      </c>
      <c r="B660" s="37">
        <v>906</v>
      </c>
      <c r="C660" s="20" t="s">
        <v>271</v>
      </c>
      <c r="D660" s="20" t="s">
        <v>220</v>
      </c>
      <c r="E660" s="20" t="s">
        <v>1272</v>
      </c>
      <c r="F660" s="20" t="s">
        <v>280</v>
      </c>
      <c r="G660" s="26">
        <f t="shared" si="59"/>
        <v>1384.6</v>
      </c>
      <c r="H660" s="26">
        <f t="shared" si="59"/>
        <v>1384.6</v>
      </c>
      <c r="I660" s="203"/>
    </row>
    <row r="661" spans="1:15" ht="15.75" x14ac:dyDescent="0.25">
      <c r="A661" s="25" t="s">
        <v>281</v>
      </c>
      <c r="B661" s="37">
        <v>906</v>
      </c>
      <c r="C661" s="20" t="s">
        <v>271</v>
      </c>
      <c r="D661" s="20" t="s">
        <v>220</v>
      </c>
      <c r="E661" s="20" t="s">
        <v>1272</v>
      </c>
      <c r="F661" s="20" t="s">
        <v>282</v>
      </c>
      <c r="G661" s="26">
        <v>1384.6</v>
      </c>
      <c r="H661" s="26">
        <v>1384.6</v>
      </c>
      <c r="I661" s="203"/>
    </row>
    <row r="662" spans="1:15" ht="31.5" x14ac:dyDescent="0.25">
      <c r="A662" s="212" t="s">
        <v>950</v>
      </c>
      <c r="B662" s="19">
        <v>906</v>
      </c>
      <c r="C662" s="24" t="s">
        <v>271</v>
      </c>
      <c r="D662" s="24" t="s">
        <v>220</v>
      </c>
      <c r="E662" s="24" t="s">
        <v>1274</v>
      </c>
      <c r="F662" s="24"/>
      <c r="G662" s="21">
        <f>G663+G666</f>
        <v>755.8</v>
      </c>
      <c r="H662" s="21">
        <f>H663+H666</f>
        <v>759</v>
      </c>
      <c r="I662" s="203"/>
    </row>
    <row r="663" spans="1:15" ht="50.25" customHeight="1" x14ac:dyDescent="0.25">
      <c r="A663" s="184" t="s">
        <v>838</v>
      </c>
      <c r="B663" s="16">
        <v>906</v>
      </c>
      <c r="C663" s="20" t="s">
        <v>271</v>
      </c>
      <c r="D663" s="20" t="s">
        <v>220</v>
      </c>
      <c r="E663" s="20" t="s">
        <v>1444</v>
      </c>
      <c r="F663" s="20"/>
      <c r="G663" s="26">
        <f>G664</f>
        <v>755.8</v>
      </c>
      <c r="H663" s="26">
        <f t="shared" ref="H663:H664" si="60">H664</f>
        <v>759</v>
      </c>
      <c r="I663" s="203"/>
    </row>
    <row r="664" spans="1:15" ht="31.5" x14ac:dyDescent="0.25">
      <c r="A664" s="31" t="s">
        <v>279</v>
      </c>
      <c r="B664" s="16">
        <v>906</v>
      </c>
      <c r="C664" s="20" t="s">
        <v>271</v>
      </c>
      <c r="D664" s="20" t="s">
        <v>220</v>
      </c>
      <c r="E664" s="20" t="s">
        <v>1444</v>
      </c>
      <c r="F664" s="20" t="s">
        <v>280</v>
      </c>
      <c r="G664" s="26">
        <f>G665</f>
        <v>755.8</v>
      </c>
      <c r="H664" s="26">
        <f t="shared" si="60"/>
        <v>759</v>
      </c>
      <c r="I664" s="203"/>
    </row>
    <row r="665" spans="1:15" ht="15.75" x14ac:dyDescent="0.25">
      <c r="A665" s="31" t="s">
        <v>281</v>
      </c>
      <c r="B665" s="16">
        <v>906</v>
      </c>
      <c r="C665" s="20" t="s">
        <v>271</v>
      </c>
      <c r="D665" s="20" t="s">
        <v>220</v>
      </c>
      <c r="E665" s="20" t="s">
        <v>1444</v>
      </c>
      <c r="F665" s="20" t="s">
        <v>282</v>
      </c>
      <c r="G665" s="26">
        <v>755.8</v>
      </c>
      <c r="H665" s="26">
        <v>759</v>
      </c>
      <c r="I665" s="203"/>
    </row>
    <row r="666" spans="1:15" s="202" customFormat="1" ht="31.5" hidden="1" x14ac:dyDescent="0.25">
      <c r="A666" s="331" t="s">
        <v>1443</v>
      </c>
      <c r="B666" s="16">
        <v>906</v>
      </c>
      <c r="C666" s="20" t="s">
        <v>271</v>
      </c>
      <c r="D666" s="20" t="s">
        <v>220</v>
      </c>
      <c r="E666" s="20" t="s">
        <v>1445</v>
      </c>
      <c r="F666" s="20"/>
      <c r="G666" s="26">
        <f>G667</f>
        <v>0</v>
      </c>
      <c r="H666" s="26">
        <f>H667</f>
        <v>0</v>
      </c>
      <c r="I666" s="203"/>
    </row>
    <row r="667" spans="1:15" s="202" customFormat="1" ht="31.5" hidden="1" x14ac:dyDescent="0.25">
      <c r="A667" s="31" t="s">
        <v>279</v>
      </c>
      <c r="B667" s="16">
        <v>906</v>
      </c>
      <c r="C667" s="20" t="s">
        <v>271</v>
      </c>
      <c r="D667" s="20" t="s">
        <v>220</v>
      </c>
      <c r="E667" s="20" t="s">
        <v>1445</v>
      </c>
      <c r="F667" s="20" t="s">
        <v>280</v>
      </c>
      <c r="G667" s="26">
        <f>G668</f>
        <v>0</v>
      </c>
      <c r="H667" s="26">
        <f>H668</f>
        <v>0</v>
      </c>
      <c r="I667" s="203"/>
    </row>
    <row r="668" spans="1:15" s="202" customFormat="1" ht="15.75" hidden="1" x14ac:dyDescent="0.25">
      <c r="A668" s="31" t="s">
        <v>281</v>
      </c>
      <c r="B668" s="16">
        <v>906</v>
      </c>
      <c r="C668" s="20" t="s">
        <v>271</v>
      </c>
      <c r="D668" s="20" t="s">
        <v>220</v>
      </c>
      <c r="E668" s="20" t="s">
        <v>1445</v>
      </c>
      <c r="F668" s="20" t="s">
        <v>282</v>
      </c>
      <c r="G668" s="26">
        <v>0</v>
      </c>
      <c r="H668" s="26">
        <v>0</v>
      </c>
      <c r="I668" s="203"/>
    </row>
    <row r="669" spans="1:15" s="202" customFormat="1" ht="31.5" x14ac:dyDescent="0.25">
      <c r="A669" s="289" t="s">
        <v>1422</v>
      </c>
      <c r="B669" s="19">
        <v>906</v>
      </c>
      <c r="C669" s="24" t="s">
        <v>271</v>
      </c>
      <c r="D669" s="24" t="s">
        <v>220</v>
      </c>
      <c r="E669" s="24" t="s">
        <v>1421</v>
      </c>
      <c r="F669" s="24"/>
      <c r="G669" s="21">
        <f t="shared" ref="G669:H671" si="61">G670</f>
        <v>5415.6500000000005</v>
      </c>
      <c r="H669" s="21">
        <f t="shared" si="61"/>
        <v>5142.4500000000007</v>
      </c>
      <c r="I669" s="203"/>
    </row>
    <row r="670" spans="1:15" s="202" customFormat="1" ht="63" x14ac:dyDescent="0.25">
      <c r="A670" s="288" t="s">
        <v>1408</v>
      </c>
      <c r="B670" s="16">
        <v>906</v>
      </c>
      <c r="C670" s="20" t="s">
        <v>271</v>
      </c>
      <c r="D670" s="20" t="s">
        <v>220</v>
      </c>
      <c r="E670" s="20" t="s">
        <v>1475</v>
      </c>
      <c r="F670" s="20"/>
      <c r="G670" s="26">
        <f t="shared" si="61"/>
        <v>5415.6500000000005</v>
      </c>
      <c r="H670" s="26">
        <f t="shared" si="61"/>
        <v>5142.4500000000007</v>
      </c>
      <c r="I670" s="203"/>
    </row>
    <row r="671" spans="1:15" s="202" customFormat="1" ht="37.35" customHeight="1" x14ac:dyDescent="0.25">
      <c r="A671" s="31" t="s">
        <v>279</v>
      </c>
      <c r="B671" s="16">
        <v>906</v>
      </c>
      <c r="C671" s="20" t="s">
        <v>271</v>
      </c>
      <c r="D671" s="20" t="s">
        <v>220</v>
      </c>
      <c r="E671" s="20" t="s">
        <v>1475</v>
      </c>
      <c r="F671" s="20" t="s">
        <v>280</v>
      </c>
      <c r="G671" s="26">
        <f t="shared" si="61"/>
        <v>5415.6500000000005</v>
      </c>
      <c r="H671" s="26">
        <f t="shared" si="61"/>
        <v>5142.4500000000007</v>
      </c>
      <c r="I671" s="203"/>
    </row>
    <row r="672" spans="1:15" s="202" customFormat="1" ht="15.75" x14ac:dyDescent="0.25">
      <c r="A672" s="31" t="s">
        <v>281</v>
      </c>
      <c r="B672" s="16">
        <v>906</v>
      </c>
      <c r="C672" s="20" t="s">
        <v>271</v>
      </c>
      <c r="D672" s="20" t="s">
        <v>220</v>
      </c>
      <c r="E672" s="20" t="s">
        <v>1475</v>
      </c>
      <c r="F672" s="20" t="s">
        <v>282</v>
      </c>
      <c r="G672" s="26">
        <f>5193.6+222.05</f>
        <v>5415.6500000000005</v>
      </c>
      <c r="H672" s="26">
        <f>4931.6+210.85</f>
        <v>5142.4500000000007</v>
      </c>
      <c r="I672" s="203"/>
      <c r="L672" s="203"/>
      <c r="M672" s="203"/>
      <c r="N672" s="203"/>
      <c r="O672" s="203"/>
    </row>
    <row r="673" spans="1:15" s="202" customFormat="1" ht="47.25" hidden="1" x14ac:dyDescent="0.25">
      <c r="A673" s="212" t="s">
        <v>1186</v>
      </c>
      <c r="B673" s="19">
        <v>906</v>
      </c>
      <c r="C673" s="24" t="s">
        <v>271</v>
      </c>
      <c r="D673" s="24" t="s">
        <v>220</v>
      </c>
      <c r="E673" s="24" t="s">
        <v>1335</v>
      </c>
      <c r="F673" s="24"/>
      <c r="G673" s="21">
        <f t="shared" ref="G673:H677" si="62">G674</f>
        <v>0</v>
      </c>
      <c r="H673" s="21">
        <f t="shared" si="62"/>
        <v>0</v>
      </c>
      <c r="I673" s="203"/>
    </row>
    <row r="674" spans="1:15" s="202" customFormat="1" ht="47.25" hidden="1" x14ac:dyDescent="0.25">
      <c r="A674" s="184" t="s">
        <v>1194</v>
      </c>
      <c r="B674" s="16">
        <v>906</v>
      </c>
      <c r="C674" s="20" t="s">
        <v>271</v>
      </c>
      <c r="D674" s="20" t="s">
        <v>220</v>
      </c>
      <c r="E674" s="20" t="s">
        <v>1336</v>
      </c>
      <c r="F674" s="20"/>
      <c r="G674" s="26">
        <f t="shared" si="62"/>
        <v>0</v>
      </c>
      <c r="H674" s="26">
        <f t="shared" si="62"/>
        <v>0</v>
      </c>
      <c r="I674" s="203"/>
    </row>
    <row r="675" spans="1:15" s="202" customFormat="1" ht="31.5" hidden="1" x14ac:dyDescent="0.25">
      <c r="A675" s="31" t="s">
        <v>279</v>
      </c>
      <c r="B675" s="16">
        <v>906</v>
      </c>
      <c r="C675" s="20" t="s">
        <v>271</v>
      </c>
      <c r="D675" s="20" t="s">
        <v>220</v>
      </c>
      <c r="E675" s="20" t="s">
        <v>1336</v>
      </c>
      <c r="F675" s="20" t="s">
        <v>280</v>
      </c>
      <c r="G675" s="26">
        <f t="shared" si="62"/>
        <v>0</v>
      </c>
      <c r="H675" s="26">
        <f t="shared" si="62"/>
        <v>0</v>
      </c>
      <c r="I675" s="203"/>
    </row>
    <row r="676" spans="1:15" s="202" customFormat="1" ht="15.75" hidden="1" x14ac:dyDescent="0.25">
      <c r="A676" s="31" t="s">
        <v>281</v>
      </c>
      <c r="B676" s="16">
        <v>906</v>
      </c>
      <c r="C676" s="20" t="s">
        <v>271</v>
      </c>
      <c r="D676" s="20" t="s">
        <v>220</v>
      </c>
      <c r="E676" s="20" t="s">
        <v>1336</v>
      </c>
      <c r="F676" s="20" t="s">
        <v>282</v>
      </c>
      <c r="G676" s="26">
        <v>0</v>
      </c>
      <c r="H676" s="26">
        <f>G676</f>
        <v>0</v>
      </c>
      <c r="I676" s="203"/>
    </row>
    <row r="677" spans="1:15" s="202" customFormat="1" ht="31.5" x14ac:dyDescent="0.25">
      <c r="A677" s="34" t="s">
        <v>1516</v>
      </c>
      <c r="B677" s="19">
        <v>906</v>
      </c>
      <c r="C677" s="24" t="s">
        <v>271</v>
      </c>
      <c r="D677" s="24" t="s">
        <v>220</v>
      </c>
      <c r="E677" s="24" t="s">
        <v>1514</v>
      </c>
      <c r="F677" s="24"/>
      <c r="G677" s="21">
        <f t="shared" si="62"/>
        <v>1749.4499999999998</v>
      </c>
      <c r="H677" s="21">
        <f t="shared" si="62"/>
        <v>2341</v>
      </c>
      <c r="I677" s="203"/>
    </row>
    <row r="678" spans="1:15" s="202" customFormat="1" ht="54" customHeight="1" x14ac:dyDescent="0.25">
      <c r="A678" s="386" t="s">
        <v>1569</v>
      </c>
      <c r="B678" s="16">
        <v>906</v>
      </c>
      <c r="C678" s="20" t="s">
        <v>271</v>
      </c>
      <c r="D678" s="20" t="s">
        <v>220</v>
      </c>
      <c r="E678" s="20" t="s">
        <v>1515</v>
      </c>
      <c r="F678" s="20"/>
      <c r="G678" s="26">
        <f>G679</f>
        <v>1749.4499999999998</v>
      </c>
      <c r="H678" s="26">
        <f>H679</f>
        <v>2341</v>
      </c>
      <c r="I678" s="203"/>
    </row>
    <row r="679" spans="1:15" s="202" customFormat="1" ht="31.5" x14ac:dyDescent="0.25">
      <c r="A679" s="31" t="s">
        <v>279</v>
      </c>
      <c r="B679" s="16">
        <v>906</v>
      </c>
      <c r="C679" s="20" t="s">
        <v>271</v>
      </c>
      <c r="D679" s="20" t="s">
        <v>220</v>
      </c>
      <c r="E679" s="20" t="s">
        <v>1515</v>
      </c>
      <c r="F679" s="20" t="s">
        <v>280</v>
      </c>
      <c r="G679" s="26">
        <f>G680</f>
        <v>1749.4499999999998</v>
      </c>
      <c r="H679" s="26">
        <f>H680</f>
        <v>2341</v>
      </c>
      <c r="I679" s="203"/>
    </row>
    <row r="680" spans="1:15" s="202" customFormat="1" ht="15.75" x14ac:dyDescent="0.25">
      <c r="A680" s="31" t="s">
        <v>281</v>
      </c>
      <c r="B680" s="16">
        <v>906</v>
      </c>
      <c r="C680" s="20" t="s">
        <v>271</v>
      </c>
      <c r="D680" s="20" t="s">
        <v>220</v>
      </c>
      <c r="E680" s="20" t="s">
        <v>1515</v>
      </c>
      <c r="F680" s="20" t="s">
        <v>282</v>
      </c>
      <c r="G680" s="26">
        <f>1644.1+33.6+71.75</f>
        <v>1749.4499999999998</v>
      </c>
      <c r="H680" s="26">
        <f>2200+45+96</f>
        <v>2341</v>
      </c>
      <c r="I680" s="203"/>
      <c r="L680" s="203"/>
      <c r="M680" s="203"/>
      <c r="N680" s="203"/>
      <c r="O680" s="203"/>
    </row>
    <row r="681" spans="1:15" ht="47.25" x14ac:dyDescent="0.25">
      <c r="A681" s="34" t="s">
        <v>1374</v>
      </c>
      <c r="B681" s="19">
        <v>906</v>
      </c>
      <c r="C681" s="24" t="s">
        <v>271</v>
      </c>
      <c r="D681" s="24" t="s">
        <v>220</v>
      </c>
      <c r="E681" s="24" t="s">
        <v>331</v>
      </c>
      <c r="F681" s="24"/>
      <c r="G681" s="21">
        <f t="shared" ref="G681:H684" si="63">G682</f>
        <v>60</v>
      </c>
      <c r="H681" s="21">
        <f t="shared" si="63"/>
        <v>70</v>
      </c>
      <c r="I681" s="203"/>
    </row>
    <row r="682" spans="1:15" ht="63" x14ac:dyDescent="0.25">
      <c r="A682" s="34" t="s">
        <v>1034</v>
      </c>
      <c r="B682" s="19">
        <v>906</v>
      </c>
      <c r="C682" s="24" t="s">
        <v>271</v>
      </c>
      <c r="D682" s="24" t="s">
        <v>220</v>
      </c>
      <c r="E682" s="24" t="s">
        <v>944</v>
      </c>
      <c r="F682" s="24"/>
      <c r="G682" s="21">
        <f t="shared" si="63"/>
        <v>60</v>
      </c>
      <c r="H682" s="21">
        <f t="shared" si="63"/>
        <v>70</v>
      </c>
      <c r="I682" s="203"/>
    </row>
    <row r="683" spans="1:15" ht="47.25" x14ac:dyDescent="0.25">
      <c r="A683" s="31" t="s">
        <v>1092</v>
      </c>
      <c r="B683" s="16">
        <v>906</v>
      </c>
      <c r="C683" s="20" t="s">
        <v>271</v>
      </c>
      <c r="D683" s="20" t="s">
        <v>220</v>
      </c>
      <c r="E683" s="20" t="s">
        <v>945</v>
      </c>
      <c r="F683" s="20"/>
      <c r="G683" s="26">
        <f t="shared" si="63"/>
        <v>60</v>
      </c>
      <c r="H683" s="26">
        <f t="shared" si="63"/>
        <v>70</v>
      </c>
      <c r="I683" s="203"/>
    </row>
    <row r="684" spans="1:15" ht="31.5" x14ac:dyDescent="0.25">
      <c r="A684" s="31" t="s">
        <v>279</v>
      </c>
      <c r="B684" s="16">
        <v>906</v>
      </c>
      <c r="C684" s="20" t="s">
        <v>271</v>
      </c>
      <c r="D684" s="20" t="s">
        <v>220</v>
      </c>
      <c r="E684" s="20" t="s">
        <v>945</v>
      </c>
      <c r="F684" s="20" t="s">
        <v>280</v>
      </c>
      <c r="G684" s="26">
        <f t="shared" si="63"/>
        <v>60</v>
      </c>
      <c r="H684" s="26">
        <f t="shared" si="63"/>
        <v>70</v>
      </c>
      <c r="I684" s="203"/>
    </row>
    <row r="685" spans="1:15" ht="15.75" x14ac:dyDescent="0.25">
      <c r="A685" s="31" t="s">
        <v>281</v>
      </c>
      <c r="B685" s="16">
        <v>906</v>
      </c>
      <c r="C685" s="20" t="s">
        <v>271</v>
      </c>
      <c r="D685" s="20" t="s">
        <v>220</v>
      </c>
      <c r="E685" s="20" t="s">
        <v>945</v>
      </c>
      <c r="F685" s="20" t="s">
        <v>282</v>
      </c>
      <c r="G685" s="26">
        <v>60</v>
      </c>
      <c r="H685" s="26">
        <v>70</v>
      </c>
      <c r="I685" s="203"/>
    </row>
    <row r="686" spans="1:15" ht="47.25" x14ac:dyDescent="0.25">
      <c r="A686" s="41" t="s">
        <v>1369</v>
      </c>
      <c r="B686" s="19">
        <v>906</v>
      </c>
      <c r="C686" s="24" t="s">
        <v>271</v>
      </c>
      <c r="D686" s="24" t="s">
        <v>220</v>
      </c>
      <c r="E686" s="24" t="s">
        <v>715</v>
      </c>
      <c r="F686" s="217"/>
      <c r="G686" s="21">
        <f t="shared" ref="G686:H689" si="64">G687</f>
        <v>870.5</v>
      </c>
      <c r="H686" s="21">
        <f t="shared" si="64"/>
        <v>905.3</v>
      </c>
      <c r="I686" s="203"/>
    </row>
    <row r="687" spans="1:15" ht="47.25" x14ac:dyDescent="0.25">
      <c r="A687" s="41" t="s">
        <v>900</v>
      </c>
      <c r="B687" s="19">
        <v>906</v>
      </c>
      <c r="C687" s="24" t="s">
        <v>271</v>
      </c>
      <c r="D687" s="24" t="s">
        <v>220</v>
      </c>
      <c r="E687" s="24" t="s">
        <v>898</v>
      </c>
      <c r="F687" s="217"/>
      <c r="G687" s="21">
        <f t="shared" si="64"/>
        <v>870.5</v>
      </c>
      <c r="H687" s="21">
        <f t="shared" si="64"/>
        <v>905.3</v>
      </c>
      <c r="I687" s="203"/>
    </row>
    <row r="688" spans="1:15" ht="47.25" x14ac:dyDescent="0.25">
      <c r="A688" s="98" t="s">
        <v>790</v>
      </c>
      <c r="B688" s="16">
        <v>906</v>
      </c>
      <c r="C688" s="20" t="s">
        <v>271</v>
      </c>
      <c r="D688" s="20" t="s">
        <v>220</v>
      </c>
      <c r="E688" s="20" t="s">
        <v>946</v>
      </c>
      <c r="F688" s="32"/>
      <c r="G688" s="26">
        <f t="shared" si="64"/>
        <v>870.5</v>
      </c>
      <c r="H688" s="26">
        <f t="shared" si="64"/>
        <v>905.3</v>
      </c>
      <c r="I688" s="203"/>
    </row>
    <row r="689" spans="1:9" ht="31.5" x14ac:dyDescent="0.25">
      <c r="A689" s="29" t="s">
        <v>279</v>
      </c>
      <c r="B689" s="16">
        <v>906</v>
      </c>
      <c r="C689" s="20" t="s">
        <v>271</v>
      </c>
      <c r="D689" s="20" t="s">
        <v>220</v>
      </c>
      <c r="E689" s="20" t="s">
        <v>946</v>
      </c>
      <c r="F689" s="32" t="s">
        <v>280</v>
      </c>
      <c r="G689" s="26">
        <f t="shared" si="64"/>
        <v>870.5</v>
      </c>
      <c r="H689" s="26">
        <f t="shared" si="64"/>
        <v>905.3</v>
      </c>
      <c r="I689" s="203"/>
    </row>
    <row r="690" spans="1:9" ht="15.75" x14ac:dyDescent="0.25">
      <c r="A690" s="184" t="s">
        <v>281</v>
      </c>
      <c r="B690" s="16">
        <v>906</v>
      </c>
      <c r="C690" s="20" t="s">
        <v>271</v>
      </c>
      <c r="D690" s="20" t="s">
        <v>220</v>
      </c>
      <c r="E690" s="20" t="s">
        <v>946</v>
      </c>
      <c r="F690" s="32" t="s">
        <v>282</v>
      </c>
      <c r="G690" s="26">
        <v>870.5</v>
      </c>
      <c r="H690" s="26">
        <v>905.3</v>
      </c>
      <c r="I690" s="203"/>
    </row>
    <row r="691" spans="1:9" ht="15.75" x14ac:dyDescent="0.25">
      <c r="A691" s="23" t="s">
        <v>272</v>
      </c>
      <c r="B691" s="19">
        <v>906</v>
      </c>
      <c r="C691" s="24" t="s">
        <v>271</v>
      </c>
      <c r="D691" s="24" t="s">
        <v>222</v>
      </c>
      <c r="E691" s="24"/>
      <c r="F691" s="24"/>
      <c r="G691" s="44">
        <f>G692+G715</f>
        <v>41051.5</v>
      </c>
      <c r="H691" s="44">
        <f>H692+H715</f>
        <v>41063.700000000004</v>
      </c>
      <c r="I691" s="203"/>
    </row>
    <row r="692" spans="1:9" ht="39.75" customHeight="1" x14ac:dyDescent="0.25">
      <c r="A692" s="23" t="s">
        <v>1375</v>
      </c>
      <c r="B692" s="19">
        <v>906</v>
      </c>
      <c r="C692" s="24" t="s">
        <v>271</v>
      </c>
      <c r="D692" s="24" t="s">
        <v>222</v>
      </c>
      <c r="E692" s="24" t="s">
        <v>413</v>
      </c>
      <c r="F692" s="24"/>
      <c r="G692" s="44">
        <f>G693+G697+G711</f>
        <v>40748.800000000003</v>
      </c>
      <c r="H692" s="44">
        <f>H693+H697+H711</f>
        <v>40748.800000000003</v>
      </c>
      <c r="I692" s="203"/>
    </row>
    <row r="693" spans="1:9" ht="31.5" x14ac:dyDescent="0.25">
      <c r="A693" s="23" t="s">
        <v>947</v>
      </c>
      <c r="B693" s="19">
        <v>906</v>
      </c>
      <c r="C693" s="24" t="s">
        <v>271</v>
      </c>
      <c r="D693" s="24" t="s">
        <v>222</v>
      </c>
      <c r="E693" s="24" t="s">
        <v>1245</v>
      </c>
      <c r="F693" s="24"/>
      <c r="G693" s="44">
        <f t="shared" ref="G693:H695" si="65">G694</f>
        <v>37056.300000000003</v>
      </c>
      <c r="H693" s="44">
        <f t="shared" si="65"/>
        <v>37056.300000000003</v>
      </c>
      <c r="I693" s="203"/>
    </row>
    <row r="694" spans="1:9" ht="47.25" x14ac:dyDescent="0.25">
      <c r="A694" s="25" t="s">
        <v>277</v>
      </c>
      <c r="B694" s="16">
        <v>906</v>
      </c>
      <c r="C694" s="20" t="s">
        <v>271</v>
      </c>
      <c r="D694" s="20" t="s">
        <v>222</v>
      </c>
      <c r="E694" s="20" t="s">
        <v>1275</v>
      </c>
      <c r="F694" s="20"/>
      <c r="G694" s="26">
        <f t="shared" si="65"/>
        <v>37056.300000000003</v>
      </c>
      <c r="H694" s="26">
        <f t="shared" si="65"/>
        <v>37056.300000000003</v>
      </c>
      <c r="I694" s="203"/>
    </row>
    <row r="695" spans="1:9" ht="31.5" x14ac:dyDescent="0.25">
      <c r="A695" s="25" t="s">
        <v>279</v>
      </c>
      <c r="B695" s="16">
        <v>906</v>
      </c>
      <c r="C695" s="20" t="s">
        <v>271</v>
      </c>
      <c r="D695" s="20" t="s">
        <v>222</v>
      </c>
      <c r="E695" s="20" t="s">
        <v>1275</v>
      </c>
      <c r="F695" s="20" t="s">
        <v>280</v>
      </c>
      <c r="G695" s="26">
        <f t="shared" si="65"/>
        <v>37056.300000000003</v>
      </c>
      <c r="H695" s="26">
        <f t="shared" si="65"/>
        <v>37056.300000000003</v>
      </c>
      <c r="I695" s="203"/>
    </row>
    <row r="696" spans="1:9" ht="15.75" x14ac:dyDescent="0.25">
      <c r="A696" s="25" t="s">
        <v>281</v>
      </c>
      <c r="B696" s="16">
        <v>906</v>
      </c>
      <c r="C696" s="20" t="s">
        <v>271</v>
      </c>
      <c r="D696" s="20" t="s">
        <v>222</v>
      </c>
      <c r="E696" s="20" t="s">
        <v>1275</v>
      </c>
      <c r="F696" s="20" t="s">
        <v>282</v>
      </c>
      <c r="G696" s="26">
        <v>37056.300000000003</v>
      </c>
      <c r="H696" s="26">
        <f t="shared" si="57"/>
        <v>37056.300000000003</v>
      </c>
      <c r="I696" s="203"/>
    </row>
    <row r="697" spans="1:9" ht="47.25" x14ac:dyDescent="0.25">
      <c r="A697" s="23" t="s">
        <v>910</v>
      </c>
      <c r="B697" s="19">
        <v>906</v>
      </c>
      <c r="C697" s="24" t="s">
        <v>271</v>
      </c>
      <c r="D697" s="24" t="s">
        <v>222</v>
      </c>
      <c r="E697" s="24" t="s">
        <v>1247</v>
      </c>
      <c r="F697" s="24"/>
      <c r="G697" s="44">
        <f>G701+G704+G698</f>
        <v>2128.5</v>
      </c>
      <c r="H697" s="44">
        <f>H701+H704+H698</f>
        <v>2128.5</v>
      </c>
      <c r="I697" s="203"/>
    </row>
    <row r="698" spans="1:9" s="202" customFormat="1" ht="94.5" x14ac:dyDescent="0.25">
      <c r="A698" s="31" t="s">
        <v>300</v>
      </c>
      <c r="B698" s="16">
        <v>906</v>
      </c>
      <c r="C698" s="20" t="s">
        <v>271</v>
      </c>
      <c r="D698" s="20" t="s">
        <v>222</v>
      </c>
      <c r="E698" s="20" t="s">
        <v>1407</v>
      </c>
      <c r="F698" s="20"/>
      <c r="G698" s="26">
        <f>G699</f>
        <v>1400</v>
      </c>
      <c r="H698" s="26">
        <f>H699</f>
        <v>1400</v>
      </c>
      <c r="I698" s="203"/>
    </row>
    <row r="699" spans="1:9" s="202" customFormat="1" ht="31.5" x14ac:dyDescent="0.25">
      <c r="A699" s="25" t="s">
        <v>279</v>
      </c>
      <c r="B699" s="16">
        <v>906</v>
      </c>
      <c r="C699" s="20" t="s">
        <v>271</v>
      </c>
      <c r="D699" s="20" t="s">
        <v>222</v>
      </c>
      <c r="E699" s="20" t="s">
        <v>1407</v>
      </c>
      <c r="F699" s="20" t="s">
        <v>280</v>
      </c>
      <c r="G699" s="26">
        <f>G700</f>
        <v>1400</v>
      </c>
      <c r="H699" s="26">
        <f>H700</f>
        <v>1400</v>
      </c>
      <c r="I699" s="203"/>
    </row>
    <row r="700" spans="1:9" s="202" customFormat="1" ht="15.75" x14ac:dyDescent="0.25">
      <c r="A700" s="25" t="s">
        <v>281</v>
      </c>
      <c r="B700" s="16">
        <v>906</v>
      </c>
      <c r="C700" s="20" t="s">
        <v>271</v>
      </c>
      <c r="D700" s="20" t="s">
        <v>222</v>
      </c>
      <c r="E700" s="20" t="s">
        <v>1407</v>
      </c>
      <c r="F700" s="20" t="s">
        <v>282</v>
      </c>
      <c r="G700" s="26">
        <v>1400</v>
      </c>
      <c r="H700" s="26">
        <f>G700</f>
        <v>1400</v>
      </c>
      <c r="I700" s="203"/>
    </row>
    <row r="701" spans="1:9" ht="63" x14ac:dyDescent="0.25">
      <c r="A701" s="31" t="s">
        <v>296</v>
      </c>
      <c r="B701" s="16">
        <v>906</v>
      </c>
      <c r="C701" s="20" t="s">
        <v>271</v>
      </c>
      <c r="D701" s="20" t="s">
        <v>222</v>
      </c>
      <c r="E701" s="20" t="s">
        <v>1248</v>
      </c>
      <c r="F701" s="20"/>
      <c r="G701" s="26">
        <f>G702</f>
        <v>179</v>
      </c>
      <c r="H701" s="26">
        <f>H702</f>
        <v>179</v>
      </c>
      <c r="I701" s="203"/>
    </row>
    <row r="702" spans="1:9" ht="31.5" x14ac:dyDescent="0.25">
      <c r="A702" s="25" t="s">
        <v>279</v>
      </c>
      <c r="B702" s="16">
        <v>906</v>
      </c>
      <c r="C702" s="20" t="s">
        <v>271</v>
      </c>
      <c r="D702" s="20" t="s">
        <v>222</v>
      </c>
      <c r="E702" s="20" t="s">
        <v>1248</v>
      </c>
      <c r="F702" s="20" t="s">
        <v>280</v>
      </c>
      <c r="G702" s="26">
        <f>G703</f>
        <v>179</v>
      </c>
      <c r="H702" s="26">
        <f>H703</f>
        <v>179</v>
      </c>
      <c r="I702" s="203"/>
    </row>
    <row r="703" spans="1:9" ht="15.75" x14ac:dyDescent="0.25">
      <c r="A703" s="25" t="s">
        <v>281</v>
      </c>
      <c r="B703" s="16">
        <v>906</v>
      </c>
      <c r="C703" s="20" t="s">
        <v>271</v>
      </c>
      <c r="D703" s="20" t="s">
        <v>222</v>
      </c>
      <c r="E703" s="20" t="s">
        <v>1248</v>
      </c>
      <c r="F703" s="20" t="s">
        <v>282</v>
      </c>
      <c r="G703" s="26">
        <v>179</v>
      </c>
      <c r="H703" s="26">
        <f t="shared" si="57"/>
        <v>179</v>
      </c>
      <c r="I703" s="203"/>
    </row>
    <row r="704" spans="1:9" ht="63" x14ac:dyDescent="0.25">
      <c r="A704" s="31" t="s">
        <v>298</v>
      </c>
      <c r="B704" s="16">
        <v>906</v>
      </c>
      <c r="C704" s="20" t="s">
        <v>271</v>
      </c>
      <c r="D704" s="20" t="s">
        <v>222</v>
      </c>
      <c r="E704" s="20" t="s">
        <v>1249</v>
      </c>
      <c r="F704" s="20"/>
      <c r="G704" s="26">
        <f>G705</f>
        <v>549.5</v>
      </c>
      <c r="H704" s="26">
        <f>H705</f>
        <v>549.5</v>
      </c>
      <c r="I704" s="203"/>
    </row>
    <row r="705" spans="1:9" ht="31.5" x14ac:dyDescent="0.25">
      <c r="A705" s="25" t="s">
        <v>279</v>
      </c>
      <c r="B705" s="16">
        <v>906</v>
      </c>
      <c r="C705" s="20" t="s">
        <v>271</v>
      </c>
      <c r="D705" s="20" t="s">
        <v>222</v>
      </c>
      <c r="E705" s="20" t="s">
        <v>1249</v>
      </c>
      <c r="F705" s="20" t="s">
        <v>280</v>
      </c>
      <c r="G705" s="26">
        <f>G706</f>
        <v>549.5</v>
      </c>
      <c r="H705" s="26">
        <f>H706</f>
        <v>549.5</v>
      </c>
      <c r="I705" s="203"/>
    </row>
    <row r="706" spans="1:9" ht="15.75" x14ac:dyDescent="0.25">
      <c r="A706" s="25" t="s">
        <v>281</v>
      </c>
      <c r="B706" s="16">
        <v>906</v>
      </c>
      <c r="C706" s="20" t="s">
        <v>271</v>
      </c>
      <c r="D706" s="20" t="s">
        <v>222</v>
      </c>
      <c r="E706" s="20" t="s">
        <v>1249</v>
      </c>
      <c r="F706" s="20" t="s">
        <v>282</v>
      </c>
      <c r="G706" s="26">
        <f>549.5</f>
        <v>549.5</v>
      </c>
      <c r="H706" s="26">
        <f t="shared" si="57"/>
        <v>549.5</v>
      </c>
      <c r="I706" s="203"/>
    </row>
    <row r="707" spans="1:9" ht="31.5" hidden="1" x14ac:dyDescent="0.25">
      <c r="A707" s="23" t="s">
        <v>951</v>
      </c>
      <c r="B707" s="19">
        <v>906</v>
      </c>
      <c r="C707" s="24" t="s">
        <v>271</v>
      </c>
      <c r="D707" s="24" t="s">
        <v>222</v>
      </c>
      <c r="E707" s="24" t="s">
        <v>1068</v>
      </c>
      <c r="F707" s="24"/>
      <c r="G707" s="44">
        <f>G708</f>
        <v>0</v>
      </c>
      <c r="H707" s="44">
        <f>H708</f>
        <v>0</v>
      </c>
      <c r="I707" s="203"/>
    </row>
    <row r="708" spans="1:9" ht="31.5" hidden="1" x14ac:dyDescent="0.25">
      <c r="A708" s="45" t="s">
        <v>776</v>
      </c>
      <c r="B708" s="16">
        <v>906</v>
      </c>
      <c r="C708" s="20" t="s">
        <v>271</v>
      </c>
      <c r="D708" s="20" t="s">
        <v>222</v>
      </c>
      <c r="E708" s="20" t="s">
        <v>1069</v>
      </c>
      <c r="F708" s="20"/>
      <c r="G708" s="26">
        <f>'Пр.4 ведом.21'!G701</f>
        <v>0</v>
      </c>
      <c r="H708" s="26">
        <f t="shared" ref="H708:H770" si="66">G708</f>
        <v>0</v>
      </c>
      <c r="I708" s="203"/>
    </row>
    <row r="709" spans="1:9" ht="31.5" hidden="1" x14ac:dyDescent="0.25">
      <c r="A709" s="31" t="s">
        <v>279</v>
      </c>
      <c r="B709" s="16">
        <v>906</v>
      </c>
      <c r="C709" s="20" t="s">
        <v>271</v>
      </c>
      <c r="D709" s="20" t="s">
        <v>222</v>
      </c>
      <c r="E709" s="20" t="s">
        <v>1069</v>
      </c>
      <c r="F709" s="20" t="s">
        <v>280</v>
      </c>
      <c r="G709" s="26">
        <f>'Пр.4 ведом.21'!G702</f>
        <v>0</v>
      </c>
      <c r="H709" s="26">
        <f t="shared" si="66"/>
        <v>0</v>
      </c>
      <c r="I709" s="203"/>
    </row>
    <row r="710" spans="1:9" ht="15.75" hidden="1" x14ac:dyDescent="0.25">
      <c r="A710" s="31" t="s">
        <v>281</v>
      </c>
      <c r="B710" s="16">
        <v>906</v>
      </c>
      <c r="C710" s="20" t="s">
        <v>271</v>
      </c>
      <c r="D710" s="20" t="s">
        <v>222</v>
      </c>
      <c r="E710" s="20" t="s">
        <v>1069</v>
      </c>
      <c r="F710" s="20" t="s">
        <v>282</v>
      </c>
      <c r="G710" s="26">
        <f>'Пр.4 ведом.21'!G703</f>
        <v>0</v>
      </c>
      <c r="H710" s="26">
        <f t="shared" si="66"/>
        <v>0</v>
      </c>
      <c r="I710" s="203"/>
    </row>
    <row r="711" spans="1:9" ht="31.5" x14ac:dyDescent="0.25">
      <c r="A711" s="214" t="s">
        <v>958</v>
      </c>
      <c r="B711" s="19">
        <v>906</v>
      </c>
      <c r="C711" s="24" t="s">
        <v>271</v>
      </c>
      <c r="D711" s="24" t="s">
        <v>222</v>
      </c>
      <c r="E711" s="24" t="s">
        <v>1255</v>
      </c>
      <c r="F711" s="24"/>
      <c r="G711" s="44">
        <f t="shared" ref="G711:H713" si="67">G712</f>
        <v>1564</v>
      </c>
      <c r="H711" s="44">
        <f t="shared" si="67"/>
        <v>1564</v>
      </c>
      <c r="I711" s="203"/>
    </row>
    <row r="712" spans="1:9" ht="31.5" x14ac:dyDescent="0.25">
      <c r="A712" s="45" t="s">
        <v>774</v>
      </c>
      <c r="B712" s="16">
        <v>906</v>
      </c>
      <c r="C712" s="20" t="s">
        <v>271</v>
      </c>
      <c r="D712" s="20" t="s">
        <v>222</v>
      </c>
      <c r="E712" s="20" t="s">
        <v>1256</v>
      </c>
      <c r="F712" s="20"/>
      <c r="G712" s="26">
        <f t="shared" si="67"/>
        <v>1564</v>
      </c>
      <c r="H712" s="26">
        <f t="shared" si="67"/>
        <v>1564</v>
      </c>
      <c r="I712" s="203"/>
    </row>
    <row r="713" spans="1:9" ht="31.5" x14ac:dyDescent="0.25">
      <c r="A713" s="25" t="s">
        <v>279</v>
      </c>
      <c r="B713" s="16">
        <v>906</v>
      </c>
      <c r="C713" s="20" t="s">
        <v>271</v>
      </c>
      <c r="D713" s="20" t="s">
        <v>222</v>
      </c>
      <c r="E713" s="20" t="s">
        <v>1256</v>
      </c>
      <c r="F713" s="20" t="s">
        <v>280</v>
      </c>
      <c r="G713" s="26">
        <f t="shared" si="67"/>
        <v>1564</v>
      </c>
      <c r="H713" s="26">
        <f t="shared" si="67"/>
        <v>1564</v>
      </c>
      <c r="I713" s="203"/>
    </row>
    <row r="714" spans="1:9" ht="15.75" x14ac:dyDescent="0.25">
      <c r="A714" s="31" t="s">
        <v>281</v>
      </c>
      <c r="B714" s="16">
        <v>906</v>
      </c>
      <c r="C714" s="20" t="s">
        <v>271</v>
      </c>
      <c r="D714" s="20" t="s">
        <v>222</v>
      </c>
      <c r="E714" s="20" t="s">
        <v>1256</v>
      </c>
      <c r="F714" s="20" t="s">
        <v>282</v>
      </c>
      <c r="G714" s="26">
        <v>1564</v>
      </c>
      <c r="H714" s="26">
        <v>1564</v>
      </c>
      <c r="I714" s="203"/>
    </row>
    <row r="715" spans="1:9" ht="47.25" x14ac:dyDescent="0.25">
      <c r="A715" s="41" t="s">
        <v>1367</v>
      </c>
      <c r="B715" s="19">
        <v>906</v>
      </c>
      <c r="C715" s="24" t="s">
        <v>271</v>
      </c>
      <c r="D715" s="24" t="s">
        <v>222</v>
      </c>
      <c r="E715" s="24" t="s">
        <v>715</v>
      </c>
      <c r="F715" s="217"/>
      <c r="G715" s="44">
        <f>G717</f>
        <v>302.7</v>
      </c>
      <c r="H715" s="44">
        <f>H717</f>
        <v>314.89999999999998</v>
      </c>
      <c r="I715" s="203"/>
    </row>
    <row r="716" spans="1:9" ht="47.25" x14ac:dyDescent="0.25">
      <c r="A716" s="41" t="s">
        <v>900</v>
      </c>
      <c r="B716" s="19">
        <v>906</v>
      </c>
      <c r="C716" s="24" t="s">
        <v>271</v>
      </c>
      <c r="D716" s="24" t="s">
        <v>952</v>
      </c>
      <c r="E716" s="24" t="s">
        <v>898</v>
      </c>
      <c r="F716" s="217"/>
      <c r="G716" s="44">
        <f t="shared" ref="G716:H718" si="68">G717</f>
        <v>302.7</v>
      </c>
      <c r="H716" s="44">
        <f t="shared" si="68"/>
        <v>314.89999999999998</v>
      </c>
      <c r="I716" s="203"/>
    </row>
    <row r="717" spans="1:9" ht="47.25" x14ac:dyDescent="0.25">
      <c r="A717" s="98" t="s">
        <v>790</v>
      </c>
      <c r="B717" s="16">
        <v>906</v>
      </c>
      <c r="C717" s="20" t="s">
        <v>271</v>
      </c>
      <c r="D717" s="20" t="s">
        <v>222</v>
      </c>
      <c r="E717" s="20" t="s">
        <v>946</v>
      </c>
      <c r="F717" s="32"/>
      <c r="G717" s="26">
        <f t="shared" si="68"/>
        <v>302.7</v>
      </c>
      <c r="H717" s="26">
        <f t="shared" si="68"/>
        <v>314.89999999999998</v>
      </c>
      <c r="I717" s="203"/>
    </row>
    <row r="718" spans="1:9" ht="31.5" x14ac:dyDescent="0.25">
      <c r="A718" s="29" t="s">
        <v>279</v>
      </c>
      <c r="B718" s="16">
        <v>906</v>
      </c>
      <c r="C718" s="20" t="s">
        <v>271</v>
      </c>
      <c r="D718" s="20" t="s">
        <v>222</v>
      </c>
      <c r="E718" s="20" t="s">
        <v>946</v>
      </c>
      <c r="F718" s="32" t="s">
        <v>280</v>
      </c>
      <c r="G718" s="26">
        <f t="shared" si="68"/>
        <v>302.7</v>
      </c>
      <c r="H718" s="26">
        <f t="shared" si="68"/>
        <v>314.89999999999998</v>
      </c>
      <c r="I718" s="203"/>
    </row>
    <row r="719" spans="1:9" ht="15.75" x14ac:dyDescent="0.25">
      <c r="A719" s="184" t="s">
        <v>281</v>
      </c>
      <c r="B719" s="16">
        <v>906</v>
      </c>
      <c r="C719" s="20" t="s">
        <v>271</v>
      </c>
      <c r="D719" s="20" t="s">
        <v>222</v>
      </c>
      <c r="E719" s="20" t="s">
        <v>946</v>
      </c>
      <c r="F719" s="32" t="s">
        <v>282</v>
      </c>
      <c r="G719" s="26">
        <v>302.7</v>
      </c>
      <c r="H719" s="26">
        <v>314.89999999999998</v>
      </c>
      <c r="I719" s="203"/>
    </row>
    <row r="720" spans="1:9" ht="15.75" x14ac:dyDescent="0.25">
      <c r="A720" s="23" t="s">
        <v>473</v>
      </c>
      <c r="B720" s="19">
        <v>906</v>
      </c>
      <c r="C720" s="24" t="s">
        <v>271</v>
      </c>
      <c r="D720" s="24" t="s">
        <v>271</v>
      </c>
      <c r="E720" s="24"/>
      <c r="F720" s="24"/>
      <c r="G720" s="21">
        <f>G721</f>
        <v>5745.1</v>
      </c>
      <c r="H720" s="21">
        <f>H721</f>
        <v>5745.1</v>
      </c>
      <c r="I720" s="203"/>
    </row>
    <row r="721" spans="1:9" ht="31.5" x14ac:dyDescent="0.25">
      <c r="A721" s="23" t="s">
        <v>1375</v>
      </c>
      <c r="B721" s="19">
        <v>906</v>
      </c>
      <c r="C721" s="24" t="s">
        <v>271</v>
      </c>
      <c r="D721" s="24" t="s">
        <v>271</v>
      </c>
      <c r="E721" s="24" t="s">
        <v>413</v>
      </c>
      <c r="F721" s="24"/>
      <c r="G721" s="21">
        <f>G722</f>
        <v>5745.1</v>
      </c>
      <c r="H721" s="21">
        <f>H722</f>
        <v>5745.1</v>
      </c>
      <c r="I721" s="203"/>
    </row>
    <row r="722" spans="1:9" ht="31.5" x14ac:dyDescent="0.25">
      <c r="A722" s="23" t="s">
        <v>953</v>
      </c>
      <c r="B722" s="19">
        <v>906</v>
      </c>
      <c r="C722" s="24" t="s">
        <v>271</v>
      </c>
      <c r="D722" s="24" t="s">
        <v>271</v>
      </c>
      <c r="E722" s="24" t="s">
        <v>1254</v>
      </c>
      <c r="F722" s="24"/>
      <c r="G722" s="21">
        <f>G723+G726</f>
        <v>5745.1</v>
      </c>
      <c r="H722" s="21">
        <f>H723+H726</f>
        <v>5745.1</v>
      </c>
      <c r="I722" s="203"/>
    </row>
    <row r="723" spans="1:9" ht="31.5" x14ac:dyDescent="0.25">
      <c r="A723" s="31" t="s">
        <v>1070</v>
      </c>
      <c r="B723" s="16">
        <v>906</v>
      </c>
      <c r="C723" s="20" t="s">
        <v>271</v>
      </c>
      <c r="D723" s="20" t="s">
        <v>271</v>
      </c>
      <c r="E723" s="20" t="s">
        <v>1276</v>
      </c>
      <c r="F723" s="20"/>
      <c r="G723" s="26">
        <f>G724</f>
        <v>5745.1</v>
      </c>
      <c r="H723" s="26">
        <f>H724</f>
        <v>5745.1</v>
      </c>
      <c r="I723" s="203"/>
    </row>
    <row r="724" spans="1:9" ht="31.5" x14ac:dyDescent="0.25">
      <c r="A724" s="25" t="s">
        <v>279</v>
      </c>
      <c r="B724" s="16">
        <v>906</v>
      </c>
      <c r="C724" s="20" t="s">
        <v>271</v>
      </c>
      <c r="D724" s="20" t="s">
        <v>271</v>
      </c>
      <c r="E724" s="20" t="s">
        <v>1276</v>
      </c>
      <c r="F724" s="20" t="s">
        <v>280</v>
      </c>
      <c r="G724" s="26">
        <f>G725</f>
        <v>5745.1</v>
      </c>
      <c r="H724" s="26">
        <f>H725</f>
        <v>5745.1</v>
      </c>
      <c r="I724" s="203"/>
    </row>
    <row r="725" spans="1:9" ht="15.75" x14ac:dyDescent="0.25">
      <c r="A725" s="25" t="s">
        <v>281</v>
      </c>
      <c r="B725" s="16">
        <v>906</v>
      </c>
      <c r="C725" s="20" t="s">
        <v>271</v>
      </c>
      <c r="D725" s="20" t="s">
        <v>271</v>
      </c>
      <c r="E725" s="20" t="s">
        <v>1276</v>
      </c>
      <c r="F725" s="20" t="s">
        <v>282</v>
      </c>
      <c r="G725" s="26">
        <v>5745.1</v>
      </c>
      <c r="H725" s="26">
        <v>5745.1</v>
      </c>
      <c r="I725" s="203"/>
    </row>
    <row r="726" spans="1:9" ht="31.5" hidden="1" x14ac:dyDescent="0.25">
      <c r="A726" s="31" t="s">
        <v>1196</v>
      </c>
      <c r="B726" s="16">
        <v>906</v>
      </c>
      <c r="C726" s="20" t="s">
        <v>271</v>
      </c>
      <c r="D726" s="20" t="s">
        <v>271</v>
      </c>
      <c r="E726" s="20" t="s">
        <v>1277</v>
      </c>
      <c r="F726" s="20"/>
      <c r="G726" s="26">
        <f>G727</f>
        <v>0</v>
      </c>
      <c r="H726" s="26">
        <f>H727</f>
        <v>0</v>
      </c>
      <c r="I726" s="203"/>
    </row>
    <row r="727" spans="1:9" ht="31.5" hidden="1" x14ac:dyDescent="0.25">
      <c r="A727" s="25" t="s">
        <v>279</v>
      </c>
      <c r="B727" s="16">
        <v>906</v>
      </c>
      <c r="C727" s="20" t="s">
        <v>271</v>
      </c>
      <c r="D727" s="20" t="s">
        <v>271</v>
      </c>
      <c r="E727" s="20" t="s">
        <v>1277</v>
      </c>
      <c r="F727" s="20" t="s">
        <v>280</v>
      </c>
      <c r="G727" s="26">
        <f>G728</f>
        <v>0</v>
      </c>
      <c r="H727" s="26">
        <f>H728</f>
        <v>0</v>
      </c>
      <c r="I727" s="203"/>
    </row>
    <row r="728" spans="1:9" ht="15.75" hidden="1" x14ac:dyDescent="0.25">
      <c r="A728" s="25" t="s">
        <v>281</v>
      </c>
      <c r="B728" s="16">
        <v>906</v>
      </c>
      <c r="C728" s="20" t="s">
        <v>271</v>
      </c>
      <c r="D728" s="20" t="s">
        <v>271</v>
      </c>
      <c r="E728" s="20" t="s">
        <v>1277</v>
      </c>
      <c r="F728" s="20" t="s">
        <v>282</v>
      </c>
      <c r="G728" s="26">
        <v>0</v>
      </c>
      <c r="H728" s="26">
        <v>0</v>
      </c>
      <c r="I728" s="203"/>
    </row>
    <row r="729" spans="1:9" ht="15.75" x14ac:dyDescent="0.25">
      <c r="A729" s="23" t="s">
        <v>302</v>
      </c>
      <c r="B729" s="19">
        <v>906</v>
      </c>
      <c r="C729" s="24" t="s">
        <v>271</v>
      </c>
      <c r="D729" s="24" t="s">
        <v>226</v>
      </c>
      <c r="E729" s="24"/>
      <c r="F729" s="24"/>
      <c r="G729" s="21">
        <f>G730+G740</f>
        <v>19831.8</v>
      </c>
      <c r="H729" s="21">
        <f>H730+H740</f>
        <v>19831.8</v>
      </c>
      <c r="I729" s="203"/>
    </row>
    <row r="730" spans="1:9" ht="44.1" customHeight="1" x14ac:dyDescent="0.25">
      <c r="A730" s="23" t="s">
        <v>927</v>
      </c>
      <c r="B730" s="19">
        <v>906</v>
      </c>
      <c r="C730" s="24" t="s">
        <v>271</v>
      </c>
      <c r="D730" s="24" t="s">
        <v>226</v>
      </c>
      <c r="E730" s="24" t="s">
        <v>868</v>
      </c>
      <c r="F730" s="24"/>
      <c r="G730" s="21">
        <f>G731</f>
        <v>6048.7</v>
      </c>
      <c r="H730" s="21">
        <f>H731</f>
        <v>6048.7</v>
      </c>
      <c r="I730" s="203"/>
    </row>
    <row r="731" spans="1:9" ht="15.75" x14ac:dyDescent="0.25">
      <c r="A731" s="23" t="s">
        <v>928</v>
      </c>
      <c r="B731" s="19">
        <v>906</v>
      </c>
      <c r="C731" s="24" t="s">
        <v>271</v>
      </c>
      <c r="D731" s="24" t="s">
        <v>226</v>
      </c>
      <c r="E731" s="24" t="s">
        <v>869</v>
      </c>
      <c r="F731" s="24"/>
      <c r="G731" s="21">
        <f>G732+G737</f>
        <v>6048.7</v>
      </c>
      <c r="H731" s="21">
        <f>H732+H737</f>
        <v>6048.7</v>
      </c>
      <c r="I731" s="203"/>
    </row>
    <row r="732" spans="1:9" ht="31.5" x14ac:dyDescent="0.25">
      <c r="A732" s="25" t="s">
        <v>907</v>
      </c>
      <c r="B732" s="16">
        <v>906</v>
      </c>
      <c r="C732" s="20" t="s">
        <v>271</v>
      </c>
      <c r="D732" s="20" t="s">
        <v>226</v>
      </c>
      <c r="E732" s="20" t="s">
        <v>870</v>
      </c>
      <c r="F732" s="20"/>
      <c r="G732" s="26">
        <f>G733+G735</f>
        <v>5922.7</v>
      </c>
      <c r="H732" s="26">
        <f>H733+H735</f>
        <v>5922.7</v>
      </c>
      <c r="I732" s="203"/>
    </row>
    <row r="733" spans="1:9" ht="78.75" x14ac:dyDescent="0.25">
      <c r="A733" s="25" t="s">
        <v>134</v>
      </c>
      <c r="B733" s="16">
        <v>906</v>
      </c>
      <c r="C733" s="20" t="s">
        <v>271</v>
      </c>
      <c r="D733" s="20" t="s">
        <v>226</v>
      </c>
      <c r="E733" s="20" t="s">
        <v>870</v>
      </c>
      <c r="F733" s="20" t="s">
        <v>135</v>
      </c>
      <c r="G733" s="26">
        <f>G734</f>
        <v>5710.7</v>
      </c>
      <c r="H733" s="26">
        <f>H734</f>
        <v>5710.7</v>
      </c>
      <c r="I733" s="203"/>
    </row>
    <row r="734" spans="1:9" ht="31.5" x14ac:dyDescent="0.25">
      <c r="A734" s="25" t="s">
        <v>136</v>
      </c>
      <c r="B734" s="16">
        <v>906</v>
      </c>
      <c r="C734" s="20" t="s">
        <v>271</v>
      </c>
      <c r="D734" s="20" t="s">
        <v>226</v>
      </c>
      <c r="E734" s="20" t="s">
        <v>870</v>
      </c>
      <c r="F734" s="20" t="s">
        <v>137</v>
      </c>
      <c r="G734" s="26">
        <v>5710.7</v>
      </c>
      <c r="H734" s="26">
        <f t="shared" si="66"/>
        <v>5710.7</v>
      </c>
      <c r="I734" s="203"/>
    </row>
    <row r="735" spans="1:9" ht="31.5" x14ac:dyDescent="0.25">
      <c r="A735" s="25" t="s">
        <v>138</v>
      </c>
      <c r="B735" s="16">
        <v>906</v>
      </c>
      <c r="C735" s="20" t="s">
        <v>271</v>
      </c>
      <c r="D735" s="20" t="s">
        <v>226</v>
      </c>
      <c r="E735" s="20" t="s">
        <v>870</v>
      </c>
      <c r="F735" s="20" t="s">
        <v>139</v>
      </c>
      <c r="G735" s="26">
        <f>G736</f>
        <v>212</v>
      </c>
      <c r="H735" s="26">
        <f>H736</f>
        <v>212</v>
      </c>
      <c r="I735" s="203"/>
    </row>
    <row r="736" spans="1:9" ht="31.5" x14ac:dyDescent="0.25">
      <c r="A736" s="25" t="s">
        <v>140</v>
      </c>
      <c r="B736" s="16">
        <v>906</v>
      </c>
      <c r="C736" s="20" t="s">
        <v>271</v>
      </c>
      <c r="D736" s="20" t="s">
        <v>226</v>
      </c>
      <c r="E736" s="20" t="s">
        <v>870</v>
      </c>
      <c r="F736" s="20" t="s">
        <v>141</v>
      </c>
      <c r="G736" s="26">
        <f>212</f>
        <v>212</v>
      </c>
      <c r="H736" s="26">
        <f t="shared" si="66"/>
        <v>212</v>
      </c>
      <c r="I736" s="203"/>
    </row>
    <row r="737" spans="1:9" ht="47.25" x14ac:dyDescent="0.25">
      <c r="A737" s="25" t="s">
        <v>849</v>
      </c>
      <c r="B737" s="16">
        <v>906</v>
      </c>
      <c r="C737" s="20" t="s">
        <v>271</v>
      </c>
      <c r="D737" s="20" t="s">
        <v>226</v>
      </c>
      <c r="E737" s="20" t="s">
        <v>872</v>
      </c>
      <c r="F737" s="20"/>
      <c r="G737" s="26">
        <f>G738</f>
        <v>126</v>
      </c>
      <c r="H737" s="26">
        <f>H738</f>
        <v>126</v>
      </c>
      <c r="I737" s="203"/>
    </row>
    <row r="738" spans="1:9" ht="78.75" x14ac:dyDescent="0.25">
      <c r="A738" s="25" t="s">
        <v>134</v>
      </c>
      <c r="B738" s="16">
        <v>906</v>
      </c>
      <c r="C738" s="20" t="s">
        <v>271</v>
      </c>
      <c r="D738" s="20" t="s">
        <v>226</v>
      </c>
      <c r="E738" s="20" t="s">
        <v>872</v>
      </c>
      <c r="F738" s="20" t="s">
        <v>135</v>
      </c>
      <c r="G738" s="26">
        <f>G739</f>
        <v>126</v>
      </c>
      <c r="H738" s="26">
        <f>H739</f>
        <v>126</v>
      </c>
      <c r="I738" s="203"/>
    </row>
    <row r="739" spans="1:9" ht="31.5" x14ac:dyDescent="0.25">
      <c r="A739" s="25" t="s">
        <v>136</v>
      </c>
      <c r="B739" s="16">
        <v>906</v>
      </c>
      <c r="C739" s="20" t="s">
        <v>271</v>
      </c>
      <c r="D739" s="20" t="s">
        <v>226</v>
      </c>
      <c r="E739" s="20" t="s">
        <v>872</v>
      </c>
      <c r="F739" s="20" t="s">
        <v>137</v>
      </c>
      <c r="G739" s="26">
        <f>126</f>
        <v>126</v>
      </c>
      <c r="H739" s="26">
        <f t="shared" si="66"/>
        <v>126</v>
      </c>
      <c r="I739" s="203"/>
    </row>
    <row r="740" spans="1:9" ht="15.75" x14ac:dyDescent="0.25">
      <c r="A740" s="23" t="s">
        <v>148</v>
      </c>
      <c r="B740" s="19">
        <v>906</v>
      </c>
      <c r="C740" s="24" t="s">
        <v>271</v>
      </c>
      <c r="D740" s="24" t="s">
        <v>226</v>
      </c>
      <c r="E740" s="24" t="s">
        <v>876</v>
      </c>
      <c r="F740" s="24"/>
      <c r="G740" s="21">
        <f>G741+G745</f>
        <v>13783.1</v>
      </c>
      <c r="H740" s="21">
        <f>H741+H745</f>
        <v>13783.1</v>
      </c>
      <c r="I740" s="203"/>
    </row>
    <row r="741" spans="1:9" ht="31.5" x14ac:dyDescent="0.25">
      <c r="A741" s="23" t="s">
        <v>880</v>
      </c>
      <c r="B741" s="19">
        <v>906</v>
      </c>
      <c r="C741" s="24" t="s">
        <v>271</v>
      </c>
      <c r="D741" s="24" t="s">
        <v>226</v>
      </c>
      <c r="E741" s="24" t="s">
        <v>875</v>
      </c>
      <c r="F741" s="24"/>
      <c r="G741" s="21">
        <f t="shared" ref="G741:H743" si="69">G742</f>
        <v>300</v>
      </c>
      <c r="H741" s="21">
        <f t="shared" si="69"/>
        <v>300</v>
      </c>
      <c r="I741" s="203"/>
    </row>
    <row r="742" spans="1:9" ht="15.75" x14ac:dyDescent="0.25">
      <c r="A742" s="25" t="s">
        <v>485</v>
      </c>
      <c r="B742" s="16">
        <v>906</v>
      </c>
      <c r="C742" s="20" t="s">
        <v>271</v>
      </c>
      <c r="D742" s="20" t="s">
        <v>226</v>
      </c>
      <c r="E742" s="20" t="s">
        <v>954</v>
      </c>
      <c r="F742" s="20"/>
      <c r="G742" s="26">
        <f t="shared" si="69"/>
        <v>300</v>
      </c>
      <c r="H742" s="26">
        <f t="shared" si="69"/>
        <v>300</v>
      </c>
      <c r="I742" s="203"/>
    </row>
    <row r="743" spans="1:9" ht="31.5" x14ac:dyDescent="0.25">
      <c r="A743" s="25" t="s">
        <v>138</v>
      </c>
      <c r="B743" s="16">
        <v>906</v>
      </c>
      <c r="C743" s="20" t="s">
        <v>271</v>
      </c>
      <c r="D743" s="20" t="s">
        <v>226</v>
      </c>
      <c r="E743" s="20" t="s">
        <v>954</v>
      </c>
      <c r="F743" s="20" t="s">
        <v>139</v>
      </c>
      <c r="G743" s="26">
        <f t="shared" si="69"/>
        <v>300</v>
      </c>
      <c r="H743" s="26">
        <f t="shared" si="69"/>
        <v>300</v>
      </c>
      <c r="I743" s="203"/>
    </row>
    <row r="744" spans="1:9" ht="33.950000000000003" customHeight="1" x14ac:dyDescent="0.25">
      <c r="A744" s="25" t="s">
        <v>140</v>
      </c>
      <c r="B744" s="16">
        <v>906</v>
      </c>
      <c r="C744" s="20" t="s">
        <v>271</v>
      </c>
      <c r="D744" s="20" t="s">
        <v>226</v>
      </c>
      <c r="E744" s="20" t="s">
        <v>954</v>
      </c>
      <c r="F744" s="20" t="s">
        <v>141</v>
      </c>
      <c r="G744" s="26">
        <v>300</v>
      </c>
      <c r="H744" s="26">
        <f t="shared" si="66"/>
        <v>300</v>
      </c>
      <c r="I744" s="203"/>
    </row>
    <row r="745" spans="1:9" ht="31.5" x14ac:dyDescent="0.25">
      <c r="A745" s="23" t="s">
        <v>939</v>
      </c>
      <c r="B745" s="19">
        <v>906</v>
      </c>
      <c r="C745" s="24" t="s">
        <v>271</v>
      </c>
      <c r="D745" s="24" t="s">
        <v>226</v>
      </c>
      <c r="E745" s="24" t="s">
        <v>924</v>
      </c>
      <c r="F745" s="24"/>
      <c r="G745" s="21">
        <f>G746+G753</f>
        <v>13483.1</v>
      </c>
      <c r="H745" s="21">
        <f>H746+H753</f>
        <v>13483.1</v>
      </c>
      <c r="I745" s="203"/>
    </row>
    <row r="746" spans="1:9" ht="31.5" x14ac:dyDescent="0.25">
      <c r="A746" s="25" t="s">
        <v>1094</v>
      </c>
      <c r="B746" s="16">
        <v>906</v>
      </c>
      <c r="C746" s="20" t="s">
        <v>271</v>
      </c>
      <c r="D746" s="20" t="s">
        <v>226</v>
      </c>
      <c r="E746" s="20" t="s">
        <v>925</v>
      </c>
      <c r="F746" s="20"/>
      <c r="G746" s="26">
        <f>G747+G749+G751</f>
        <v>12977.1</v>
      </c>
      <c r="H746" s="26">
        <f>H747+H749+H751</f>
        <v>12977.1</v>
      </c>
      <c r="I746" s="203"/>
    </row>
    <row r="747" spans="1:9" ht="78.75" x14ac:dyDescent="0.25">
      <c r="A747" s="25" t="s">
        <v>134</v>
      </c>
      <c r="B747" s="16">
        <v>906</v>
      </c>
      <c r="C747" s="20" t="s">
        <v>271</v>
      </c>
      <c r="D747" s="20" t="s">
        <v>226</v>
      </c>
      <c r="E747" s="20" t="s">
        <v>925</v>
      </c>
      <c r="F747" s="20" t="s">
        <v>135</v>
      </c>
      <c r="G747" s="26">
        <f>G748</f>
        <v>11885.1</v>
      </c>
      <c r="H747" s="26">
        <f t="shared" si="66"/>
        <v>11885.1</v>
      </c>
      <c r="I747" s="203"/>
    </row>
    <row r="748" spans="1:9" ht="31.5" x14ac:dyDescent="0.25">
      <c r="A748" s="25" t="s">
        <v>349</v>
      </c>
      <c r="B748" s="16">
        <v>906</v>
      </c>
      <c r="C748" s="20" t="s">
        <v>271</v>
      </c>
      <c r="D748" s="20" t="s">
        <v>226</v>
      </c>
      <c r="E748" s="20" t="s">
        <v>925</v>
      </c>
      <c r="F748" s="20" t="s">
        <v>216</v>
      </c>
      <c r="G748" s="26">
        <v>11885.1</v>
      </c>
      <c r="H748" s="26">
        <f t="shared" si="66"/>
        <v>11885.1</v>
      </c>
      <c r="I748" s="203"/>
    </row>
    <row r="749" spans="1:9" ht="31.5" x14ac:dyDescent="0.25">
      <c r="A749" s="25" t="s">
        <v>138</v>
      </c>
      <c r="B749" s="16">
        <v>906</v>
      </c>
      <c r="C749" s="20" t="s">
        <v>271</v>
      </c>
      <c r="D749" s="20" t="s">
        <v>226</v>
      </c>
      <c r="E749" s="20" t="s">
        <v>925</v>
      </c>
      <c r="F749" s="20" t="s">
        <v>139</v>
      </c>
      <c r="G749" s="26">
        <f>G750</f>
        <v>1077</v>
      </c>
      <c r="H749" s="26">
        <f t="shared" si="66"/>
        <v>1077</v>
      </c>
      <c r="I749" s="203"/>
    </row>
    <row r="750" spans="1:9" ht="31.5" x14ac:dyDescent="0.25">
      <c r="A750" s="25" t="s">
        <v>140</v>
      </c>
      <c r="B750" s="16">
        <v>906</v>
      </c>
      <c r="C750" s="20" t="s">
        <v>271</v>
      </c>
      <c r="D750" s="20" t="s">
        <v>226</v>
      </c>
      <c r="E750" s="20" t="s">
        <v>925</v>
      </c>
      <c r="F750" s="20" t="s">
        <v>141</v>
      </c>
      <c r="G750" s="26">
        <f>1077</f>
        <v>1077</v>
      </c>
      <c r="H750" s="26">
        <f t="shared" si="66"/>
        <v>1077</v>
      </c>
      <c r="I750" s="203"/>
    </row>
    <row r="751" spans="1:9" ht="15.75" x14ac:dyDescent="0.25">
      <c r="A751" s="25" t="s">
        <v>142</v>
      </c>
      <c r="B751" s="16">
        <v>906</v>
      </c>
      <c r="C751" s="20" t="s">
        <v>271</v>
      </c>
      <c r="D751" s="20" t="s">
        <v>226</v>
      </c>
      <c r="E751" s="20" t="s">
        <v>925</v>
      </c>
      <c r="F751" s="20" t="s">
        <v>152</v>
      </c>
      <c r="G751" s="26">
        <f>G752</f>
        <v>15</v>
      </c>
      <c r="H751" s="26">
        <f t="shared" si="66"/>
        <v>15</v>
      </c>
      <c r="I751" s="203"/>
    </row>
    <row r="752" spans="1:9" ht="15.75" x14ac:dyDescent="0.25">
      <c r="A752" s="25" t="s">
        <v>575</v>
      </c>
      <c r="B752" s="16">
        <v>906</v>
      </c>
      <c r="C752" s="20" t="s">
        <v>271</v>
      </c>
      <c r="D752" s="20" t="s">
        <v>226</v>
      </c>
      <c r="E752" s="20" t="s">
        <v>925</v>
      </c>
      <c r="F752" s="20" t="s">
        <v>145</v>
      </c>
      <c r="G752" s="26">
        <f>15</f>
        <v>15</v>
      </c>
      <c r="H752" s="26">
        <f t="shared" si="66"/>
        <v>15</v>
      </c>
      <c r="I752" s="203"/>
    </row>
    <row r="753" spans="1:9" ht="47.25" x14ac:dyDescent="0.25">
      <c r="A753" s="25" t="s">
        <v>849</v>
      </c>
      <c r="B753" s="16">
        <v>906</v>
      </c>
      <c r="C753" s="20" t="s">
        <v>271</v>
      </c>
      <c r="D753" s="20" t="s">
        <v>226</v>
      </c>
      <c r="E753" s="20" t="s">
        <v>926</v>
      </c>
      <c r="F753" s="20"/>
      <c r="G753" s="26">
        <f>G754</f>
        <v>506</v>
      </c>
      <c r="H753" s="26">
        <f>H754</f>
        <v>506</v>
      </c>
      <c r="I753" s="203"/>
    </row>
    <row r="754" spans="1:9" ht="78.75" x14ac:dyDescent="0.25">
      <c r="A754" s="25" t="s">
        <v>134</v>
      </c>
      <c r="B754" s="16">
        <v>906</v>
      </c>
      <c r="C754" s="20" t="s">
        <v>271</v>
      </c>
      <c r="D754" s="20" t="s">
        <v>226</v>
      </c>
      <c r="E754" s="20" t="s">
        <v>926</v>
      </c>
      <c r="F754" s="20" t="s">
        <v>135</v>
      </c>
      <c r="G754" s="26">
        <f>G755</f>
        <v>506</v>
      </c>
      <c r="H754" s="26">
        <f>H755</f>
        <v>506</v>
      </c>
      <c r="I754" s="203"/>
    </row>
    <row r="755" spans="1:9" ht="31.5" x14ac:dyDescent="0.25">
      <c r="A755" s="25" t="s">
        <v>349</v>
      </c>
      <c r="B755" s="16">
        <v>906</v>
      </c>
      <c r="C755" s="20" t="s">
        <v>271</v>
      </c>
      <c r="D755" s="20" t="s">
        <v>226</v>
      </c>
      <c r="E755" s="20" t="s">
        <v>926</v>
      </c>
      <c r="F755" s="20" t="s">
        <v>216</v>
      </c>
      <c r="G755" s="26">
        <v>506</v>
      </c>
      <c r="H755" s="26">
        <v>506</v>
      </c>
      <c r="I755" s="203"/>
    </row>
    <row r="756" spans="1:9" ht="31.5" x14ac:dyDescent="0.25">
      <c r="A756" s="19" t="s">
        <v>1385</v>
      </c>
      <c r="B756" s="19">
        <v>907</v>
      </c>
      <c r="C756" s="20"/>
      <c r="D756" s="20"/>
      <c r="E756" s="20"/>
      <c r="F756" s="20"/>
      <c r="G756" s="21">
        <f>G764+G757</f>
        <v>64081.399999999994</v>
      </c>
      <c r="H756" s="21">
        <f>H764+H757</f>
        <v>64012.600000000006</v>
      </c>
      <c r="I756" s="203"/>
    </row>
    <row r="757" spans="1:9" s="202" customFormat="1" ht="15.75" x14ac:dyDescent="0.25">
      <c r="A757" s="23" t="s">
        <v>124</v>
      </c>
      <c r="B757" s="19">
        <v>907</v>
      </c>
      <c r="C757" s="24" t="s">
        <v>125</v>
      </c>
      <c r="D757" s="24"/>
      <c r="E757" s="24"/>
      <c r="F757" s="24"/>
      <c r="G757" s="21">
        <f t="shared" ref="G757:H758" si="70">G758</f>
        <v>100</v>
      </c>
      <c r="H757" s="21">
        <f t="shared" si="70"/>
        <v>0</v>
      </c>
      <c r="I757" s="203"/>
    </row>
    <row r="758" spans="1:9" s="202" customFormat="1" ht="15.75" x14ac:dyDescent="0.25">
      <c r="A758" s="34" t="s">
        <v>146</v>
      </c>
      <c r="B758" s="19">
        <v>907</v>
      </c>
      <c r="C758" s="24" t="s">
        <v>125</v>
      </c>
      <c r="D758" s="24" t="s">
        <v>147</v>
      </c>
      <c r="E758" s="24"/>
      <c r="F758" s="24"/>
      <c r="G758" s="21">
        <f t="shared" si="70"/>
        <v>100</v>
      </c>
      <c r="H758" s="21">
        <f t="shared" si="70"/>
        <v>0</v>
      </c>
      <c r="I758" s="203"/>
    </row>
    <row r="759" spans="1:9" s="202" customFormat="1" ht="47.25" x14ac:dyDescent="0.25">
      <c r="A759" s="23" t="s">
        <v>1366</v>
      </c>
      <c r="B759" s="19">
        <v>907</v>
      </c>
      <c r="C759" s="24" t="s">
        <v>125</v>
      </c>
      <c r="D759" s="24" t="s">
        <v>147</v>
      </c>
      <c r="E759" s="24" t="s">
        <v>342</v>
      </c>
      <c r="F759" s="24"/>
      <c r="G759" s="21">
        <f t="shared" ref="G759:H762" si="71">G760</f>
        <v>100</v>
      </c>
      <c r="H759" s="21">
        <f t="shared" si="71"/>
        <v>0</v>
      </c>
      <c r="I759" s="203"/>
    </row>
    <row r="760" spans="1:9" s="202" customFormat="1" ht="31.5" x14ac:dyDescent="0.25">
      <c r="A760" s="208" t="s">
        <v>1060</v>
      </c>
      <c r="B760" s="19">
        <v>907</v>
      </c>
      <c r="C760" s="24" t="s">
        <v>125</v>
      </c>
      <c r="D760" s="24" t="s">
        <v>147</v>
      </c>
      <c r="E760" s="24" t="s">
        <v>1061</v>
      </c>
      <c r="F760" s="24"/>
      <c r="G760" s="21">
        <f t="shared" si="71"/>
        <v>100</v>
      </c>
      <c r="H760" s="21">
        <f t="shared" si="71"/>
        <v>0</v>
      </c>
      <c r="I760" s="203"/>
    </row>
    <row r="761" spans="1:9" s="202" customFormat="1" ht="31.5" x14ac:dyDescent="0.25">
      <c r="A761" s="97" t="s">
        <v>343</v>
      </c>
      <c r="B761" s="16">
        <v>907</v>
      </c>
      <c r="C761" s="20" t="s">
        <v>125</v>
      </c>
      <c r="D761" s="20" t="s">
        <v>147</v>
      </c>
      <c r="E761" s="20" t="s">
        <v>1062</v>
      </c>
      <c r="F761" s="20"/>
      <c r="G761" s="26">
        <f t="shared" si="71"/>
        <v>100</v>
      </c>
      <c r="H761" s="26">
        <f t="shared" si="71"/>
        <v>0</v>
      </c>
      <c r="I761" s="203"/>
    </row>
    <row r="762" spans="1:9" s="202" customFormat="1" ht="31.5" x14ac:dyDescent="0.25">
      <c r="A762" s="25" t="s">
        <v>138</v>
      </c>
      <c r="B762" s="16">
        <v>907</v>
      </c>
      <c r="C762" s="20" t="s">
        <v>125</v>
      </c>
      <c r="D762" s="20" t="s">
        <v>147</v>
      </c>
      <c r="E762" s="20" t="s">
        <v>1062</v>
      </c>
      <c r="F762" s="20" t="s">
        <v>139</v>
      </c>
      <c r="G762" s="26">
        <f t="shared" si="71"/>
        <v>100</v>
      </c>
      <c r="H762" s="26">
        <f t="shared" si="71"/>
        <v>0</v>
      </c>
      <c r="I762" s="203"/>
    </row>
    <row r="763" spans="1:9" s="202" customFormat="1" ht="31.5" x14ac:dyDescent="0.25">
      <c r="A763" s="25" t="s">
        <v>140</v>
      </c>
      <c r="B763" s="16">
        <v>907</v>
      </c>
      <c r="C763" s="20" t="s">
        <v>125</v>
      </c>
      <c r="D763" s="20" t="s">
        <v>147</v>
      </c>
      <c r="E763" s="20" t="s">
        <v>1062</v>
      </c>
      <c r="F763" s="20" t="s">
        <v>141</v>
      </c>
      <c r="G763" s="26">
        <v>100</v>
      </c>
      <c r="H763" s="26">
        <v>0</v>
      </c>
      <c r="I763" s="203"/>
    </row>
    <row r="764" spans="1:9" ht="15.75" x14ac:dyDescent="0.25">
      <c r="A764" s="23" t="s">
        <v>497</v>
      </c>
      <c r="B764" s="19">
        <v>907</v>
      </c>
      <c r="C764" s="24" t="s">
        <v>498</v>
      </c>
      <c r="D764" s="20"/>
      <c r="E764" s="20"/>
      <c r="F764" s="20"/>
      <c r="G764" s="21">
        <f>G765+G803</f>
        <v>63981.399999999994</v>
      </c>
      <c r="H764" s="21">
        <f>H765+H803</f>
        <v>64012.600000000006</v>
      </c>
      <c r="I764" s="203"/>
    </row>
    <row r="765" spans="1:9" ht="15.75" x14ac:dyDescent="0.25">
      <c r="A765" s="23" t="s">
        <v>499</v>
      </c>
      <c r="B765" s="19">
        <v>907</v>
      </c>
      <c r="C765" s="24" t="s">
        <v>498</v>
      </c>
      <c r="D765" s="24" t="s">
        <v>125</v>
      </c>
      <c r="E765" s="20"/>
      <c r="F765" s="20"/>
      <c r="G765" s="21">
        <f>G766+G798+G793</f>
        <v>50452.2</v>
      </c>
      <c r="H765" s="21">
        <f>H766+H798+H793</f>
        <v>50483.4</v>
      </c>
      <c r="I765" s="203"/>
    </row>
    <row r="766" spans="1:9" ht="47.25" x14ac:dyDescent="0.25">
      <c r="A766" s="23" t="s">
        <v>1386</v>
      </c>
      <c r="B766" s="19">
        <v>907</v>
      </c>
      <c r="C766" s="24" t="s">
        <v>498</v>
      </c>
      <c r="D766" s="24" t="s">
        <v>125</v>
      </c>
      <c r="E766" s="24" t="s">
        <v>489</v>
      </c>
      <c r="F766" s="24"/>
      <c r="G766" s="21">
        <f>G767+G778+G782+G789</f>
        <v>49873.1</v>
      </c>
      <c r="H766" s="21">
        <f>H767+H778+H782+H789</f>
        <v>49873.1</v>
      </c>
      <c r="I766" s="203"/>
    </row>
    <row r="767" spans="1:9" ht="31.5" x14ac:dyDescent="0.25">
      <c r="A767" s="23" t="s">
        <v>947</v>
      </c>
      <c r="B767" s="19">
        <v>907</v>
      </c>
      <c r="C767" s="24" t="s">
        <v>498</v>
      </c>
      <c r="D767" s="24" t="s">
        <v>125</v>
      </c>
      <c r="E767" s="24" t="s">
        <v>1278</v>
      </c>
      <c r="F767" s="24"/>
      <c r="G767" s="21">
        <f t="shared" ref="G767:H769" si="72">G768</f>
        <v>47819.6</v>
      </c>
      <c r="H767" s="21">
        <f t="shared" si="72"/>
        <v>47819.6</v>
      </c>
      <c r="I767" s="203"/>
    </row>
    <row r="768" spans="1:9" ht="31.5" x14ac:dyDescent="0.25">
      <c r="A768" s="25" t="s">
        <v>1308</v>
      </c>
      <c r="B768" s="16">
        <v>907</v>
      </c>
      <c r="C768" s="20" t="s">
        <v>498</v>
      </c>
      <c r="D768" s="20" t="s">
        <v>125</v>
      </c>
      <c r="E768" s="20" t="s">
        <v>1279</v>
      </c>
      <c r="F768" s="20"/>
      <c r="G768" s="26">
        <f t="shared" si="72"/>
        <v>47819.6</v>
      </c>
      <c r="H768" s="26">
        <f t="shared" si="72"/>
        <v>47819.6</v>
      </c>
      <c r="I768" s="203"/>
    </row>
    <row r="769" spans="1:9" ht="31.5" x14ac:dyDescent="0.25">
      <c r="A769" s="25" t="s">
        <v>279</v>
      </c>
      <c r="B769" s="16">
        <v>907</v>
      </c>
      <c r="C769" s="20" t="s">
        <v>498</v>
      </c>
      <c r="D769" s="20" t="s">
        <v>125</v>
      </c>
      <c r="E769" s="20" t="s">
        <v>1279</v>
      </c>
      <c r="F769" s="20" t="s">
        <v>280</v>
      </c>
      <c r="G769" s="26">
        <f t="shared" si="72"/>
        <v>47819.6</v>
      </c>
      <c r="H769" s="26">
        <f t="shared" si="72"/>
        <v>47819.6</v>
      </c>
      <c r="I769" s="203"/>
    </row>
    <row r="770" spans="1:9" ht="15.75" x14ac:dyDescent="0.25">
      <c r="A770" s="25" t="s">
        <v>281</v>
      </c>
      <c r="B770" s="16">
        <v>907</v>
      </c>
      <c r="C770" s="20" t="s">
        <v>498</v>
      </c>
      <c r="D770" s="20" t="s">
        <v>125</v>
      </c>
      <c r="E770" s="20" t="s">
        <v>1279</v>
      </c>
      <c r="F770" s="20" t="s">
        <v>282</v>
      </c>
      <c r="G770" s="26">
        <v>47819.6</v>
      </c>
      <c r="H770" s="26">
        <f t="shared" si="66"/>
        <v>47819.6</v>
      </c>
      <c r="I770" s="203"/>
    </row>
    <row r="771" spans="1:9" ht="31.5" x14ac:dyDescent="0.25">
      <c r="A771" s="23" t="s">
        <v>955</v>
      </c>
      <c r="B771" s="19">
        <v>907</v>
      </c>
      <c r="C771" s="24" t="s">
        <v>498</v>
      </c>
      <c r="D771" s="24" t="s">
        <v>125</v>
      </c>
      <c r="E771" s="24" t="s">
        <v>956</v>
      </c>
      <c r="F771" s="24"/>
      <c r="G771" s="44">
        <f>G772+G775+G779</f>
        <v>36</v>
      </c>
      <c r="H771" s="44">
        <f>H772+H775+H779</f>
        <v>36</v>
      </c>
      <c r="I771" s="203"/>
    </row>
    <row r="772" spans="1:9" ht="31.5" hidden="1" x14ac:dyDescent="0.25">
      <c r="A772" s="25" t="s">
        <v>285</v>
      </c>
      <c r="B772" s="16">
        <v>907</v>
      </c>
      <c r="C772" s="20" t="s">
        <v>498</v>
      </c>
      <c r="D772" s="20" t="s">
        <v>125</v>
      </c>
      <c r="E772" s="20" t="s">
        <v>959</v>
      </c>
      <c r="F772" s="20"/>
      <c r="G772" s="26">
        <f>'Пр.4 ведом.21'!G762</f>
        <v>0</v>
      </c>
      <c r="H772" s="26">
        <f t="shared" ref="H772:H830" si="73">G772</f>
        <v>0</v>
      </c>
      <c r="I772" s="203"/>
    </row>
    <row r="773" spans="1:9" ht="31.5" hidden="1" x14ac:dyDescent="0.25">
      <c r="A773" s="25" t="s">
        <v>279</v>
      </c>
      <c r="B773" s="16">
        <v>907</v>
      </c>
      <c r="C773" s="20" t="s">
        <v>498</v>
      </c>
      <c r="D773" s="20" t="s">
        <v>125</v>
      </c>
      <c r="E773" s="20" t="s">
        <v>959</v>
      </c>
      <c r="F773" s="20" t="s">
        <v>280</v>
      </c>
      <c r="G773" s="26">
        <f>'Пр.4 ведом.21'!G763</f>
        <v>0</v>
      </c>
      <c r="H773" s="26">
        <f t="shared" si="73"/>
        <v>0</v>
      </c>
      <c r="I773" s="203"/>
    </row>
    <row r="774" spans="1:9" ht="15.75" hidden="1" x14ac:dyDescent="0.25">
      <c r="A774" s="25" t="s">
        <v>281</v>
      </c>
      <c r="B774" s="16">
        <v>907</v>
      </c>
      <c r="C774" s="20" t="s">
        <v>498</v>
      </c>
      <c r="D774" s="20" t="s">
        <v>125</v>
      </c>
      <c r="E774" s="20" t="s">
        <v>959</v>
      </c>
      <c r="F774" s="20" t="s">
        <v>282</v>
      </c>
      <c r="G774" s="26">
        <f>'Пр.4 ведом.21'!G764</f>
        <v>0</v>
      </c>
      <c r="H774" s="26">
        <f t="shared" si="73"/>
        <v>0</v>
      </c>
      <c r="I774" s="203"/>
    </row>
    <row r="775" spans="1:9" ht="31.5" hidden="1" x14ac:dyDescent="0.25">
      <c r="A775" s="25" t="s">
        <v>287</v>
      </c>
      <c r="B775" s="16">
        <v>907</v>
      </c>
      <c r="C775" s="20" t="s">
        <v>498</v>
      </c>
      <c r="D775" s="20" t="s">
        <v>125</v>
      </c>
      <c r="E775" s="20" t="s">
        <v>960</v>
      </c>
      <c r="F775" s="20"/>
      <c r="G775" s="26">
        <f>G776</f>
        <v>0</v>
      </c>
      <c r="H775" s="26">
        <f>H776</f>
        <v>0</v>
      </c>
      <c r="I775" s="203"/>
    </row>
    <row r="776" spans="1:9" ht="31.5" hidden="1" x14ac:dyDescent="0.25">
      <c r="A776" s="25" t="s">
        <v>279</v>
      </c>
      <c r="B776" s="16">
        <v>907</v>
      </c>
      <c r="C776" s="20" t="s">
        <v>498</v>
      </c>
      <c r="D776" s="20" t="s">
        <v>125</v>
      </c>
      <c r="E776" s="20" t="s">
        <v>960</v>
      </c>
      <c r="F776" s="20" t="s">
        <v>280</v>
      </c>
      <c r="G776" s="26">
        <f>G777</f>
        <v>0</v>
      </c>
      <c r="H776" s="26">
        <f>H777</f>
        <v>0</v>
      </c>
      <c r="I776" s="203"/>
    </row>
    <row r="777" spans="1:9" ht="15.75" hidden="1" x14ac:dyDescent="0.25">
      <c r="A777" s="25" t="s">
        <v>281</v>
      </c>
      <c r="B777" s="16">
        <v>907</v>
      </c>
      <c r="C777" s="20" t="s">
        <v>498</v>
      </c>
      <c r="D777" s="20" t="s">
        <v>125</v>
      </c>
      <c r="E777" s="20" t="s">
        <v>960</v>
      </c>
      <c r="F777" s="20" t="s">
        <v>282</v>
      </c>
      <c r="G777" s="26">
        <v>0</v>
      </c>
      <c r="H777" s="26">
        <f t="shared" si="73"/>
        <v>0</v>
      </c>
      <c r="I777" s="203"/>
    </row>
    <row r="778" spans="1:9" s="202" customFormat="1" ht="31.5" x14ac:dyDescent="0.25">
      <c r="A778" s="23" t="s">
        <v>955</v>
      </c>
      <c r="B778" s="19">
        <v>907</v>
      </c>
      <c r="C778" s="24" t="s">
        <v>498</v>
      </c>
      <c r="D778" s="24" t="s">
        <v>125</v>
      </c>
      <c r="E778" s="24" t="s">
        <v>1280</v>
      </c>
      <c r="F778" s="20"/>
      <c r="G778" s="21">
        <f t="shared" ref="G778:H780" si="74">G779</f>
        <v>36</v>
      </c>
      <c r="H778" s="21">
        <f t="shared" si="74"/>
        <v>36</v>
      </c>
      <c r="I778" s="203"/>
    </row>
    <row r="779" spans="1:9" ht="15.75" x14ac:dyDescent="0.25">
      <c r="A779" s="25" t="s">
        <v>840</v>
      </c>
      <c r="B779" s="16">
        <v>907</v>
      </c>
      <c r="C779" s="20" t="s">
        <v>498</v>
      </c>
      <c r="D779" s="20" t="s">
        <v>125</v>
      </c>
      <c r="E779" s="20" t="s">
        <v>1281</v>
      </c>
      <c r="F779" s="20"/>
      <c r="G779" s="26">
        <f t="shared" si="74"/>
        <v>36</v>
      </c>
      <c r="H779" s="26">
        <f t="shared" si="74"/>
        <v>36</v>
      </c>
      <c r="I779" s="203"/>
    </row>
    <row r="780" spans="1:9" ht="31.5" x14ac:dyDescent="0.25">
      <c r="A780" s="25" t="s">
        <v>279</v>
      </c>
      <c r="B780" s="16">
        <v>907</v>
      </c>
      <c r="C780" s="20" t="s">
        <v>498</v>
      </c>
      <c r="D780" s="20" t="s">
        <v>125</v>
      </c>
      <c r="E780" s="20" t="s">
        <v>1281</v>
      </c>
      <c r="F780" s="20" t="s">
        <v>280</v>
      </c>
      <c r="G780" s="26">
        <f t="shared" si="74"/>
        <v>36</v>
      </c>
      <c r="H780" s="26">
        <f t="shared" si="74"/>
        <v>36</v>
      </c>
      <c r="I780" s="203"/>
    </row>
    <row r="781" spans="1:9" ht="15.75" x14ac:dyDescent="0.25">
      <c r="A781" s="25" t="s">
        <v>281</v>
      </c>
      <c r="B781" s="16">
        <v>907</v>
      </c>
      <c r="C781" s="20" t="s">
        <v>498</v>
      </c>
      <c r="D781" s="20" t="s">
        <v>125</v>
      </c>
      <c r="E781" s="20" t="s">
        <v>1281</v>
      </c>
      <c r="F781" s="20" t="s">
        <v>282</v>
      </c>
      <c r="G781" s="26">
        <f>36</f>
        <v>36</v>
      </c>
      <c r="H781" s="26">
        <f t="shared" si="73"/>
        <v>36</v>
      </c>
      <c r="I781" s="203"/>
    </row>
    <row r="782" spans="1:9" ht="31.5" x14ac:dyDescent="0.25">
      <c r="A782" s="23" t="s">
        <v>957</v>
      </c>
      <c r="B782" s="19">
        <v>907</v>
      </c>
      <c r="C782" s="24" t="s">
        <v>498</v>
      </c>
      <c r="D782" s="24" t="s">
        <v>125</v>
      </c>
      <c r="E782" s="24" t="s">
        <v>1282</v>
      </c>
      <c r="F782" s="24"/>
      <c r="G782" s="21">
        <f>G783+G786</f>
        <v>1204</v>
      </c>
      <c r="H782" s="21">
        <f>H783+H786</f>
        <v>1204</v>
      </c>
      <c r="I782" s="203"/>
    </row>
    <row r="783" spans="1:9" ht="31.5" hidden="1" x14ac:dyDescent="0.25">
      <c r="A783" s="25" t="s">
        <v>801</v>
      </c>
      <c r="B783" s="16">
        <v>907</v>
      </c>
      <c r="C783" s="20" t="s">
        <v>498</v>
      </c>
      <c r="D783" s="20" t="s">
        <v>125</v>
      </c>
      <c r="E783" s="20" t="s">
        <v>1320</v>
      </c>
      <c r="F783" s="20"/>
      <c r="G783" s="26">
        <f>'Пр.4 ведом.21'!G772</f>
        <v>0</v>
      </c>
      <c r="H783" s="26">
        <f t="shared" si="73"/>
        <v>0</v>
      </c>
      <c r="I783" s="203"/>
    </row>
    <row r="784" spans="1:9" ht="31.5" hidden="1" x14ac:dyDescent="0.25">
      <c r="A784" s="25" t="s">
        <v>279</v>
      </c>
      <c r="B784" s="16">
        <v>907</v>
      </c>
      <c r="C784" s="20" t="s">
        <v>498</v>
      </c>
      <c r="D784" s="20" t="s">
        <v>125</v>
      </c>
      <c r="E784" s="20" t="s">
        <v>1320</v>
      </c>
      <c r="F784" s="20" t="s">
        <v>280</v>
      </c>
      <c r="G784" s="26">
        <f>'Пр.4 ведом.21'!G773</f>
        <v>0</v>
      </c>
      <c r="H784" s="26">
        <f t="shared" si="73"/>
        <v>0</v>
      </c>
      <c r="I784" s="203"/>
    </row>
    <row r="785" spans="1:9" ht="15.75" hidden="1" x14ac:dyDescent="0.25">
      <c r="A785" s="25" t="s">
        <v>281</v>
      </c>
      <c r="B785" s="16">
        <v>907</v>
      </c>
      <c r="C785" s="20" t="s">
        <v>498</v>
      </c>
      <c r="D785" s="20" t="s">
        <v>125</v>
      </c>
      <c r="E785" s="20" t="s">
        <v>1320</v>
      </c>
      <c r="F785" s="20" t="s">
        <v>282</v>
      </c>
      <c r="G785" s="26">
        <f>'Пр.4 ведом.21'!G774</f>
        <v>0</v>
      </c>
      <c r="H785" s="26">
        <f t="shared" si="73"/>
        <v>0</v>
      </c>
      <c r="I785" s="203"/>
    </row>
    <row r="786" spans="1:9" ht="31.5" x14ac:dyDescent="0.25">
      <c r="A786" s="45" t="s">
        <v>774</v>
      </c>
      <c r="B786" s="16">
        <v>907</v>
      </c>
      <c r="C786" s="20" t="s">
        <v>498</v>
      </c>
      <c r="D786" s="20" t="s">
        <v>125</v>
      </c>
      <c r="E786" s="20" t="s">
        <v>1283</v>
      </c>
      <c r="F786" s="20"/>
      <c r="G786" s="26">
        <f>G787</f>
        <v>1204</v>
      </c>
      <c r="H786" s="26">
        <f>H787</f>
        <v>1204</v>
      </c>
      <c r="I786" s="203"/>
    </row>
    <row r="787" spans="1:9" ht="31.5" x14ac:dyDescent="0.25">
      <c r="A787" s="31" t="s">
        <v>279</v>
      </c>
      <c r="B787" s="16">
        <v>907</v>
      </c>
      <c r="C787" s="20" t="s">
        <v>498</v>
      </c>
      <c r="D787" s="20" t="s">
        <v>125</v>
      </c>
      <c r="E787" s="20" t="s">
        <v>1283</v>
      </c>
      <c r="F787" s="20" t="s">
        <v>280</v>
      </c>
      <c r="G787" s="26">
        <f>G788</f>
        <v>1204</v>
      </c>
      <c r="H787" s="26">
        <f>H788</f>
        <v>1204</v>
      </c>
      <c r="I787" s="203"/>
    </row>
    <row r="788" spans="1:9" ht="15.75" x14ac:dyDescent="0.25">
      <c r="A788" s="31" t="s">
        <v>281</v>
      </c>
      <c r="B788" s="16">
        <v>907</v>
      </c>
      <c r="C788" s="20" t="s">
        <v>498</v>
      </c>
      <c r="D788" s="20" t="s">
        <v>125</v>
      </c>
      <c r="E788" s="20" t="s">
        <v>1283</v>
      </c>
      <c r="F788" s="20" t="s">
        <v>282</v>
      </c>
      <c r="G788" s="26">
        <v>1204</v>
      </c>
      <c r="H788" s="26">
        <f t="shared" si="73"/>
        <v>1204</v>
      </c>
      <c r="I788" s="203"/>
    </row>
    <row r="789" spans="1:9" ht="47.25" x14ac:dyDescent="0.25">
      <c r="A789" s="23" t="s">
        <v>910</v>
      </c>
      <c r="B789" s="19">
        <v>907</v>
      </c>
      <c r="C789" s="24" t="s">
        <v>498</v>
      </c>
      <c r="D789" s="24" t="s">
        <v>125</v>
      </c>
      <c r="E789" s="24" t="s">
        <v>1284</v>
      </c>
      <c r="F789" s="24"/>
      <c r="G789" s="21">
        <f>G790</f>
        <v>813.5</v>
      </c>
      <c r="H789" s="21">
        <f>H790</f>
        <v>813.5</v>
      </c>
      <c r="I789" s="203"/>
    </row>
    <row r="790" spans="1:9" ht="94.5" x14ac:dyDescent="0.25">
      <c r="A790" s="31" t="s">
        <v>471</v>
      </c>
      <c r="B790" s="16">
        <v>907</v>
      </c>
      <c r="C790" s="20" t="s">
        <v>498</v>
      </c>
      <c r="D790" s="20" t="s">
        <v>125</v>
      </c>
      <c r="E790" s="20" t="s">
        <v>1419</v>
      </c>
      <c r="F790" s="20"/>
      <c r="G790" s="26">
        <f t="shared" ref="G790:H791" si="75">G791</f>
        <v>813.5</v>
      </c>
      <c r="H790" s="26">
        <f t="shared" si="75"/>
        <v>813.5</v>
      </c>
      <c r="I790" s="203"/>
    </row>
    <row r="791" spans="1:9" ht="31.5" x14ac:dyDescent="0.25">
      <c r="A791" s="25" t="s">
        <v>279</v>
      </c>
      <c r="B791" s="16">
        <v>907</v>
      </c>
      <c r="C791" s="20" t="s">
        <v>498</v>
      </c>
      <c r="D791" s="20" t="s">
        <v>125</v>
      </c>
      <c r="E791" s="20" t="s">
        <v>1419</v>
      </c>
      <c r="F791" s="20" t="s">
        <v>280</v>
      </c>
      <c r="G791" s="26">
        <f t="shared" si="75"/>
        <v>813.5</v>
      </c>
      <c r="H791" s="26">
        <f t="shared" si="75"/>
        <v>813.5</v>
      </c>
      <c r="I791" s="203"/>
    </row>
    <row r="792" spans="1:9" ht="15.75" x14ac:dyDescent="0.25">
      <c r="A792" s="25" t="s">
        <v>281</v>
      </c>
      <c r="B792" s="16">
        <v>907</v>
      </c>
      <c r="C792" s="20" t="s">
        <v>498</v>
      </c>
      <c r="D792" s="20" t="s">
        <v>125</v>
      </c>
      <c r="E792" s="20" t="s">
        <v>1419</v>
      </c>
      <c r="F792" s="20" t="s">
        <v>282</v>
      </c>
      <c r="G792" s="26">
        <f>813.5</f>
        <v>813.5</v>
      </c>
      <c r="H792" s="26">
        <f t="shared" si="73"/>
        <v>813.5</v>
      </c>
      <c r="I792" s="252">
        <f>12177.1/11326*870.2</f>
        <v>935.59177291188428</v>
      </c>
    </row>
    <row r="793" spans="1:9" s="202" customFormat="1" ht="47.25" hidden="1" x14ac:dyDescent="0.25">
      <c r="A793" s="34" t="s">
        <v>1374</v>
      </c>
      <c r="B793" s="19">
        <v>907</v>
      </c>
      <c r="C793" s="24" t="s">
        <v>498</v>
      </c>
      <c r="D793" s="24" t="s">
        <v>125</v>
      </c>
      <c r="E793" s="24" t="s">
        <v>331</v>
      </c>
      <c r="F793" s="24"/>
      <c r="G793" s="21">
        <f t="shared" ref="G793:H796" si="76">G794</f>
        <v>0</v>
      </c>
      <c r="H793" s="21">
        <f t="shared" si="76"/>
        <v>8</v>
      </c>
      <c r="I793" s="252"/>
    </row>
    <row r="794" spans="1:9" s="202" customFormat="1" ht="63" hidden="1" x14ac:dyDescent="0.25">
      <c r="A794" s="34" t="s">
        <v>1019</v>
      </c>
      <c r="B794" s="19">
        <v>907</v>
      </c>
      <c r="C794" s="24" t="s">
        <v>498</v>
      </c>
      <c r="D794" s="24" t="s">
        <v>125</v>
      </c>
      <c r="E794" s="24" t="s">
        <v>944</v>
      </c>
      <c r="F794" s="24"/>
      <c r="G794" s="21">
        <f t="shared" si="76"/>
        <v>0</v>
      </c>
      <c r="H794" s="21">
        <f t="shared" si="76"/>
        <v>8</v>
      </c>
      <c r="I794" s="252"/>
    </row>
    <row r="795" spans="1:9" s="202" customFormat="1" ht="47.25" hidden="1" x14ac:dyDescent="0.25">
      <c r="A795" s="31" t="s">
        <v>1092</v>
      </c>
      <c r="B795" s="16">
        <v>907</v>
      </c>
      <c r="C795" s="20" t="s">
        <v>498</v>
      </c>
      <c r="D795" s="20" t="s">
        <v>125</v>
      </c>
      <c r="E795" s="20" t="s">
        <v>945</v>
      </c>
      <c r="F795" s="20"/>
      <c r="G795" s="26">
        <f t="shared" si="76"/>
        <v>0</v>
      </c>
      <c r="H795" s="26">
        <f t="shared" si="76"/>
        <v>8</v>
      </c>
      <c r="I795" s="252"/>
    </row>
    <row r="796" spans="1:9" s="202" customFormat="1" ht="31.5" hidden="1" x14ac:dyDescent="0.25">
      <c r="A796" s="25" t="s">
        <v>138</v>
      </c>
      <c r="B796" s="16">
        <v>907</v>
      </c>
      <c r="C796" s="20" t="s">
        <v>498</v>
      </c>
      <c r="D796" s="20" t="s">
        <v>125</v>
      </c>
      <c r="E796" s="20" t="s">
        <v>945</v>
      </c>
      <c r="F796" s="20" t="s">
        <v>280</v>
      </c>
      <c r="G796" s="26">
        <f t="shared" si="76"/>
        <v>0</v>
      </c>
      <c r="H796" s="26">
        <f t="shared" si="76"/>
        <v>8</v>
      </c>
      <c r="I796" s="252"/>
    </row>
    <row r="797" spans="1:9" s="202" customFormat="1" ht="31.5" hidden="1" x14ac:dyDescent="0.25">
      <c r="A797" s="25" t="s">
        <v>140</v>
      </c>
      <c r="B797" s="16">
        <v>907</v>
      </c>
      <c r="C797" s="20" t="s">
        <v>498</v>
      </c>
      <c r="D797" s="20" t="s">
        <v>125</v>
      </c>
      <c r="E797" s="20" t="s">
        <v>945</v>
      </c>
      <c r="F797" s="20" t="s">
        <v>282</v>
      </c>
      <c r="G797" s="26">
        <v>0</v>
      </c>
      <c r="H797" s="26">
        <v>8</v>
      </c>
      <c r="I797" s="252"/>
    </row>
    <row r="798" spans="1:9" ht="47.25" x14ac:dyDescent="0.25">
      <c r="A798" s="41" t="s">
        <v>1369</v>
      </c>
      <c r="B798" s="19">
        <v>907</v>
      </c>
      <c r="C798" s="24" t="s">
        <v>498</v>
      </c>
      <c r="D798" s="24" t="s">
        <v>125</v>
      </c>
      <c r="E798" s="24" t="s">
        <v>715</v>
      </c>
      <c r="F798" s="217"/>
      <c r="G798" s="21">
        <f t="shared" ref="G798:H801" si="77">G799</f>
        <v>579.1</v>
      </c>
      <c r="H798" s="21">
        <f t="shared" si="77"/>
        <v>602.29999999999995</v>
      </c>
      <c r="I798" s="203"/>
    </row>
    <row r="799" spans="1:9" ht="47.25" x14ac:dyDescent="0.25">
      <c r="A799" s="41" t="s">
        <v>900</v>
      </c>
      <c r="B799" s="19">
        <v>907</v>
      </c>
      <c r="C799" s="24" t="s">
        <v>498</v>
      </c>
      <c r="D799" s="24" t="s">
        <v>125</v>
      </c>
      <c r="E799" s="24" t="s">
        <v>898</v>
      </c>
      <c r="F799" s="217"/>
      <c r="G799" s="21">
        <f t="shared" si="77"/>
        <v>579.1</v>
      </c>
      <c r="H799" s="21">
        <f t="shared" si="77"/>
        <v>602.29999999999995</v>
      </c>
      <c r="I799" s="203"/>
    </row>
    <row r="800" spans="1:9" ht="47.25" x14ac:dyDescent="0.25">
      <c r="A800" s="98" t="s">
        <v>790</v>
      </c>
      <c r="B800" s="16">
        <v>907</v>
      </c>
      <c r="C800" s="20" t="s">
        <v>498</v>
      </c>
      <c r="D800" s="20" t="s">
        <v>125</v>
      </c>
      <c r="E800" s="20" t="s">
        <v>946</v>
      </c>
      <c r="F800" s="32"/>
      <c r="G800" s="26">
        <f t="shared" si="77"/>
        <v>579.1</v>
      </c>
      <c r="H800" s="26">
        <f t="shared" si="77"/>
        <v>602.29999999999995</v>
      </c>
      <c r="I800" s="203"/>
    </row>
    <row r="801" spans="1:9" ht="31.5" x14ac:dyDescent="0.25">
      <c r="A801" s="29" t="s">
        <v>279</v>
      </c>
      <c r="B801" s="16">
        <v>907</v>
      </c>
      <c r="C801" s="20" t="s">
        <v>498</v>
      </c>
      <c r="D801" s="20" t="s">
        <v>125</v>
      </c>
      <c r="E801" s="20" t="s">
        <v>946</v>
      </c>
      <c r="F801" s="32" t="s">
        <v>280</v>
      </c>
      <c r="G801" s="26">
        <f t="shared" si="77"/>
        <v>579.1</v>
      </c>
      <c r="H801" s="26">
        <f t="shared" si="77"/>
        <v>602.29999999999995</v>
      </c>
      <c r="I801" s="203"/>
    </row>
    <row r="802" spans="1:9" ht="15.75" x14ac:dyDescent="0.25">
      <c r="A802" s="184" t="s">
        <v>281</v>
      </c>
      <c r="B802" s="16">
        <v>907</v>
      </c>
      <c r="C802" s="20" t="s">
        <v>498</v>
      </c>
      <c r="D802" s="20" t="s">
        <v>125</v>
      </c>
      <c r="E802" s="20" t="s">
        <v>946</v>
      </c>
      <c r="F802" s="32" t="s">
        <v>282</v>
      </c>
      <c r="G802" s="26">
        <v>579.1</v>
      </c>
      <c r="H802" s="26">
        <v>602.29999999999995</v>
      </c>
      <c r="I802" s="203"/>
    </row>
    <row r="803" spans="1:9" ht="31.5" x14ac:dyDescent="0.25">
      <c r="A803" s="23" t="s">
        <v>507</v>
      </c>
      <c r="B803" s="19">
        <v>907</v>
      </c>
      <c r="C803" s="24" t="s">
        <v>498</v>
      </c>
      <c r="D803" s="24" t="s">
        <v>241</v>
      </c>
      <c r="E803" s="24"/>
      <c r="F803" s="24"/>
      <c r="G803" s="21">
        <f>G804+G812+G824</f>
        <v>13529.2</v>
      </c>
      <c r="H803" s="21">
        <f>H804+H812+H824</f>
        <v>13529.2</v>
      </c>
      <c r="I803" s="203"/>
    </row>
    <row r="804" spans="1:9" ht="31.5" x14ac:dyDescent="0.25">
      <c r="A804" s="23" t="s">
        <v>927</v>
      </c>
      <c r="B804" s="19">
        <v>907</v>
      </c>
      <c r="C804" s="24" t="s">
        <v>498</v>
      </c>
      <c r="D804" s="24" t="s">
        <v>241</v>
      </c>
      <c r="E804" s="24" t="s">
        <v>868</v>
      </c>
      <c r="F804" s="24"/>
      <c r="G804" s="21">
        <f>G805</f>
        <v>5224.5</v>
      </c>
      <c r="H804" s="21">
        <f>H805</f>
        <v>5224.5</v>
      </c>
      <c r="I804" s="203"/>
    </row>
    <row r="805" spans="1:9" ht="15.75" x14ac:dyDescent="0.25">
      <c r="A805" s="23" t="s">
        <v>928</v>
      </c>
      <c r="B805" s="19">
        <v>907</v>
      </c>
      <c r="C805" s="24" t="s">
        <v>498</v>
      </c>
      <c r="D805" s="24" t="s">
        <v>241</v>
      </c>
      <c r="E805" s="24" t="s">
        <v>869</v>
      </c>
      <c r="F805" s="24"/>
      <c r="G805" s="21">
        <f>G806+G809</f>
        <v>5224.5</v>
      </c>
      <c r="H805" s="21">
        <f>H806+H809</f>
        <v>5224.5</v>
      </c>
      <c r="I805" s="203"/>
    </row>
    <row r="806" spans="1:9" ht="31.5" x14ac:dyDescent="0.25">
      <c r="A806" s="25" t="s">
        <v>907</v>
      </c>
      <c r="B806" s="16">
        <v>907</v>
      </c>
      <c r="C806" s="20" t="s">
        <v>498</v>
      </c>
      <c r="D806" s="20" t="s">
        <v>241</v>
      </c>
      <c r="E806" s="20" t="s">
        <v>870</v>
      </c>
      <c r="F806" s="20"/>
      <c r="G806" s="26">
        <f>G807</f>
        <v>4888.5</v>
      </c>
      <c r="H806" s="26">
        <f>H807</f>
        <v>4888.5</v>
      </c>
      <c r="I806" s="203"/>
    </row>
    <row r="807" spans="1:9" ht="78.75" x14ac:dyDescent="0.25">
      <c r="A807" s="25" t="s">
        <v>134</v>
      </c>
      <c r="B807" s="16">
        <v>907</v>
      </c>
      <c r="C807" s="20" t="s">
        <v>498</v>
      </c>
      <c r="D807" s="20" t="s">
        <v>241</v>
      </c>
      <c r="E807" s="20" t="s">
        <v>870</v>
      </c>
      <c r="F807" s="20" t="s">
        <v>135</v>
      </c>
      <c r="G807" s="26">
        <f>G808</f>
        <v>4888.5</v>
      </c>
      <c r="H807" s="26">
        <f>H808</f>
        <v>4888.5</v>
      </c>
      <c r="I807" s="203"/>
    </row>
    <row r="808" spans="1:9" ht="31.5" x14ac:dyDescent="0.25">
      <c r="A808" s="25" t="s">
        <v>136</v>
      </c>
      <c r="B808" s="16">
        <v>907</v>
      </c>
      <c r="C808" s="20" t="s">
        <v>498</v>
      </c>
      <c r="D808" s="20" t="s">
        <v>241</v>
      </c>
      <c r="E808" s="20" t="s">
        <v>870</v>
      </c>
      <c r="F808" s="20" t="s">
        <v>137</v>
      </c>
      <c r="G808" s="26">
        <v>4888.5</v>
      </c>
      <c r="H808" s="26">
        <f t="shared" si="73"/>
        <v>4888.5</v>
      </c>
      <c r="I808" s="203"/>
    </row>
    <row r="809" spans="1:9" ht="47.25" x14ac:dyDescent="0.25">
      <c r="A809" s="25" t="s">
        <v>849</v>
      </c>
      <c r="B809" s="16">
        <v>907</v>
      </c>
      <c r="C809" s="20" t="s">
        <v>498</v>
      </c>
      <c r="D809" s="20" t="s">
        <v>241</v>
      </c>
      <c r="E809" s="20" t="s">
        <v>872</v>
      </c>
      <c r="F809" s="20"/>
      <c r="G809" s="26">
        <f>G810</f>
        <v>336</v>
      </c>
      <c r="H809" s="26">
        <f>H810</f>
        <v>336</v>
      </c>
      <c r="I809" s="203"/>
    </row>
    <row r="810" spans="1:9" ht="78.75" x14ac:dyDescent="0.25">
      <c r="A810" s="25" t="s">
        <v>134</v>
      </c>
      <c r="B810" s="16">
        <v>907</v>
      </c>
      <c r="C810" s="20" t="s">
        <v>498</v>
      </c>
      <c r="D810" s="20" t="s">
        <v>241</v>
      </c>
      <c r="E810" s="20" t="s">
        <v>872</v>
      </c>
      <c r="F810" s="20" t="s">
        <v>135</v>
      </c>
      <c r="G810" s="26">
        <f>G811</f>
        <v>336</v>
      </c>
      <c r="H810" s="26">
        <f>H811</f>
        <v>336</v>
      </c>
      <c r="I810" s="203"/>
    </row>
    <row r="811" spans="1:9" ht="31.5" x14ac:dyDescent="0.25">
      <c r="A811" s="25" t="s">
        <v>136</v>
      </c>
      <c r="B811" s="16">
        <v>907</v>
      </c>
      <c r="C811" s="20" t="s">
        <v>498</v>
      </c>
      <c r="D811" s="20" t="s">
        <v>241</v>
      </c>
      <c r="E811" s="20" t="s">
        <v>872</v>
      </c>
      <c r="F811" s="20" t="s">
        <v>137</v>
      </c>
      <c r="G811" s="26">
        <v>336</v>
      </c>
      <c r="H811" s="26">
        <f t="shared" si="73"/>
        <v>336</v>
      </c>
      <c r="I811" s="203"/>
    </row>
    <row r="812" spans="1:9" ht="15.75" x14ac:dyDescent="0.25">
      <c r="A812" s="23" t="s">
        <v>148</v>
      </c>
      <c r="B812" s="19">
        <v>907</v>
      </c>
      <c r="C812" s="24" t="s">
        <v>498</v>
      </c>
      <c r="D812" s="24" t="s">
        <v>241</v>
      </c>
      <c r="E812" s="24" t="s">
        <v>876</v>
      </c>
      <c r="F812" s="24"/>
      <c r="G812" s="21">
        <f>G813</f>
        <v>5304.7</v>
      </c>
      <c r="H812" s="21">
        <f>H813</f>
        <v>5304.7</v>
      </c>
      <c r="I812" s="203"/>
    </row>
    <row r="813" spans="1:9" ht="31.5" x14ac:dyDescent="0.25">
      <c r="A813" s="23" t="s">
        <v>939</v>
      </c>
      <c r="B813" s="19">
        <v>907</v>
      </c>
      <c r="C813" s="24" t="s">
        <v>498</v>
      </c>
      <c r="D813" s="24" t="s">
        <v>241</v>
      </c>
      <c r="E813" s="24" t="s">
        <v>924</v>
      </c>
      <c r="F813" s="24"/>
      <c r="G813" s="21">
        <f>G814+G821</f>
        <v>5304.7</v>
      </c>
      <c r="H813" s="21">
        <f>H814+H821</f>
        <v>5304.7</v>
      </c>
      <c r="I813" s="203"/>
    </row>
    <row r="814" spans="1:9" ht="31.5" x14ac:dyDescent="0.25">
      <c r="A814" s="25" t="s">
        <v>913</v>
      </c>
      <c r="B814" s="16">
        <v>907</v>
      </c>
      <c r="C814" s="20" t="s">
        <v>498</v>
      </c>
      <c r="D814" s="20" t="s">
        <v>241</v>
      </c>
      <c r="E814" s="20" t="s">
        <v>925</v>
      </c>
      <c r="F814" s="20"/>
      <c r="G814" s="26">
        <f>G815+G817+G819</f>
        <v>5089.7</v>
      </c>
      <c r="H814" s="26">
        <f>H815+H817+H819</f>
        <v>5089.7</v>
      </c>
      <c r="I814" s="203"/>
    </row>
    <row r="815" spans="1:9" ht="78.75" x14ac:dyDescent="0.25">
      <c r="A815" s="25" t="s">
        <v>134</v>
      </c>
      <c r="B815" s="16">
        <v>907</v>
      </c>
      <c r="C815" s="20" t="s">
        <v>498</v>
      </c>
      <c r="D815" s="20" t="s">
        <v>241</v>
      </c>
      <c r="E815" s="20" t="s">
        <v>925</v>
      </c>
      <c r="F815" s="20" t="s">
        <v>135</v>
      </c>
      <c r="G815" s="26">
        <f>G816</f>
        <v>4695.3999999999996</v>
      </c>
      <c r="H815" s="26">
        <f>H816</f>
        <v>4695.3999999999996</v>
      </c>
      <c r="I815" s="203"/>
    </row>
    <row r="816" spans="1:9" ht="19.5" customHeight="1" x14ac:dyDescent="0.25">
      <c r="A816" s="25" t="s">
        <v>349</v>
      </c>
      <c r="B816" s="16">
        <v>907</v>
      </c>
      <c r="C816" s="20" t="s">
        <v>498</v>
      </c>
      <c r="D816" s="20" t="s">
        <v>241</v>
      </c>
      <c r="E816" s="20" t="s">
        <v>925</v>
      </c>
      <c r="F816" s="20" t="s">
        <v>216</v>
      </c>
      <c r="G816" s="26">
        <v>4695.3999999999996</v>
      </c>
      <c r="H816" s="26">
        <f t="shared" si="73"/>
        <v>4695.3999999999996</v>
      </c>
      <c r="I816" s="203"/>
    </row>
    <row r="817" spans="1:13" ht="31.5" x14ac:dyDescent="0.25">
      <c r="A817" s="25" t="s">
        <v>138</v>
      </c>
      <c r="B817" s="16">
        <v>907</v>
      </c>
      <c r="C817" s="20" t="s">
        <v>498</v>
      </c>
      <c r="D817" s="20" t="s">
        <v>241</v>
      </c>
      <c r="E817" s="20" t="s">
        <v>925</v>
      </c>
      <c r="F817" s="20" t="s">
        <v>139</v>
      </c>
      <c r="G817" s="26">
        <f>G818</f>
        <v>343.3</v>
      </c>
      <c r="H817" s="26">
        <f>H818</f>
        <v>343.3</v>
      </c>
      <c r="I817" s="203"/>
    </row>
    <row r="818" spans="1:13" ht="31.5" x14ac:dyDescent="0.25">
      <c r="A818" s="25" t="s">
        <v>140</v>
      </c>
      <c r="B818" s="16">
        <v>907</v>
      </c>
      <c r="C818" s="20" t="s">
        <v>498</v>
      </c>
      <c r="D818" s="20" t="s">
        <v>241</v>
      </c>
      <c r="E818" s="20" t="s">
        <v>925</v>
      </c>
      <c r="F818" s="20" t="s">
        <v>141</v>
      </c>
      <c r="G818" s="26">
        <v>343.3</v>
      </c>
      <c r="H818" s="26">
        <f t="shared" si="73"/>
        <v>343.3</v>
      </c>
      <c r="I818" s="203"/>
    </row>
    <row r="819" spans="1:13" ht="15.75" x14ac:dyDescent="0.25">
      <c r="A819" s="25" t="s">
        <v>142</v>
      </c>
      <c r="B819" s="16">
        <v>907</v>
      </c>
      <c r="C819" s="20" t="s">
        <v>498</v>
      </c>
      <c r="D819" s="20" t="s">
        <v>241</v>
      </c>
      <c r="E819" s="20" t="s">
        <v>925</v>
      </c>
      <c r="F819" s="20" t="s">
        <v>152</v>
      </c>
      <c r="G819" s="26">
        <f>G820</f>
        <v>51</v>
      </c>
      <c r="H819" s="26">
        <f>H820</f>
        <v>51</v>
      </c>
      <c r="I819" s="203"/>
    </row>
    <row r="820" spans="1:13" ht="15.75" x14ac:dyDescent="0.25">
      <c r="A820" s="25" t="s">
        <v>575</v>
      </c>
      <c r="B820" s="16">
        <v>907</v>
      </c>
      <c r="C820" s="20" t="s">
        <v>498</v>
      </c>
      <c r="D820" s="20" t="s">
        <v>241</v>
      </c>
      <c r="E820" s="20" t="s">
        <v>925</v>
      </c>
      <c r="F820" s="20" t="s">
        <v>145</v>
      </c>
      <c r="G820" s="26">
        <f>51</f>
        <v>51</v>
      </c>
      <c r="H820" s="26">
        <f t="shared" si="73"/>
        <v>51</v>
      </c>
      <c r="I820" s="203"/>
    </row>
    <row r="821" spans="1:13" ht="47.25" x14ac:dyDescent="0.25">
      <c r="A821" s="25" t="s">
        <v>849</v>
      </c>
      <c r="B821" s="16">
        <v>907</v>
      </c>
      <c r="C821" s="20" t="s">
        <v>498</v>
      </c>
      <c r="D821" s="20" t="s">
        <v>241</v>
      </c>
      <c r="E821" s="20" t="s">
        <v>926</v>
      </c>
      <c r="F821" s="20"/>
      <c r="G821" s="26">
        <f>G822</f>
        <v>215</v>
      </c>
      <c r="H821" s="26">
        <f>H822</f>
        <v>215</v>
      </c>
      <c r="I821" s="203"/>
    </row>
    <row r="822" spans="1:13" ht="78.75" x14ac:dyDescent="0.25">
      <c r="A822" s="25" t="s">
        <v>134</v>
      </c>
      <c r="B822" s="16">
        <v>907</v>
      </c>
      <c r="C822" s="20" t="s">
        <v>498</v>
      </c>
      <c r="D822" s="20" t="s">
        <v>241</v>
      </c>
      <c r="E822" s="20" t="s">
        <v>926</v>
      </c>
      <c r="F822" s="20" t="s">
        <v>135</v>
      </c>
      <c r="G822" s="26">
        <f>G823</f>
        <v>215</v>
      </c>
      <c r="H822" s="26">
        <f>H823</f>
        <v>215</v>
      </c>
      <c r="I822" s="203"/>
    </row>
    <row r="823" spans="1:13" ht="19.5" customHeight="1" x14ac:dyDescent="0.25">
      <c r="A823" s="25" t="s">
        <v>349</v>
      </c>
      <c r="B823" s="16">
        <v>907</v>
      </c>
      <c r="C823" s="20" t="s">
        <v>498</v>
      </c>
      <c r="D823" s="20" t="s">
        <v>241</v>
      </c>
      <c r="E823" s="20" t="s">
        <v>926</v>
      </c>
      <c r="F823" s="20" t="s">
        <v>216</v>
      </c>
      <c r="G823" s="26">
        <v>215</v>
      </c>
      <c r="H823" s="26">
        <f t="shared" si="73"/>
        <v>215</v>
      </c>
      <c r="I823" s="203"/>
    </row>
    <row r="824" spans="1:13" ht="47.25" x14ac:dyDescent="0.25">
      <c r="A824" s="41" t="s">
        <v>1386</v>
      </c>
      <c r="B824" s="19">
        <v>907</v>
      </c>
      <c r="C824" s="24" t="s">
        <v>498</v>
      </c>
      <c r="D824" s="24" t="s">
        <v>241</v>
      </c>
      <c r="E824" s="7" t="s">
        <v>489</v>
      </c>
      <c r="F824" s="24"/>
      <c r="G824" s="21">
        <f>G825</f>
        <v>3000</v>
      </c>
      <c r="H824" s="21">
        <f>H825</f>
        <v>3000</v>
      </c>
      <c r="I824" s="203"/>
    </row>
    <row r="825" spans="1:13" ht="31.5" x14ac:dyDescent="0.25">
      <c r="A825" s="58" t="s">
        <v>961</v>
      </c>
      <c r="B825" s="19">
        <v>907</v>
      </c>
      <c r="C825" s="24" t="s">
        <v>498</v>
      </c>
      <c r="D825" s="24" t="s">
        <v>241</v>
      </c>
      <c r="E825" s="7" t="s">
        <v>1286</v>
      </c>
      <c r="F825" s="24"/>
      <c r="G825" s="21">
        <f t="shared" ref="G825:H825" si="78">G826</f>
        <v>3000</v>
      </c>
      <c r="H825" s="21">
        <f t="shared" si="78"/>
        <v>3000</v>
      </c>
      <c r="I825" s="203"/>
    </row>
    <row r="826" spans="1:13" ht="15.75" x14ac:dyDescent="0.25">
      <c r="A826" s="29" t="s">
        <v>962</v>
      </c>
      <c r="B826" s="16">
        <v>907</v>
      </c>
      <c r="C826" s="20" t="s">
        <v>498</v>
      </c>
      <c r="D826" s="20" t="s">
        <v>241</v>
      </c>
      <c r="E826" s="40" t="s">
        <v>1287</v>
      </c>
      <c r="F826" s="20"/>
      <c r="G826" s="26">
        <f>G827+G829</f>
        <v>3000</v>
      </c>
      <c r="H826" s="26">
        <f>H827+H829</f>
        <v>3000</v>
      </c>
      <c r="I826" s="203"/>
    </row>
    <row r="827" spans="1:13" ht="78.75" x14ac:dyDescent="0.25">
      <c r="A827" s="25" t="s">
        <v>134</v>
      </c>
      <c r="B827" s="16">
        <v>907</v>
      </c>
      <c r="C827" s="20" t="s">
        <v>498</v>
      </c>
      <c r="D827" s="20" t="s">
        <v>241</v>
      </c>
      <c r="E827" s="40" t="s">
        <v>1287</v>
      </c>
      <c r="F827" s="20" t="s">
        <v>135</v>
      </c>
      <c r="G827" s="26">
        <f>G828</f>
        <v>2500</v>
      </c>
      <c r="H827" s="26">
        <f>H828</f>
        <v>2500</v>
      </c>
      <c r="I827" s="203"/>
    </row>
    <row r="828" spans="1:13" ht="31.5" x14ac:dyDescent="0.25">
      <c r="A828" s="25" t="s">
        <v>349</v>
      </c>
      <c r="B828" s="16">
        <v>907</v>
      </c>
      <c r="C828" s="20" t="s">
        <v>498</v>
      </c>
      <c r="D828" s="20" t="s">
        <v>241</v>
      </c>
      <c r="E828" s="40" t="s">
        <v>1287</v>
      </c>
      <c r="F828" s="20" t="s">
        <v>216</v>
      </c>
      <c r="G828" s="26">
        <v>2500</v>
      </c>
      <c r="H828" s="26">
        <v>2500</v>
      </c>
      <c r="I828" s="203"/>
    </row>
    <row r="829" spans="1:13" ht="31.5" x14ac:dyDescent="0.25">
      <c r="A829" s="29" t="s">
        <v>138</v>
      </c>
      <c r="B829" s="16">
        <v>907</v>
      </c>
      <c r="C829" s="20" t="s">
        <v>498</v>
      </c>
      <c r="D829" s="20" t="s">
        <v>241</v>
      </c>
      <c r="E829" s="40" t="s">
        <v>1287</v>
      </c>
      <c r="F829" s="20" t="s">
        <v>139</v>
      </c>
      <c r="G829" s="26">
        <f>G830</f>
        <v>500</v>
      </c>
      <c r="H829" s="26">
        <f>H830</f>
        <v>500</v>
      </c>
      <c r="I829" s="203"/>
    </row>
    <row r="830" spans="1:13" ht="31.5" x14ac:dyDescent="0.25">
      <c r="A830" s="29" t="s">
        <v>140</v>
      </c>
      <c r="B830" s="16">
        <v>907</v>
      </c>
      <c r="C830" s="20" t="s">
        <v>498</v>
      </c>
      <c r="D830" s="20" t="s">
        <v>241</v>
      </c>
      <c r="E830" s="40" t="s">
        <v>1287</v>
      </c>
      <c r="F830" s="20" t="s">
        <v>141</v>
      </c>
      <c r="G830" s="26">
        <f>500</f>
        <v>500</v>
      </c>
      <c r="H830" s="26">
        <f t="shared" si="73"/>
        <v>500</v>
      </c>
      <c r="I830" s="203"/>
    </row>
    <row r="831" spans="1:13" ht="31.5" x14ac:dyDescent="0.25">
      <c r="A831" s="19" t="s">
        <v>511</v>
      </c>
      <c r="B831" s="19">
        <v>908</v>
      </c>
      <c r="C831" s="20"/>
      <c r="D831" s="20"/>
      <c r="E831" s="20"/>
      <c r="F831" s="20"/>
      <c r="G831" s="21">
        <f>G846+G853+G874+G1038+G832</f>
        <v>88958.8</v>
      </c>
      <c r="H831" s="21">
        <f>H846+H853+H874+H1038+H832</f>
        <v>97071.150000000009</v>
      </c>
      <c r="I831" s="203"/>
      <c r="M831" s="22"/>
    </row>
    <row r="832" spans="1:13" ht="15.75" x14ac:dyDescent="0.25">
      <c r="A832" s="34" t="s">
        <v>124</v>
      </c>
      <c r="B832" s="19">
        <v>908</v>
      </c>
      <c r="C832" s="24" t="s">
        <v>125</v>
      </c>
      <c r="D832" s="20"/>
      <c r="E832" s="20"/>
      <c r="F832" s="20"/>
      <c r="G832" s="21">
        <f>G833</f>
        <v>41282.100000000006</v>
      </c>
      <c r="H832" s="21">
        <f t="shared" ref="G832:H834" si="79">H833</f>
        <v>41282.100000000006</v>
      </c>
      <c r="I832" s="203"/>
    </row>
    <row r="833" spans="1:9" ht="15.75" x14ac:dyDescent="0.25">
      <c r="A833" s="34" t="s">
        <v>146</v>
      </c>
      <c r="B833" s="19">
        <v>908</v>
      </c>
      <c r="C833" s="24" t="s">
        <v>125</v>
      </c>
      <c r="D833" s="24" t="s">
        <v>147</v>
      </c>
      <c r="E833" s="20"/>
      <c r="F833" s="20"/>
      <c r="G833" s="21">
        <f t="shared" si="79"/>
        <v>41282.100000000006</v>
      </c>
      <c r="H833" s="21">
        <f t="shared" si="79"/>
        <v>41282.100000000006</v>
      </c>
      <c r="I833" s="203"/>
    </row>
    <row r="834" spans="1:9" ht="15.75" x14ac:dyDescent="0.25">
      <c r="A834" s="23" t="s">
        <v>148</v>
      </c>
      <c r="B834" s="19">
        <v>908</v>
      </c>
      <c r="C834" s="24" t="s">
        <v>125</v>
      </c>
      <c r="D834" s="24" t="s">
        <v>147</v>
      </c>
      <c r="E834" s="24" t="s">
        <v>876</v>
      </c>
      <c r="F834" s="24"/>
      <c r="G834" s="44">
        <f t="shared" si="79"/>
        <v>41282.100000000006</v>
      </c>
      <c r="H834" s="44">
        <f t="shared" si="79"/>
        <v>41282.100000000006</v>
      </c>
      <c r="I834" s="203"/>
    </row>
    <row r="835" spans="1:9" ht="15.75" x14ac:dyDescent="0.25">
      <c r="A835" s="23" t="s">
        <v>964</v>
      </c>
      <c r="B835" s="19">
        <v>908</v>
      </c>
      <c r="C835" s="24" t="s">
        <v>125</v>
      </c>
      <c r="D835" s="24" t="s">
        <v>147</v>
      </c>
      <c r="E835" s="24" t="s">
        <v>963</v>
      </c>
      <c r="F835" s="24"/>
      <c r="G835" s="44">
        <f>G839+G836</f>
        <v>41282.100000000006</v>
      </c>
      <c r="H835" s="44">
        <f>H839+H836</f>
        <v>41282.100000000006</v>
      </c>
      <c r="I835" s="203"/>
    </row>
    <row r="836" spans="1:9" ht="47.25" x14ac:dyDescent="0.25">
      <c r="A836" s="25" t="s">
        <v>849</v>
      </c>
      <c r="B836" s="16">
        <v>908</v>
      </c>
      <c r="C836" s="20" t="s">
        <v>125</v>
      </c>
      <c r="D836" s="20" t="s">
        <v>147</v>
      </c>
      <c r="E836" s="20" t="s">
        <v>966</v>
      </c>
      <c r="F836" s="20"/>
      <c r="G836" s="26">
        <f>G837</f>
        <v>1072</v>
      </c>
      <c r="H836" s="26">
        <f>H837</f>
        <v>1072</v>
      </c>
      <c r="I836" s="203"/>
    </row>
    <row r="837" spans="1:9" ht="78.75" x14ac:dyDescent="0.25">
      <c r="A837" s="25" t="s">
        <v>134</v>
      </c>
      <c r="B837" s="16">
        <v>908</v>
      </c>
      <c r="C837" s="20" t="s">
        <v>125</v>
      </c>
      <c r="D837" s="20" t="s">
        <v>147</v>
      </c>
      <c r="E837" s="20" t="s">
        <v>966</v>
      </c>
      <c r="F837" s="20" t="s">
        <v>135</v>
      </c>
      <c r="G837" s="26">
        <f>G838</f>
        <v>1072</v>
      </c>
      <c r="H837" s="26">
        <f>H838</f>
        <v>1072</v>
      </c>
      <c r="I837" s="203"/>
    </row>
    <row r="838" spans="1:9" ht="31.5" x14ac:dyDescent="0.25">
      <c r="A838" s="25" t="s">
        <v>136</v>
      </c>
      <c r="B838" s="16">
        <v>908</v>
      </c>
      <c r="C838" s="20" t="s">
        <v>125</v>
      </c>
      <c r="D838" s="20" t="s">
        <v>147</v>
      </c>
      <c r="E838" s="20" t="s">
        <v>966</v>
      </c>
      <c r="F838" s="20" t="s">
        <v>216</v>
      </c>
      <c r="G838" s="26">
        <v>1072</v>
      </c>
      <c r="H838" s="26">
        <f t="shared" ref="H838:H901" si="80">G838</f>
        <v>1072</v>
      </c>
      <c r="I838" s="203"/>
    </row>
    <row r="839" spans="1:9" ht="15.75" x14ac:dyDescent="0.25">
      <c r="A839" s="25" t="s">
        <v>811</v>
      </c>
      <c r="B839" s="16">
        <v>908</v>
      </c>
      <c r="C839" s="20" t="s">
        <v>125</v>
      </c>
      <c r="D839" s="20" t="s">
        <v>147</v>
      </c>
      <c r="E839" s="20" t="s">
        <v>965</v>
      </c>
      <c r="F839" s="20"/>
      <c r="G839" s="26">
        <f>G840+G844+G842</f>
        <v>40210.100000000006</v>
      </c>
      <c r="H839" s="26">
        <f>H840+H844+H842</f>
        <v>40210.100000000006</v>
      </c>
      <c r="I839" s="203"/>
    </row>
    <row r="840" spans="1:9" ht="78.75" x14ac:dyDescent="0.25">
      <c r="A840" s="25" t="s">
        <v>134</v>
      </c>
      <c r="B840" s="16">
        <v>908</v>
      </c>
      <c r="C840" s="20" t="s">
        <v>125</v>
      </c>
      <c r="D840" s="20" t="s">
        <v>147</v>
      </c>
      <c r="E840" s="20" t="s">
        <v>965</v>
      </c>
      <c r="F840" s="20" t="s">
        <v>135</v>
      </c>
      <c r="G840" s="26">
        <f>G841</f>
        <v>32825.800000000003</v>
      </c>
      <c r="H840" s="26">
        <f>H841</f>
        <v>32825.800000000003</v>
      </c>
      <c r="I840" s="203"/>
    </row>
    <row r="841" spans="1:9" ht="31.5" x14ac:dyDescent="0.25">
      <c r="A841" s="46" t="s">
        <v>349</v>
      </c>
      <c r="B841" s="16">
        <v>908</v>
      </c>
      <c r="C841" s="20" t="s">
        <v>125</v>
      </c>
      <c r="D841" s="20" t="s">
        <v>147</v>
      </c>
      <c r="E841" s="20" t="s">
        <v>965</v>
      </c>
      <c r="F841" s="20" t="s">
        <v>216</v>
      </c>
      <c r="G841" s="26">
        <v>32825.800000000003</v>
      </c>
      <c r="H841" s="26">
        <f t="shared" si="80"/>
        <v>32825.800000000003</v>
      </c>
      <c r="I841" s="203"/>
    </row>
    <row r="842" spans="1:9" ht="31.5" x14ac:dyDescent="0.25">
      <c r="A842" s="25" t="s">
        <v>138</v>
      </c>
      <c r="B842" s="16">
        <v>908</v>
      </c>
      <c r="C842" s="20" t="s">
        <v>125</v>
      </c>
      <c r="D842" s="20" t="s">
        <v>147</v>
      </c>
      <c r="E842" s="20" t="s">
        <v>965</v>
      </c>
      <c r="F842" s="20" t="s">
        <v>139</v>
      </c>
      <c r="G842" s="26">
        <f>G843</f>
        <v>6963.3</v>
      </c>
      <c r="H842" s="26">
        <f>H843</f>
        <v>6963.3</v>
      </c>
      <c r="I842" s="203"/>
    </row>
    <row r="843" spans="1:9" ht="31.5" x14ac:dyDescent="0.25">
      <c r="A843" s="25" t="s">
        <v>140</v>
      </c>
      <c r="B843" s="16">
        <v>908</v>
      </c>
      <c r="C843" s="20" t="s">
        <v>125</v>
      </c>
      <c r="D843" s="20" t="s">
        <v>147</v>
      </c>
      <c r="E843" s="20" t="s">
        <v>965</v>
      </c>
      <c r="F843" s="20" t="s">
        <v>141</v>
      </c>
      <c r="G843" s="26">
        <v>6963.3</v>
      </c>
      <c r="H843" s="26">
        <f t="shared" si="80"/>
        <v>6963.3</v>
      </c>
      <c r="I843" s="203"/>
    </row>
    <row r="844" spans="1:9" ht="15.75" x14ac:dyDescent="0.25">
      <c r="A844" s="25" t="s">
        <v>142</v>
      </c>
      <c r="B844" s="16">
        <v>908</v>
      </c>
      <c r="C844" s="20" t="s">
        <v>125</v>
      </c>
      <c r="D844" s="20" t="s">
        <v>147</v>
      </c>
      <c r="E844" s="20" t="s">
        <v>965</v>
      </c>
      <c r="F844" s="20" t="s">
        <v>152</v>
      </c>
      <c r="G844" s="26">
        <f>G845</f>
        <v>421</v>
      </c>
      <c r="H844" s="26">
        <f>H845</f>
        <v>421</v>
      </c>
      <c r="I844" s="203"/>
    </row>
    <row r="845" spans="1:9" ht="15.75" x14ac:dyDescent="0.25">
      <c r="A845" s="25" t="s">
        <v>714</v>
      </c>
      <c r="B845" s="16">
        <v>908</v>
      </c>
      <c r="C845" s="20" t="s">
        <v>125</v>
      </c>
      <c r="D845" s="20" t="s">
        <v>147</v>
      </c>
      <c r="E845" s="20" t="s">
        <v>965</v>
      </c>
      <c r="F845" s="20" t="s">
        <v>145</v>
      </c>
      <c r="G845" s="26">
        <f>421</f>
        <v>421</v>
      </c>
      <c r="H845" s="26">
        <f t="shared" si="80"/>
        <v>421</v>
      </c>
      <c r="I845" s="203"/>
    </row>
    <row r="846" spans="1:9" ht="31.5" x14ac:dyDescent="0.25">
      <c r="A846" s="23" t="s">
        <v>229</v>
      </c>
      <c r="B846" s="19">
        <v>908</v>
      </c>
      <c r="C846" s="24" t="s">
        <v>222</v>
      </c>
      <c r="D846" s="24"/>
      <c r="E846" s="24"/>
      <c r="F846" s="24"/>
      <c r="G846" s="21">
        <f t="shared" ref="G846:H849" si="81">G847</f>
        <v>107</v>
      </c>
      <c r="H846" s="21">
        <f t="shared" si="81"/>
        <v>107</v>
      </c>
      <c r="I846" s="203"/>
    </row>
    <row r="847" spans="1:9" ht="47.25" x14ac:dyDescent="0.25">
      <c r="A847" s="23" t="s">
        <v>1362</v>
      </c>
      <c r="B847" s="19">
        <v>908</v>
      </c>
      <c r="C847" s="24" t="s">
        <v>222</v>
      </c>
      <c r="D847" s="24" t="s">
        <v>251</v>
      </c>
      <c r="E847" s="24"/>
      <c r="F847" s="24"/>
      <c r="G847" s="21">
        <f t="shared" si="81"/>
        <v>107</v>
      </c>
      <c r="H847" s="21">
        <f t="shared" si="81"/>
        <v>107</v>
      </c>
      <c r="I847" s="203"/>
    </row>
    <row r="848" spans="1:9" ht="15.75" x14ac:dyDescent="0.25">
      <c r="A848" s="23" t="s">
        <v>148</v>
      </c>
      <c r="B848" s="19">
        <v>908</v>
      </c>
      <c r="C848" s="24" t="s">
        <v>222</v>
      </c>
      <c r="D848" s="24" t="s">
        <v>251</v>
      </c>
      <c r="E848" s="24" t="s">
        <v>876</v>
      </c>
      <c r="F848" s="24"/>
      <c r="G848" s="21">
        <f t="shared" si="81"/>
        <v>107</v>
      </c>
      <c r="H848" s="21">
        <f t="shared" si="81"/>
        <v>107</v>
      </c>
      <c r="I848" s="203"/>
    </row>
    <row r="849" spans="1:9" ht="31.5" x14ac:dyDescent="0.25">
      <c r="A849" s="23" t="s">
        <v>880</v>
      </c>
      <c r="B849" s="19">
        <v>908</v>
      </c>
      <c r="C849" s="24" t="s">
        <v>222</v>
      </c>
      <c r="D849" s="24" t="s">
        <v>251</v>
      </c>
      <c r="E849" s="24" t="s">
        <v>875</v>
      </c>
      <c r="F849" s="24"/>
      <c r="G849" s="21">
        <f t="shared" si="81"/>
        <v>107</v>
      </c>
      <c r="H849" s="21">
        <f t="shared" si="81"/>
        <v>107</v>
      </c>
      <c r="I849" s="203"/>
    </row>
    <row r="850" spans="1:9" ht="15.75" x14ac:dyDescent="0.25">
      <c r="A850" s="25" t="s">
        <v>237</v>
      </c>
      <c r="B850" s="16">
        <v>908</v>
      </c>
      <c r="C850" s="20" t="s">
        <v>222</v>
      </c>
      <c r="D850" s="20" t="s">
        <v>251</v>
      </c>
      <c r="E850" s="20" t="s">
        <v>886</v>
      </c>
      <c r="F850" s="20"/>
      <c r="G850" s="26">
        <f>G851</f>
        <v>107</v>
      </c>
      <c r="H850" s="26">
        <f>H851</f>
        <v>107</v>
      </c>
      <c r="I850" s="203"/>
    </row>
    <row r="851" spans="1:9" ht="31.5" x14ac:dyDescent="0.25">
      <c r="A851" s="25" t="s">
        <v>138</v>
      </c>
      <c r="B851" s="16">
        <v>908</v>
      </c>
      <c r="C851" s="20" t="s">
        <v>222</v>
      </c>
      <c r="D851" s="20" t="s">
        <v>251</v>
      </c>
      <c r="E851" s="20" t="s">
        <v>886</v>
      </c>
      <c r="F851" s="20" t="s">
        <v>139</v>
      </c>
      <c r="G851" s="26">
        <f>G852</f>
        <v>107</v>
      </c>
      <c r="H851" s="26">
        <f>H852</f>
        <v>107</v>
      </c>
      <c r="I851" s="203"/>
    </row>
    <row r="852" spans="1:9" ht="31.5" x14ac:dyDescent="0.25">
      <c r="A852" s="25" t="s">
        <v>140</v>
      </c>
      <c r="B852" s="16">
        <v>908</v>
      </c>
      <c r="C852" s="20" t="s">
        <v>222</v>
      </c>
      <c r="D852" s="20" t="s">
        <v>251</v>
      </c>
      <c r="E852" s="20" t="s">
        <v>886</v>
      </c>
      <c r="F852" s="20" t="s">
        <v>141</v>
      </c>
      <c r="G852" s="26">
        <f>107</f>
        <v>107</v>
      </c>
      <c r="H852" s="26">
        <f t="shared" si="80"/>
        <v>107</v>
      </c>
      <c r="I852" s="203"/>
    </row>
    <row r="853" spans="1:9" ht="15.75" x14ac:dyDescent="0.25">
      <c r="A853" s="23" t="s">
        <v>239</v>
      </c>
      <c r="B853" s="19">
        <v>908</v>
      </c>
      <c r="C853" s="24" t="s">
        <v>157</v>
      </c>
      <c r="D853" s="24"/>
      <c r="E853" s="24"/>
      <c r="F853" s="24"/>
      <c r="G853" s="21">
        <f>G854+G860</f>
        <v>5577</v>
      </c>
      <c r="H853" s="21">
        <f>H854+H860</f>
        <v>5577</v>
      </c>
      <c r="I853" s="203"/>
    </row>
    <row r="854" spans="1:9" ht="15.75" x14ac:dyDescent="0.25">
      <c r="A854" s="23" t="s">
        <v>512</v>
      </c>
      <c r="B854" s="19">
        <v>908</v>
      </c>
      <c r="C854" s="24" t="s">
        <v>157</v>
      </c>
      <c r="D854" s="24" t="s">
        <v>306</v>
      </c>
      <c r="E854" s="24"/>
      <c r="F854" s="24"/>
      <c r="G854" s="21">
        <f t="shared" ref="G854:H856" si="82">G855</f>
        <v>3258</v>
      </c>
      <c r="H854" s="21">
        <f t="shared" si="82"/>
        <v>3258</v>
      </c>
      <c r="I854" s="203"/>
    </row>
    <row r="855" spans="1:9" ht="15.75" x14ac:dyDescent="0.25">
      <c r="A855" s="23" t="s">
        <v>148</v>
      </c>
      <c r="B855" s="19">
        <v>908</v>
      </c>
      <c r="C855" s="24" t="s">
        <v>157</v>
      </c>
      <c r="D855" s="24" t="s">
        <v>306</v>
      </c>
      <c r="E855" s="24" t="s">
        <v>876</v>
      </c>
      <c r="F855" s="24"/>
      <c r="G855" s="21">
        <f t="shared" si="82"/>
        <v>3258</v>
      </c>
      <c r="H855" s="21">
        <f t="shared" si="82"/>
        <v>3258</v>
      </c>
      <c r="I855" s="203"/>
    </row>
    <row r="856" spans="1:9" ht="31.5" x14ac:dyDescent="0.25">
      <c r="A856" s="23" t="s">
        <v>880</v>
      </c>
      <c r="B856" s="19">
        <v>908</v>
      </c>
      <c r="C856" s="24" t="s">
        <v>157</v>
      </c>
      <c r="D856" s="24" t="s">
        <v>306</v>
      </c>
      <c r="E856" s="24" t="s">
        <v>875</v>
      </c>
      <c r="F856" s="24"/>
      <c r="G856" s="21">
        <f t="shared" si="82"/>
        <v>3258</v>
      </c>
      <c r="H856" s="21">
        <f t="shared" si="82"/>
        <v>3258</v>
      </c>
      <c r="I856" s="203"/>
    </row>
    <row r="857" spans="1:9" ht="15.75" x14ac:dyDescent="0.25">
      <c r="A857" s="25" t="s">
        <v>513</v>
      </c>
      <c r="B857" s="16">
        <v>908</v>
      </c>
      <c r="C857" s="20" t="s">
        <v>157</v>
      </c>
      <c r="D857" s="20" t="s">
        <v>306</v>
      </c>
      <c r="E857" s="20" t="s">
        <v>967</v>
      </c>
      <c r="F857" s="20"/>
      <c r="G857" s="26">
        <f>G858</f>
        <v>3258</v>
      </c>
      <c r="H857" s="26">
        <f>H858</f>
        <v>3258</v>
      </c>
      <c r="I857" s="203"/>
    </row>
    <row r="858" spans="1:9" ht="31.5" x14ac:dyDescent="0.25">
      <c r="A858" s="25" t="s">
        <v>138</v>
      </c>
      <c r="B858" s="16">
        <v>908</v>
      </c>
      <c r="C858" s="20" t="s">
        <v>157</v>
      </c>
      <c r="D858" s="20" t="s">
        <v>306</v>
      </c>
      <c r="E858" s="20" t="s">
        <v>967</v>
      </c>
      <c r="F858" s="20" t="s">
        <v>139</v>
      </c>
      <c r="G858" s="26">
        <f>G859</f>
        <v>3258</v>
      </c>
      <c r="H858" s="26">
        <f>H859</f>
        <v>3258</v>
      </c>
      <c r="I858" s="203"/>
    </row>
    <row r="859" spans="1:9" ht="31.5" x14ac:dyDescent="0.25">
      <c r="A859" s="25" t="s">
        <v>140</v>
      </c>
      <c r="B859" s="16">
        <v>908</v>
      </c>
      <c r="C859" s="20" t="s">
        <v>157</v>
      </c>
      <c r="D859" s="20" t="s">
        <v>306</v>
      </c>
      <c r="E859" s="20" t="s">
        <v>967</v>
      </c>
      <c r="F859" s="20" t="s">
        <v>141</v>
      </c>
      <c r="G859" s="26">
        <v>3258</v>
      </c>
      <c r="H859" s="26">
        <f t="shared" si="80"/>
        <v>3258</v>
      </c>
      <c r="I859" s="203"/>
    </row>
    <row r="860" spans="1:9" ht="15.75" x14ac:dyDescent="0.25">
      <c r="A860" s="23" t="s">
        <v>515</v>
      </c>
      <c r="B860" s="19">
        <v>908</v>
      </c>
      <c r="C860" s="24" t="s">
        <v>157</v>
      </c>
      <c r="D860" s="24" t="s">
        <v>226</v>
      </c>
      <c r="E860" s="20"/>
      <c r="F860" s="24"/>
      <c r="G860" s="21">
        <f>G861</f>
        <v>2319</v>
      </c>
      <c r="H860" s="21">
        <f>H861</f>
        <v>2319</v>
      </c>
      <c r="I860" s="203"/>
    </row>
    <row r="861" spans="1:9" ht="47.25" x14ac:dyDescent="0.25">
      <c r="A861" s="34" t="s">
        <v>1387</v>
      </c>
      <c r="B861" s="19">
        <v>908</v>
      </c>
      <c r="C861" s="24" t="s">
        <v>157</v>
      </c>
      <c r="D861" s="24" t="s">
        <v>226</v>
      </c>
      <c r="E861" s="24" t="s">
        <v>517</v>
      </c>
      <c r="F861" s="24"/>
      <c r="G861" s="21">
        <f>G867+G862</f>
        <v>2319</v>
      </c>
      <c r="H861" s="21">
        <f>H867+H862</f>
        <v>2319</v>
      </c>
      <c r="I861" s="203"/>
    </row>
    <row r="862" spans="1:9" ht="31.5" hidden="1" x14ac:dyDescent="0.25">
      <c r="A862" s="34" t="s">
        <v>1009</v>
      </c>
      <c r="B862" s="19">
        <v>908</v>
      </c>
      <c r="C862" s="24" t="s">
        <v>157</v>
      </c>
      <c r="D862" s="24" t="s">
        <v>226</v>
      </c>
      <c r="E862" s="7" t="s">
        <v>968</v>
      </c>
      <c r="F862" s="24"/>
      <c r="G862" s="21">
        <f t="shared" ref="G862:H864" si="83">G863</f>
        <v>0</v>
      </c>
      <c r="H862" s="21">
        <f t="shared" si="83"/>
        <v>0</v>
      </c>
      <c r="I862" s="203"/>
    </row>
    <row r="863" spans="1:9" ht="15.75" hidden="1" x14ac:dyDescent="0.25">
      <c r="A863" s="29" t="s">
        <v>1011</v>
      </c>
      <c r="B863" s="16">
        <v>908</v>
      </c>
      <c r="C863" s="20" t="s">
        <v>157</v>
      </c>
      <c r="D863" s="20" t="s">
        <v>226</v>
      </c>
      <c r="E863" s="40" t="s">
        <v>1010</v>
      </c>
      <c r="F863" s="20"/>
      <c r="G863" s="26">
        <f t="shared" si="83"/>
        <v>0</v>
      </c>
      <c r="H863" s="26">
        <f t="shared" si="83"/>
        <v>0</v>
      </c>
      <c r="I863" s="203"/>
    </row>
    <row r="864" spans="1:9" ht="31.5" hidden="1" x14ac:dyDescent="0.25">
      <c r="A864" s="25" t="s">
        <v>138</v>
      </c>
      <c r="B864" s="16">
        <v>908</v>
      </c>
      <c r="C864" s="20" t="s">
        <v>157</v>
      </c>
      <c r="D864" s="20" t="s">
        <v>226</v>
      </c>
      <c r="E864" s="40" t="s">
        <v>1010</v>
      </c>
      <c r="F864" s="20" t="s">
        <v>139</v>
      </c>
      <c r="G864" s="26">
        <f t="shared" si="83"/>
        <v>0</v>
      </c>
      <c r="H864" s="26">
        <f t="shared" si="83"/>
        <v>0</v>
      </c>
      <c r="I864" s="203"/>
    </row>
    <row r="865" spans="1:9" ht="31.5" hidden="1" x14ac:dyDescent="0.25">
      <c r="A865" s="25" t="s">
        <v>140</v>
      </c>
      <c r="B865" s="16">
        <v>908</v>
      </c>
      <c r="C865" s="20" t="s">
        <v>157</v>
      </c>
      <c r="D865" s="20" t="s">
        <v>226</v>
      </c>
      <c r="E865" s="40" t="s">
        <v>1010</v>
      </c>
      <c r="F865" s="20" t="s">
        <v>141</v>
      </c>
      <c r="G865" s="26">
        <v>0</v>
      </c>
      <c r="H865" s="26">
        <v>0</v>
      </c>
      <c r="I865" s="203"/>
    </row>
    <row r="866" spans="1:9" ht="31.5" x14ac:dyDescent="0.25">
      <c r="A866" s="34" t="s">
        <v>1071</v>
      </c>
      <c r="B866" s="19">
        <v>908</v>
      </c>
      <c r="C866" s="24" t="s">
        <v>157</v>
      </c>
      <c r="D866" s="24" t="s">
        <v>226</v>
      </c>
      <c r="E866" s="24" t="s">
        <v>969</v>
      </c>
      <c r="F866" s="24"/>
      <c r="G866" s="21">
        <f t="shared" ref="G866:H870" si="84">G867</f>
        <v>2319</v>
      </c>
      <c r="H866" s="21">
        <f t="shared" si="84"/>
        <v>2319</v>
      </c>
      <c r="I866" s="203"/>
    </row>
    <row r="867" spans="1:9" ht="15.75" x14ac:dyDescent="0.25">
      <c r="A867" s="29" t="s">
        <v>518</v>
      </c>
      <c r="B867" s="16">
        <v>908</v>
      </c>
      <c r="C867" s="20" t="s">
        <v>157</v>
      </c>
      <c r="D867" s="20" t="s">
        <v>226</v>
      </c>
      <c r="E867" s="40" t="s">
        <v>1012</v>
      </c>
      <c r="F867" s="20"/>
      <c r="G867" s="26">
        <f>G870+G868</f>
        <v>2319</v>
      </c>
      <c r="H867" s="26">
        <f>H870+H868</f>
        <v>2319</v>
      </c>
      <c r="I867" s="203"/>
    </row>
    <row r="868" spans="1:9" s="202" customFormat="1" ht="78.75" x14ac:dyDescent="0.25">
      <c r="A868" s="25" t="s">
        <v>134</v>
      </c>
      <c r="B868" s="16">
        <v>908</v>
      </c>
      <c r="C868" s="20" t="s">
        <v>157</v>
      </c>
      <c r="D868" s="20" t="s">
        <v>226</v>
      </c>
      <c r="E868" s="40" t="s">
        <v>1012</v>
      </c>
      <c r="F868" s="20" t="s">
        <v>135</v>
      </c>
      <c r="G868" s="26">
        <f>G869</f>
        <v>1807</v>
      </c>
      <c r="H868" s="26">
        <f>H869</f>
        <v>1807</v>
      </c>
      <c r="I868" s="203"/>
    </row>
    <row r="869" spans="1:9" s="202" customFormat="1" ht="24" customHeight="1" x14ac:dyDescent="0.25">
      <c r="A869" s="25" t="s">
        <v>349</v>
      </c>
      <c r="B869" s="16">
        <v>908</v>
      </c>
      <c r="C869" s="20" t="s">
        <v>157</v>
      </c>
      <c r="D869" s="20" t="s">
        <v>226</v>
      </c>
      <c r="E869" s="40" t="s">
        <v>1012</v>
      </c>
      <c r="F869" s="20" t="s">
        <v>216</v>
      </c>
      <c r="G869" s="26">
        <v>1807</v>
      </c>
      <c r="H869" s="26">
        <f>G869</f>
        <v>1807</v>
      </c>
      <c r="I869" s="203"/>
    </row>
    <row r="870" spans="1:9" ht="31.5" x14ac:dyDescent="0.25">
      <c r="A870" s="25" t="s">
        <v>138</v>
      </c>
      <c r="B870" s="16">
        <v>908</v>
      </c>
      <c r="C870" s="20" t="s">
        <v>157</v>
      </c>
      <c r="D870" s="20" t="s">
        <v>226</v>
      </c>
      <c r="E870" s="40" t="s">
        <v>1012</v>
      </c>
      <c r="F870" s="20" t="s">
        <v>139</v>
      </c>
      <c r="G870" s="26">
        <f t="shared" si="84"/>
        <v>512</v>
      </c>
      <c r="H870" s="26">
        <f t="shared" si="84"/>
        <v>512</v>
      </c>
      <c r="I870" s="203"/>
    </row>
    <row r="871" spans="1:9" ht="31.5" x14ac:dyDescent="0.25">
      <c r="A871" s="25" t="s">
        <v>140</v>
      </c>
      <c r="B871" s="16">
        <v>908</v>
      </c>
      <c r="C871" s="20" t="s">
        <v>157</v>
      </c>
      <c r="D871" s="20" t="s">
        <v>226</v>
      </c>
      <c r="E871" s="40" t="s">
        <v>1012</v>
      </c>
      <c r="F871" s="20" t="s">
        <v>141</v>
      </c>
      <c r="G871" s="26">
        <f>1793+350-761+88.8-958.8</f>
        <v>512</v>
      </c>
      <c r="H871" s="26">
        <f>G871</f>
        <v>512</v>
      </c>
      <c r="I871" s="203"/>
    </row>
    <row r="872" spans="1:9" ht="15.75" hidden="1" x14ac:dyDescent="0.25">
      <c r="A872" s="25" t="s">
        <v>142</v>
      </c>
      <c r="B872" s="16">
        <v>908</v>
      </c>
      <c r="C872" s="20" t="s">
        <v>157</v>
      </c>
      <c r="D872" s="20" t="s">
        <v>226</v>
      </c>
      <c r="E872" s="40" t="s">
        <v>1012</v>
      </c>
      <c r="F872" s="20" t="s">
        <v>152</v>
      </c>
      <c r="G872" s="26">
        <f>'Пр.4 ведом.21'!G860</f>
        <v>0</v>
      </c>
      <c r="H872" s="26">
        <f t="shared" si="80"/>
        <v>0</v>
      </c>
      <c r="I872" s="203"/>
    </row>
    <row r="873" spans="1:9" ht="15.75" hidden="1" x14ac:dyDescent="0.25">
      <c r="A873" s="25" t="s">
        <v>575</v>
      </c>
      <c r="B873" s="16">
        <v>908</v>
      </c>
      <c r="C873" s="20" t="s">
        <v>157</v>
      </c>
      <c r="D873" s="20" t="s">
        <v>226</v>
      </c>
      <c r="E873" s="40" t="s">
        <v>1012</v>
      </c>
      <c r="F873" s="20" t="s">
        <v>145</v>
      </c>
      <c r="G873" s="26">
        <f>'Пр.4 ведом.21'!G861</f>
        <v>0</v>
      </c>
      <c r="H873" s="26">
        <f t="shared" si="80"/>
        <v>0</v>
      </c>
      <c r="I873" s="203"/>
    </row>
    <row r="874" spans="1:9" ht="15.75" x14ac:dyDescent="0.25">
      <c r="A874" s="23" t="s">
        <v>397</v>
      </c>
      <c r="B874" s="19">
        <v>908</v>
      </c>
      <c r="C874" s="24" t="s">
        <v>241</v>
      </c>
      <c r="D874" s="24"/>
      <c r="E874" s="24"/>
      <c r="F874" s="24"/>
      <c r="G874" s="21">
        <f>G875+G889+G953+G1003</f>
        <v>41905.699999999997</v>
      </c>
      <c r="H874" s="21">
        <f>H875+H889+H953+H1003</f>
        <v>50018.05</v>
      </c>
      <c r="I874" s="203"/>
    </row>
    <row r="875" spans="1:9" ht="15.75" x14ac:dyDescent="0.25">
      <c r="A875" s="23" t="s">
        <v>398</v>
      </c>
      <c r="B875" s="19">
        <v>908</v>
      </c>
      <c r="C875" s="24" t="s">
        <v>241</v>
      </c>
      <c r="D875" s="24" t="s">
        <v>125</v>
      </c>
      <c r="E875" s="24"/>
      <c r="F875" s="24"/>
      <c r="G875" s="21">
        <f>G876</f>
        <v>5790</v>
      </c>
      <c r="H875" s="21">
        <f>H876</f>
        <v>5790</v>
      </c>
      <c r="I875" s="203"/>
    </row>
    <row r="876" spans="1:9" ht="15.75" x14ac:dyDescent="0.25">
      <c r="A876" s="23" t="s">
        <v>148</v>
      </c>
      <c r="B876" s="19">
        <v>908</v>
      </c>
      <c r="C876" s="24" t="s">
        <v>241</v>
      </c>
      <c r="D876" s="24" t="s">
        <v>125</v>
      </c>
      <c r="E876" s="24" t="s">
        <v>876</v>
      </c>
      <c r="F876" s="24"/>
      <c r="G876" s="21">
        <f>G877</f>
        <v>5790</v>
      </c>
      <c r="H876" s="21">
        <f>H877</f>
        <v>5790</v>
      </c>
      <c r="I876" s="203"/>
    </row>
    <row r="877" spans="1:9" ht="31.5" x14ac:dyDescent="0.25">
      <c r="A877" s="23" t="s">
        <v>880</v>
      </c>
      <c r="B877" s="19">
        <v>908</v>
      </c>
      <c r="C877" s="24" t="s">
        <v>241</v>
      </c>
      <c r="D877" s="24" t="s">
        <v>125</v>
      </c>
      <c r="E877" s="24" t="s">
        <v>875</v>
      </c>
      <c r="F877" s="24"/>
      <c r="G877" s="21">
        <f>G886+G883+G878</f>
        <v>5790</v>
      </c>
      <c r="H877" s="21">
        <f>H886+H883+H878</f>
        <v>5790</v>
      </c>
      <c r="I877" s="203"/>
    </row>
    <row r="878" spans="1:9" ht="15.75" hidden="1" x14ac:dyDescent="0.25">
      <c r="A878" s="25" t="s">
        <v>522</v>
      </c>
      <c r="B878" s="16">
        <v>908</v>
      </c>
      <c r="C878" s="20" t="s">
        <v>784</v>
      </c>
      <c r="D878" s="20" t="s">
        <v>125</v>
      </c>
      <c r="E878" s="20" t="s">
        <v>970</v>
      </c>
      <c r="F878" s="24"/>
      <c r="G878" s="26">
        <f>'Пр.4 ведом.21'!G866</f>
        <v>0</v>
      </c>
      <c r="H878" s="26">
        <f t="shared" si="80"/>
        <v>0</v>
      </c>
      <c r="I878" s="203"/>
    </row>
    <row r="879" spans="1:9" ht="31.5" hidden="1" x14ac:dyDescent="0.25">
      <c r="A879" s="25" t="s">
        <v>138</v>
      </c>
      <c r="B879" s="16">
        <v>908</v>
      </c>
      <c r="C879" s="20" t="s">
        <v>241</v>
      </c>
      <c r="D879" s="20" t="s">
        <v>125</v>
      </c>
      <c r="E879" s="20" t="s">
        <v>970</v>
      </c>
      <c r="F879" s="20" t="s">
        <v>139</v>
      </c>
      <c r="G879" s="26">
        <f>'Пр.4 ведом.21'!G867</f>
        <v>0</v>
      </c>
      <c r="H879" s="26">
        <f t="shared" si="80"/>
        <v>0</v>
      </c>
      <c r="I879" s="203"/>
    </row>
    <row r="880" spans="1:9" ht="31.5" hidden="1" x14ac:dyDescent="0.25">
      <c r="A880" s="25" t="s">
        <v>140</v>
      </c>
      <c r="B880" s="16">
        <v>908</v>
      </c>
      <c r="C880" s="20" t="s">
        <v>241</v>
      </c>
      <c r="D880" s="20" t="s">
        <v>125</v>
      </c>
      <c r="E880" s="20" t="s">
        <v>970</v>
      </c>
      <c r="F880" s="20" t="s">
        <v>141</v>
      </c>
      <c r="G880" s="26">
        <f>'Пр.4 ведом.21'!G868</f>
        <v>0</v>
      </c>
      <c r="H880" s="26">
        <f t="shared" si="80"/>
        <v>0</v>
      </c>
      <c r="I880" s="203"/>
    </row>
    <row r="881" spans="1:9" ht="15.75" hidden="1" x14ac:dyDescent="0.25">
      <c r="A881" s="25" t="s">
        <v>142</v>
      </c>
      <c r="B881" s="16">
        <v>908</v>
      </c>
      <c r="C881" s="20" t="s">
        <v>241</v>
      </c>
      <c r="D881" s="20" t="s">
        <v>125</v>
      </c>
      <c r="E881" s="20" t="s">
        <v>970</v>
      </c>
      <c r="F881" s="20" t="s">
        <v>152</v>
      </c>
      <c r="G881" s="26">
        <f>'Пр.4 ведом.21'!G869</f>
        <v>0</v>
      </c>
      <c r="H881" s="26">
        <f t="shared" si="80"/>
        <v>0</v>
      </c>
      <c r="I881" s="203"/>
    </row>
    <row r="882" spans="1:9" ht="47.25" hidden="1" x14ac:dyDescent="0.25">
      <c r="A882" s="25" t="s">
        <v>191</v>
      </c>
      <c r="B882" s="16">
        <v>908</v>
      </c>
      <c r="C882" s="20" t="s">
        <v>241</v>
      </c>
      <c r="D882" s="20" t="s">
        <v>125</v>
      </c>
      <c r="E882" s="20" t="s">
        <v>970</v>
      </c>
      <c r="F882" s="20" t="s">
        <v>167</v>
      </c>
      <c r="G882" s="26">
        <f>'Пр.4 ведом.21'!G870</f>
        <v>0</v>
      </c>
      <c r="H882" s="26">
        <f t="shared" si="80"/>
        <v>0</v>
      </c>
      <c r="I882" s="203"/>
    </row>
    <row r="883" spans="1:9" ht="31.5" x14ac:dyDescent="0.25">
      <c r="A883" s="29" t="s">
        <v>405</v>
      </c>
      <c r="B883" s="16">
        <v>908</v>
      </c>
      <c r="C883" s="20" t="s">
        <v>241</v>
      </c>
      <c r="D883" s="20" t="s">
        <v>125</v>
      </c>
      <c r="E883" s="20" t="s">
        <v>971</v>
      </c>
      <c r="F883" s="24"/>
      <c r="G883" s="26">
        <f>G884</f>
        <v>4650</v>
      </c>
      <c r="H883" s="26">
        <f>H884</f>
        <v>4650</v>
      </c>
      <c r="I883" s="203"/>
    </row>
    <row r="884" spans="1:9" ht="31.5" x14ac:dyDescent="0.25">
      <c r="A884" s="25" t="s">
        <v>138</v>
      </c>
      <c r="B884" s="16">
        <v>908</v>
      </c>
      <c r="C884" s="20" t="s">
        <v>241</v>
      </c>
      <c r="D884" s="20" t="s">
        <v>125</v>
      </c>
      <c r="E884" s="20" t="s">
        <v>971</v>
      </c>
      <c r="F884" s="20" t="s">
        <v>139</v>
      </c>
      <c r="G884" s="26">
        <f>G885</f>
        <v>4650</v>
      </c>
      <c r="H884" s="26">
        <f>H885</f>
        <v>4650</v>
      </c>
      <c r="I884" s="203"/>
    </row>
    <row r="885" spans="1:9" ht="31.5" x14ac:dyDescent="0.25">
      <c r="A885" s="25" t="s">
        <v>140</v>
      </c>
      <c r="B885" s="16">
        <v>908</v>
      </c>
      <c r="C885" s="20" t="s">
        <v>241</v>
      </c>
      <c r="D885" s="20" t="s">
        <v>125</v>
      </c>
      <c r="E885" s="20" t="s">
        <v>971</v>
      </c>
      <c r="F885" s="20" t="s">
        <v>141</v>
      </c>
      <c r="G885" s="26">
        <v>4650</v>
      </c>
      <c r="H885" s="26">
        <f t="shared" si="80"/>
        <v>4650</v>
      </c>
      <c r="I885" s="203"/>
    </row>
    <row r="886" spans="1:9" ht="31.5" x14ac:dyDescent="0.25">
      <c r="A886" s="29" t="s">
        <v>942</v>
      </c>
      <c r="B886" s="16">
        <v>908</v>
      </c>
      <c r="C886" s="20" t="s">
        <v>241</v>
      </c>
      <c r="D886" s="20" t="s">
        <v>125</v>
      </c>
      <c r="E886" s="20" t="s">
        <v>972</v>
      </c>
      <c r="F886" s="24"/>
      <c r="G886" s="26">
        <f>G887</f>
        <v>1140</v>
      </c>
      <c r="H886" s="26">
        <f>H887</f>
        <v>1140</v>
      </c>
      <c r="I886" s="203"/>
    </row>
    <row r="887" spans="1:9" ht="31.5" x14ac:dyDescent="0.25">
      <c r="A887" s="25" t="s">
        <v>138</v>
      </c>
      <c r="B887" s="16">
        <v>908</v>
      </c>
      <c r="C887" s="20" t="s">
        <v>241</v>
      </c>
      <c r="D887" s="20" t="s">
        <v>125</v>
      </c>
      <c r="E887" s="20" t="s">
        <v>972</v>
      </c>
      <c r="F887" s="20" t="s">
        <v>139</v>
      </c>
      <c r="G887" s="26">
        <f>G888</f>
        <v>1140</v>
      </c>
      <c r="H887" s="26">
        <f>H888</f>
        <v>1140</v>
      </c>
      <c r="I887" s="203"/>
    </row>
    <row r="888" spans="1:9" ht="31.5" x14ac:dyDescent="0.25">
      <c r="A888" s="25" t="s">
        <v>140</v>
      </c>
      <c r="B888" s="16">
        <v>908</v>
      </c>
      <c r="C888" s="20" t="s">
        <v>241</v>
      </c>
      <c r="D888" s="20" t="s">
        <v>125</v>
      </c>
      <c r="E888" s="20" t="s">
        <v>972</v>
      </c>
      <c r="F888" s="20" t="s">
        <v>141</v>
      </c>
      <c r="G888" s="26">
        <f>1140</f>
        <v>1140</v>
      </c>
      <c r="H888" s="26">
        <f t="shared" si="80"/>
        <v>1140</v>
      </c>
      <c r="I888" s="203"/>
    </row>
    <row r="889" spans="1:9" ht="15.75" x14ac:dyDescent="0.25">
      <c r="A889" s="23" t="s">
        <v>524</v>
      </c>
      <c r="B889" s="19">
        <v>908</v>
      </c>
      <c r="C889" s="24" t="s">
        <v>241</v>
      </c>
      <c r="D889" s="24" t="s">
        <v>220</v>
      </c>
      <c r="E889" s="24"/>
      <c r="F889" s="24"/>
      <c r="G889" s="21">
        <f>G890+G919+G948</f>
        <v>7001.199999999998</v>
      </c>
      <c r="H889" s="21">
        <f>H890+H919+H948</f>
        <v>14860.550000000001</v>
      </c>
      <c r="I889" s="203"/>
    </row>
    <row r="890" spans="1:9" ht="15.75" x14ac:dyDescent="0.25">
      <c r="A890" s="23" t="s">
        <v>148</v>
      </c>
      <c r="B890" s="19">
        <v>908</v>
      </c>
      <c r="C890" s="24" t="s">
        <v>241</v>
      </c>
      <c r="D890" s="24" t="s">
        <v>220</v>
      </c>
      <c r="E890" s="24" t="s">
        <v>876</v>
      </c>
      <c r="F890" s="24"/>
      <c r="G890" s="21">
        <f>G891+G902</f>
        <v>5707.199999999998</v>
      </c>
      <c r="H890" s="21">
        <f>H891+H902</f>
        <v>13555.550000000001</v>
      </c>
      <c r="I890" s="203"/>
    </row>
    <row r="891" spans="1:9" ht="31.5" x14ac:dyDescent="0.25">
      <c r="A891" s="23" t="s">
        <v>880</v>
      </c>
      <c r="B891" s="19">
        <v>908</v>
      </c>
      <c r="C891" s="24" t="s">
        <v>241</v>
      </c>
      <c r="D891" s="24" t="s">
        <v>220</v>
      </c>
      <c r="E891" s="24" t="s">
        <v>875</v>
      </c>
      <c r="F891" s="24"/>
      <c r="G891" s="21">
        <f>G892+G897</f>
        <v>5707.199999999998</v>
      </c>
      <c r="H891" s="21">
        <f>H892+H897</f>
        <v>13555.550000000001</v>
      </c>
      <c r="I891" s="203"/>
    </row>
    <row r="892" spans="1:9" ht="15.75" hidden="1" x14ac:dyDescent="0.25">
      <c r="A892" s="35" t="s">
        <v>544</v>
      </c>
      <c r="B892" s="16">
        <v>908</v>
      </c>
      <c r="C892" s="20" t="s">
        <v>241</v>
      </c>
      <c r="D892" s="20" t="s">
        <v>220</v>
      </c>
      <c r="E892" s="20" t="s">
        <v>989</v>
      </c>
      <c r="F892" s="20"/>
      <c r="G892" s="26">
        <f>G893+G895</f>
        <v>0</v>
      </c>
      <c r="H892" s="26">
        <f t="shared" si="80"/>
        <v>0</v>
      </c>
      <c r="I892" s="203"/>
    </row>
    <row r="893" spans="1:9" ht="31.5" hidden="1" x14ac:dyDescent="0.25">
      <c r="A893" s="25" t="s">
        <v>138</v>
      </c>
      <c r="B893" s="16">
        <v>908</v>
      </c>
      <c r="C893" s="20" t="s">
        <v>241</v>
      </c>
      <c r="D893" s="20" t="s">
        <v>220</v>
      </c>
      <c r="E893" s="20" t="s">
        <v>989</v>
      </c>
      <c r="F893" s="20" t="s">
        <v>139</v>
      </c>
      <c r="G893" s="26">
        <f>G894</f>
        <v>0</v>
      </c>
      <c r="H893" s="26">
        <f t="shared" si="80"/>
        <v>0</v>
      </c>
      <c r="I893" s="203"/>
    </row>
    <row r="894" spans="1:9" ht="31.5" hidden="1" x14ac:dyDescent="0.25">
      <c r="A894" s="25" t="s">
        <v>140</v>
      </c>
      <c r="B894" s="16">
        <v>908</v>
      </c>
      <c r="C894" s="20" t="s">
        <v>241</v>
      </c>
      <c r="D894" s="20" t="s">
        <v>220</v>
      </c>
      <c r="E894" s="20" t="s">
        <v>989</v>
      </c>
      <c r="F894" s="20" t="s">
        <v>141</v>
      </c>
      <c r="G894" s="26">
        <v>0</v>
      </c>
      <c r="H894" s="26">
        <f t="shared" si="80"/>
        <v>0</v>
      </c>
      <c r="I894" s="203"/>
    </row>
    <row r="895" spans="1:9" ht="15.75" hidden="1" x14ac:dyDescent="0.25">
      <c r="A895" s="25" t="s">
        <v>142</v>
      </c>
      <c r="B895" s="16">
        <v>908</v>
      </c>
      <c r="C895" s="20" t="s">
        <v>241</v>
      </c>
      <c r="D895" s="20" t="s">
        <v>220</v>
      </c>
      <c r="E895" s="20" t="s">
        <v>989</v>
      </c>
      <c r="F895" s="20" t="s">
        <v>152</v>
      </c>
      <c r="G895" s="26">
        <f>G896</f>
        <v>0</v>
      </c>
      <c r="H895" s="26">
        <f t="shared" si="80"/>
        <v>0</v>
      </c>
      <c r="I895" s="203"/>
    </row>
    <row r="896" spans="1:9" ht="47.25" hidden="1" x14ac:dyDescent="0.25">
      <c r="A896" s="25" t="s">
        <v>191</v>
      </c>
      <c r="B896" s="16">
        <v>908</v>
      </c>
      <c r="C896" s="20" t="s">
        <v>241</v>
      </c>
      <c r="D896" s="20" t="s">
        <v>220</v>
      </c>
      <c r="E896" s="20" t="s">
        <v>989</v>
      </c>
      <c r="F896" s="20" t="s">
        <v>167</v>
      </c>
      <c r="G896" s="26">
        <f>'Пр.4 ведом.21'!G884</f>
        <v>0</v>
      </c>
      <c r="H896" s="26">
        <f t="shared" si="80"/>
        <v>0</v>
      </c>
      <c r="I896" s="203"/>
    </row>
    <row r="897" spans="1:9" ht="31.5" x14ac:dyDescent="0.25">
      <c r="A897" s="29" t="s">
        <v>942</v>
      </c>
      <c r="B897" s="16">
        <v>908</v>
      </c>
      <c r="C897" s="20" t="s">
        <v>241</v>
      </c>
      <c r="D897" s="20" t="s">
        <v>220</v>
      </c>
      <c r="E897" s="20" t="s">
        <v>972</v>
      </c>
      <c r="F897" s="20"/>
      <c r="G897" s="26">
        <f>G898</f>
        <v>5707.199999999998</v>
      </c>
      <c r="H897" s="26">
        <f>H898</f>
        <v>13555.550000000001</v>
      </c>
      <c r="I897" s="203"/>
    </row>
    <row r="898" spans="1:9" ht="31.5" x14ac:dyDescent="0.25">
      <c r="A898" s="25" t="s">
        <v>138</v>
      </c>
      <c r="B898" s="16">
        <v>908</v>
      </c>
      <c r="C898" s="20" t="s">
        <v>241</v>
      </c>
      <c r="D898" s="20" t="s">
        <v>220</v>
      </c>
      <c r="E898" s="20" t="s">
        <v>972</v>
      </c>
      <c r="F898" s="20" t="s">
        <v>139</v>
      </c>
      <c r="G898" s="26">
        <f>G899</f>
        <v>5707.199999999998</v>
      </c>
      <c r="H898" s="26">
        <f>H899</f>
        <v>13555.550000000001</v>
      </c>
      <c r="I898" s="203"/>
    </row>
    <row r="899" spans="1:9" ht="31.5" x14ac:dyDescent="0.25">
      <c r="A899" s="25" t="s">
        <v>140</v>
      </c>
      <c r="B899" s="16">
        <v>908</v>
      </c>
      <c r="C899" s="20" t="s">
        <v>241</v>
      </c>
      <c r="D899" s="20" t="s">
        <v>220</v>
      </c>
      <c r="E899" s="20" t="s">
        <v>972</v>
      </c>
      <c r="F899" s="20" t="s">
        <v>141</v>
      </c>
      <c r="G899" s="26">
        <f>14881.91-4224.29+2030.8-4000-3375.3+394.08</f>
        <v>5707.199999999998</v>
      </c>
      <c r="H899" s="26">
        <f>16519.25-3375.3+411.6</f>
        <v>13555.550000000001</v>
      </c>
      <c r="I899" s="203"/>
    </row>
    <row r="900" spans="1:9" ht="15.75" hidden="1" x14ac:dyDescent="0.25">
      <c r="A900" s="25" t="s">
        <v>142</v>
      </c>
      <c r="B900" s="16">
        <v>908</v>
      </c>
      <c r="C900" s="20" t="s">
        <v>241</v>
      </c>
      <c r="D900" s="20" t="s">
        <v>220</v>
      </c>
      <c r="E900" s="20" t="s">
        <v>972</v>
      </c>
      <c r="F900" s="20" t="s">
        <v>152</v>
      </c>
      <c r="G900" s="26">
        <f>'Пр.4 ведом.21'!G889</f>
        <v>0</v>
      </c>
      <c r="H900" s="26">
        <f t="shared" si="80"/>
        <v>0</v>
      </c>
      <c r="I900" s="203"/>
    </row>
    <row r="901" spans="1:9" ht="15.75" hidden="1" x14ac:dyDescent="0.25">
      <c r="A901" s="25" t="s">
        <v>153</v>
      </c>
      <c r="B901" s="16">
        <v>908</v>
      </c>
      <c r="C901" s="20" t="s">
        <v>241</v>
      </c>
      <c r="D901" s="20" t="s">
        <v>220</v>
      </c>
      <c r="E901" s="20" t="s">
        <v>972</v>
      </c>
      <c r="F901" s="20" t="s">
        <v>154</v>
      </c>
      <c r="G901" s="26">
        <f>'Пр.4 ведом.21'!G890</f>
        <v>0</v>
      </c>
      <c r="H901" s="26">
        <f t="shared" si="80"/>
        <v>0</v>
      </c>
      <c r="I901" s="203"/>
    </row>
    <row r="902" spans="1:9" ht="47.25" hidden="1" x14ac:dyDescent="0.25">
      <c r="A902" s="23" t="s">
        <v>1023</v>
      </c>
      <c r="B902" s="19">
        <v>908</v>
      </c>
      <c r="C902" s="24" t="s">
        <v>241</v>
      </c>
      <c r="D902" s="24" t="s">
        <v>220</v>
      </c>
      <c r="E902" s="24" t="s">
        <v>990</v>
      </c>
      <c r="F902" s="24"/>
      <c r="G902" s="21">
        <f>G903+G911+G908+G916</f>
        <v>0</v>
      </c>
      <c r="H902" s="21">
        <f>H903+H911+H908+H916</f>
        <v>0</v>
      </c>
      <c r="I902" s="203"/>
    </row>
    <row r="903" spans="1:9" ht="47.25" hidden="1" x14ac:dyDescent="0.25">
      <c r="A903" s="25" t="s">
        <v>837</v>
      </c>
      <c r="B903" s="16">
        <v>908</v>
      </c>
      <c r="C903" s="20" t="s">
        <v>241</v>
      </c>
      <c r="D903" s="20" t="s">
        <v>220</v>
      </c>
      <c r="E903" s="20" t="s">
        <v>991</v>
      </c>
      <c r="F903" s="20"/>
      <c r="G903" s="26">
        <f>'Пр.4 ведом.21'!G892</f>
        <v>0</v>
      </c>
      <c r="H903" s="26">
        <f t="shared" ref="H903:H973" si="85">G903</f>
        <v>0</v>
      </c>
      <c r="I903" s="203"/>
    </row>
    <row r="904" spans="1:9" ht="31.5" hidden="1" x14ac:dyDescent="0.25">
      <c r="A904" s="25" t="s">
        <v>138</v>
      </c>
      <c r="B904" s="16">
        <v>908</v>
      </c>
      <c r="C904" s="20" t="s">
        <v>241</v>
      </c>
      <c r="D904" s="20" t="s">
        <v>220</v>
      </c>
      <c r="E904" s="20" t="s">
        <v>991</v>
      </c>
      <c r="F904" s="20" t="s">
        <v>139</v>
      </c>
      <c r="G904" s="26">
        <f>'Пр.4 ведом.21'!G893</f>
        <v>0</v>
      </c>
      <c r="H904" s="26">
        <f t="shared" si="85"/>
        <v>0</v>
      </c>
      <c r="I904" s="203"/>
    </row>
    <row r="905" spans="1:9" ht="31.5" hidden="1" x14ac:dyDescent="0.25">
      <c r="A905" s="25" t="s">
        <v>140</v>
      </c>
      <c r="B905" s="16">
        <v>908</v>
      </c>
      <c r="C905" s="20" t="s">
        <v>241</v>
      </c>
      <c r="D905" s="20" t="s">
        <v>220</v>
      </c>
      <c r="E905" s="20" t="s">
        <v>991</v>
      </c>
      <c r="F905" s="20" t="s">
        <v>141</v>
      </c>
      <c r="G905" s="26">
        <f>'Пр.4 ведом.21'!G894</f>
        <v>0</v>
      </c>
      <c r="H905" s="26">
        <f t="shared" si="85"/>
        <v>0</v>
      </c>
      <c r="I905" s="203"/>
    </row>
    <row r="906" spans="1:9" ht="15.75" hidden="1" x14ac:dyDescent="0.25">
      <c r="A906" s="25" t="s">
        <v>142</v>
      </c>
      <c r="B906" s="16">
        <v>908</v>
      </c>
      <c r="C906" s="20" t="s">
        <v>241</v>
      </c>
      <c r="D906" s="20" t="s">
        <v>220</v>
      </c>
      <c r="E906" s="20" t="s">
        <v>991</v>
      </c>
      <c r="F906" s="20" t="s">
        <v>847</v>
      </c>
      <c r="G906" s="26">
        <f>'Пр.4 ведом.21'!G895</f>
        <v>0</v>
      </c>
      <c r="H906" s="26">
        <f t="shared" si="85"/>
        <v>0</v>
      </c>
      <c r="I906" s="203"/>
    </row>
    <row r="907" spans="1:9" ht="15.75" hidden="1" x14ac:dyDescent="0.25">
      <c r="A907" s="25" t="s">
        <v>575</v>
      </c>
      <c r="B907" s="16">
        <v>908</v>
      </c>
      <c r="C907" s="20" t="s">
        <v>241</v>
      </c>
      <c r="D907" s="20" t="s">
        <v>220</v>
      </c>
      <c r="E907" s="20" t="s">
        <v>991</v>
      </c>
      <c r="F907" s="20" t="s">
        <v>1078</v>
      </c>
      <c r="G907" s="26">
        <f>'Пр.4 ведом.21'!G896</f>
        <v>0</v>
      </c>
      <c r="H907" s="26">
        <f t="shared" si="85"/>
        <v>0</v>
      </c>
      <c r="I907" s="203"/>
    </row>
    <row r="908" spans="1:9" ht="63" hidden="1" x14ac:dyDescent="0.25">
      <c r="A908" s="25" t="s">
        <v>803</v>
      </c>
      <c r="B908" s="16">
        <v>908</v>
      </c>
      <c r="C908" s="20" t="s">
        <v>241</v>
      </c>
      <c r="D908" s="20" t="s">
        <v>220</v>
      </c>
      <c r="E908" s="20" t="s">
        <v>992</v>
      </c>
      <c r="F908" s="20"/>
      <c r="G908" s="26">
        <f>'Пр.4 ведом.21'!G897</f>
        <v>0</v>
      </c>
      <c r="H908" s="26">
        <f t="shared" si="85"/>
        <v>0</v>
      </c>
      <c r="I908" s="203"/>
    </row>
    <row r="909" spans="1:9" ht="31.5" hidden="1" x14ac:dyDescent="0.25">
      <c r="A909" s="25" t="s">
        <v>138</v>
      </c>
      <c r="B909" s="16">
        <v>908</v>
      </c>
      <c r="C909" s="20" t="s">
        <v>241</v>
      </c>
      <c r="D909" s="20" t="s">
        <v>220</v>
      </c>
      <c r="E909" s="20" t="s">
        <v>992</v>
      </c>
      <c r="F909" s="20" t="s">
        <v>139</v>
      </c>
      <c r="G909" s="26">
        <f>'Пр.4 ведом.21'!G898</f>
        <v>0</v>
      </c>
      <c r="H909" s="26">
        <f t="shared" si="85"/>
        <v>0</v>
      </c>
      <c r="I909" s="203"/>
    </row>
    <row r="910" spans="1:9" ht="31.5" hidden="1" x14ac:dyDescent="0.25">
      <c r="A910" s="25" t="s">
        <v>140</v>
      </c>
      <c r="B910" s="16">
        <v>908</v>
      </c>
      <c r="C910" s="20" t="s">
        <v>241</v>
      </c>
      <c r="D910" s="20" t="s">
        <v>220</v>
      </c>
      <c r="E910" s="20" t="s">
        <v>992</v>
      </c>
      <c r="F910" s="20" t="s">
        <v>141</v>
      </c>
      <c r="G910" s="26">
        <f>'Пр.4 ведом.21'!G899</f>
        <v>0</v>
      </c>
      <c r="H910" s="26">
        <f t="shared" si="85"/>
        <v>0</v>
      </c>
      <c r="I910" s="203"/>
    </row>
    <row r="911" spans="1:9" ht="47.25" hidden="1" x14ac:dyDescent="0.25">
      <c r="A911" s="97" t="s">
        <v>843</v>
      </c>
      <c r="B911" s="16">
        <v>908</v>
      </c>
      <c r="C911" s="20" t="s">
        <v>241</v>
      </c>
      <c r="D911" s="20" t="s">
        <v>220</v>
      </c>
      <c r="E911" s="20" t="s">
        <v>993</v>
      </c>
      <c r="F911" s="20"/>
      <c r="G911" s="26">
        <f>'Пр.4 ведом.21'!G900</f>
        <v>0</v>
      </c>
      <c r="H911" s="26">
        <f t="shared" si="85"/>
        <v>0</v>
      </c>
      <c r="I911" s="203"/>
    </row>
    <row r="912" spans="1:9" ht="31.5" hidden="1" x14ac:dyDescent="0.25">
      <c r="A912" s="25" t="s">
        <v>848</v>
      </c>
      <c r="B912" s="16">
        <v>908</v>
      </c>
      <c r="C912" s="20" t="s">
        <v>241</v>
      </c>
      <c r="D912" s="20" t="s">
        <v>220</v>
      </c>
      <c r="E912" s="20" t="s">
        <v>993</v>
      </c>
      <c r="F912" s="20" t="s">
        <v>847</v>
      </c>
      <c r="G912" s="26">
        <f>'Пр.4 ведом.21'!G901</f>
        <v>0</v>
      </c>
      <c r="H912" s="26">
        <f t="shared" si="85"/>
        <v>0</v>
      </c>
      <c r="I912" s="203"/>
    </row>
    <row r="913" spans="1:9" ht="63" hidden="1" x14ac:dyDescent="0.25">
      <c r="A913" s="25" t="s">
        <v>1059</v>
      </c>
      <c r="B913" s="16">
        <v>908</v>
      </c>
      <c r="C913" s="20" t="s">
        <v>241</v>
      </c>
      <c r="D913" s="20" t="s">
        <v>220</v>
      </c>
      <c r="E913" s="20" t="s">
        <v>993</v>
      </c>
      <c r="F913" s="20" t="s">
        <v>1078</v>
      </c>
      <c r="G913" s="26">
        <f>'Пр.4 ведом.21'!G902</f>
        <v>0</v>
      </c>
      <c r="H913" s="26">
        <f t="shared" si="85"/>
        <v>0</v>
      </c>
      <c r="I913" s="203"/>
    </row>
    <row r="914" spans="1:9" ht="15.75" hidden="1" x14ac:dyDescent="0.25">
      <c r="A914" s="25" t="s">
        <v>142</v>
      </c>
      <c r="B914" s="16">
        <v>908</v>
      </c>
      <c r="C914" s="20" t="s">
        <v>241</v>
      </c>
      <c r="D914" s="20" t="s">
        <v>220</v>
      </c>
      <c r="E914" s="20" t="s">
        <v>993</v>
      </c>
      <c r="F914" s="20" t="s">
        <v>152</v>
      </c>
      <c r="G914" s="26">
        <f>'Пр.4 ведом.21'!G903</f>
        <v>0</v>
      </c>
      <c r="H914" s="26">
        <f t="shared" si="85"/>
        <v>0</v>
      </c>
      <c r="I914" s="203"/>
    </row>
    <row r="915" spans="1:9" ht="15.75" hidden="1" x14ac:dyDescent="0.25">
      <c r="A915" s="25" t="s">
        <v>714</v>
      </c>
      <c r="B915" s="16">
        <v>908</v>
      </c>
      <c r="C915" s="20" t="s">
        <v>241</v>
      </c>
      <c r="D915" s="20" t="s">
        <v>220</v>
      </c>
      <c r="E915" s="20" t="s">
        <v>993</v>
      </c>
      <c r="F915" s="20" t="s">
        <v>145</v>
      </c>
      <c r="G915" s="26">
        <f>'Пр.4 ведом.21'!G904</f>
        <v>0</v>
      </c>
      <c r="H915" s="26">
        <f t="shared" si="85"/>
        <v>0</v>
      </c>
      <c r="I915" s="203"/>
    </row>
    <row r="916" spans="1:9" ht="31.5" hidden="1" x14ac:dyDescent="0.25">
      <c r="A916" s="25" t="s">
        <v>1079</v>
      </c>
      <c r="B916" s="16">
        <v>908</v>
      </c>
      <c r="C916" s="20" t="s">
        <v>241</v>
      </c>
      <c r="D916" s="20" t="s">
        <v>220</v>
      </c>
      <c r="E916" s="20" t="s">
        <v>1080</v>
      </c>
      <c r="F916" s="20"/>
      <c r="G916" s="26">
        <f>'Пр.4 ведом.21'!G905</f>
        <v>0</v>
      </c>
      <c r="H916" s="26">
        <f t="shared" si="85"/>
        <v>0</v>
      </c>
      <c r="I916" s="203"/>
    </row>
    <row r="917" spans="1:9" ht="31.5" hidden="1" x14ac:dyDescent="0.25">
      <c r="A917" s="25" t="s">
        <v>138</v>
      </c>
      <c r="B917" s="16">
        <v>908</v>
      </c>
      <c r="C917" s="20" t="s">
        <v>241</v>
      </c>
      <c r="D917" s="20" t="s">
        <v>220</v>
      </c>
      <c r="E917" s="20" t="s">
        <v>1080</v>
      </c>
      <c r="F917" s="20" t="s">
        <v>139</v>
      </c>
      <c r="G917" s="26">
        <f>'Пр.4 ведом.21'!G906</f>
        <v>0</v>
      </c>
      <c r="H917" s="26">
        <f t="shared" si="85"/>
        <v>0</v>
      </c>
      <c r="I917" s="203"/>
    </row>
    <row r="918" spans="1:9" ht="31.5" hidden="1" x14ac:dyDescent="0.25">
      <c r="A918" s="25" t="s">
        <v>140</v>
      </c>
      <c r="B918" s="16">
        <v>908</v>
      </c>
      <c r="C918" s="20" t="s">
        <v>241</v>
      </c>
      <c r="D918" s="20" t="s">
        <v>220</v>
      </c>
      <c r="E918" s="20" t="s">
        <v>1080</v>
      </c>
      <c r="F918" s="20" t="s">
        <v>141</v>
      </c>
      <c r="G918" s="26">
        <f>'Пр.4 ведом.21'!G907</f>
        <v>0</v>
      </c>
      <c r="H918" s="26">
        <f t="shared" si="85"/>
        <v>0</v>
      </c>
      <c r="I918" s="203"/>
    </row>
    <row r="919" spans="1:9" ht="63" x14ac:dyDescent="0.25">
      <c r="A919" s="23" t="s">
        <v>1575</v>
      </c>
      <c r="B919" s="19">
        <v>908</v>
      </c>
      <c r="C919" s="24" t="s">
        <v>241</v>
      </c>
      <c r="D919" s="24" t="s">
        <v>220</v>
      </c>
      <c r="E919" s="24" t="s">
        <v>525</v>
      </c>
      <c r="F919" s="24"/>
      <c r="G919" s="21">
        <f>G920+G924+G928+G932+G944+G940</f>
        <v>1090</v>
      </c>
      <c r="H919" s="21">
        <f>H920+H924+H928+H932+H944+H940</f>
        <v>1090</v>
      </c>
      <c r="I919" s="203"/>
    </row>
    <row r="920" spans="1:9" ht="31.5" x14ac:dyDescent="0.25">
      <c r="A920" s="23" t="s">
        <v>973</v>
      </c>
      <c r="B920" s="19">
        <v>908</v>
      </c>
      <c r="C920" s="24" t="s">
        <v>241</v>
      </c>
      <c r="D920" s="24" t="s">
        <v>220</v>
      </c>
      <c r="E920" s="24" t="s">
        <v>975</v>
      </c>
      <c r="F920" s="24"/>
      <c r="G920" s="21">
        <f t="shared" ref="G920:H922" si="86">G921</f>
        <v>700</v>
      </c>
      <c r="H920" s="21">
        <f t="shared" si="86"/>
        <v>700</v>
      </c>
      <c r="I920" s="203"/>
    </row>
    <row r="921" spans="1:9" ht="15.75" x14ac:dyDescent="0.25">
      <c r="A921" s="45" t="s">
        <v>974</v>
      </c>
      <c r="B921" s="16">
        <v>908</v>
      </c>
      <c r="C921" s="40" t="s">
        <v>241</v>
      </c>
      <c r="D921" s="40" t="s">
        <v>220</v>
      </c>
      <c r="E921" s="20" t="s">
        <v>976</v>
      </c>
      <c r="F921" s="40"/>
      <c r="G921" s="26">
        <f t="shared" si="86"/>
        <v>700</v>
      </c>
      <c r="H921" s="26">
        <f t="shared" si="86"/>
        <v>700</v>
      </c>
      <c r="I921" s="203"/>
    </row>
    <row r="922" spans="1:9" ht="31.5" x14ac:dyDescent="0.25">
      <c r="A922" s="31" t="s">
        <v>138</v>
      </c>
      <c r="B922" s="16">
        <v>908</v>
      </c>
      <c r="C922" s="40" t="s">
        <v>241</v>
      </c>
      <c r="D922" s="40" t="s">
        <v>220</v>
      </c>
      <c r="E922" s="20" t="s">
        <v>976</v>
      </c>
      <c r="F922" s="40" t="s">
        <v>139</v>
      </c>
      <c r="G922" s="26">
        <f t="shared" si="86"/>
        <v>700</v>
      </c>
      <c r="H922" s="26">
        <f t="shared" si="86"/>
        <v>700</v>
      </c>
      <c r="I922" s="203"/>
    </row>
    <row r="923" spans="1:9" ht="31.5" x14ac:dyDescent="0.25">
      <c r="A923" s="31" t="s">
        <v>140</v>
      </c>
      <c r="B923" s="16">
        <v>908</v>
      </c>
      <c r="C923" s="40" t="s">
        <v>241</v>
      </c>
      <c r="D923" s="40" t="s">
        <v>220</v>
      </c>
      <c r="E923" s="20" t="s">
        <v>976</v>
      </c>
      <c r="F923" s="40" t="s">
        <v>141</v>
      </c>
      <c r="G923" s="26">
        <v>700</v>
      </c>
      <c r="H923" s="26">
        <v>700</v>
      </c>
      <c r="I923" s="203"/>
    </row>
    <row r="924" spans="1:9" ht="31.5" hidden="1" x14ac:dyDescent="0.25">
      <c r="A924" s="34" t="s">
        <v>977</v>
      </c>
      <c r="B924" s="19">
        <v>908</v>
      </c>
      <c r="C924" s="7" t="s">
        <v>241</v>
      </c>
      <c r="D924" s="7" t="s">
        <v>220</v>
      </c>
      <c r="E924" s="24" t="s">
        <v>978</v>
      </c>
      <c r="F924" s="7"/>
      <c r="G924" s="21">
        <f>G925</f>
        <v>390</v>
      </c>
      <c r="H924" s="21">
        <f>H925</f>
        <v>390</v>
      </c>
      <c r="I924" s="203"/>
    </row>
    <row r="925" spans="1:9" ht="15.75" hidden="1" x14ac:dyDescent="0.25">
      <c r="A925" s="45" t="s">
        <v>530</v>
      </c>
      <c r="B925" s="16">
        <v>908</v>
      </c>
      <c r="C925" s="40" t="s">
        <v>241</v>
      </c>
      <c r="D925" s="40" t="s">
        <v>220</v>
      </c>
      <c r="E925" s="20" t="s">
        <v>981</v>
      </c>
      <c r="F925" s="40"/>
      <c r="G925" s="26">
        <f>'Пр.4 ведом.21'!G914</f>
        <v>390</v>
      </c>
      <c r="H925" s="26">
        <f t="shared" si="85"/>
        <v>390</v>
      </c>
      <c r="I925" s="203"/>
    </row>
    <row r="926" spans="1:9" ht="31.5" hidden="1" x14ac:dyDescent="0.25">
      <c r="A926" s="31" t="s">
        <v>138</v>
      </c>
      <c r="B926" s="16">
        <v>908</v>
      </c>
      <c r="C926" s="40" t="s">
        <v>241</v>
      </c>
      <c r="D926" s="40" t="s">
        <v>220</v>
      </c>
      <c r="E926" s="20" t="s">
        <v>981</v>
      </c>
      <c r="F926" s="40" t="s">
        <v>139</v>
      </c>
      <c r="G926" s="26">
        <f>'Пр.4 ведом.21'!G915</f>
        <v>390</v>
      </c>
      <c r="H926" s="26">
        <f t="shared" si="85"/>
        <v>390</v>
      </c>
      <c r="I926" s="203"/>
    </row>
    <row r="927" spans="1:9" ht="31.5" hidden="1" x14ac:dyDescent="0.25">
      <c r="A927" s="31" t="s">
        <v>140</v>
      </c>
      <c r="B927" s="16">
        <v>908</v>
      </c>
      <c r="C927" s="40" t="s">
        <v>241</v>
      </c>
      <c r="D927" s="40" t="s">
        <v>220</v>
      </c>
      <c r="E927" s="20" t="s">
        <v>981</v>
      </c>
      <c r="F927" s="40" t="s">
        <v>141</v>
      </c>
      <c r="G927" s="26">
        <f>'Пр.4 ведом.21'!G916</f>
        <v>390</v>
      </c>
      <c r="H927" s="26">
        <f t="shared" si="85"/>
        <v>390</v>
      </c>
      <c r="I927" s="203"/>
    </row>
    <row r="928" spans="1:9" ht="31.5" hidden="1" x14ac:dyDescent="0.25">
      <c r="A928" s="58" t="s">
        <v>979</v>
      </c>
      <c r="B928" s="19">
        <v>908</v>
      </c>
      <c r="C928" s="7" t="s">
        <v>241</v>
      </c>
      <c r="D928" s="7" t="s">
        <v>220</v>
      </c>
      <c r="E928" s="24" t="s">
        <v>980</v>
      </c>
      <c r="F928" s="7"/>
      <c r="G928" s="4">
        <f>G929</f>
        <v>0</v>
      </c>
      <c r="H928" s="4">
        <f>H929</f>
        <v>0</v>
      </c>
      <c r="I928" s="203"/>
    </row>
    <row r="929" spans="1:9" ht="15.75" hidden="1" x14ac:dyDescent="0.25">
      <c r="A929" s="45" t="s">
        <v>532</v>
      </c>
      <c r="B929" s="16">
        <v>908</v>
      </c>
      <c r="C929" s="40" t="s">
        <v>241</v>
      </c>
      <c r="D929" s="40" t="s">
        <v>220</v>
      </c>
      <c r="E929" s="20" t="s">
        <v>982</v>
      </c>
      <c r="F929" s="40"/>
      <c r="G929" s="26">
        <f>'Пр.4 ведом.21'!G918</f>
        <v>0</v>
      </c>
      <c r="H929" s="26">
        <f t="shared" si="85"/>
        <v>0</v>
      </c>
      <c r="I929" s="203"/>
    </row>
    <row r="930" spans="1:9" ht="31.5" hidden="1" x14ac:dyDescent="0.25">
      <c r="A930" s="31" t="s">
        <v>138</v>
      </c>
      <c r="B930" s="16">
        <v>908</v>
      </c>
      <c r="C930" s="40" t="s">
        <v>241</v>
      </c>
      <c r="D930" s="40" t="s">
        <v>220</v>
      </c>
      <c r="E930" s="20" t="s">
        <v>982</v>
      </c>
      <c r="F930" s="40" t="s">
        <v>139</v>
      </c>
      <c r="G930" s="26">
        <f>'Пр.4 ведом.21'!G919</f>
        <v>0</v>
      </c>
      <c r="H930" s="26">
        <f t="shared" si="85"/>
        <v>0</v>
      </c>
      <c r="I930" s="203"/>
    </row>
    <row r="931" spans="1:9" ht="31.5" hidden="1" x14ac:dyDescent="0.25">
      <c r="A931" s="31" t="s">
        <v>140</v>
      </c>
      <c r="B931" s="16">
        <v>908</v>
      </c>
      <c r="C931" s="40" t="s">
        <v>241</v>
      </c>
      <c r="D931" s="40" t="s">
        <v>220</v>
      </c>
      <c r="E931" s="20" t="s">
        <v>982</v>
      </c>
      <c r="F931" s="40" t="s">
        <v>141</v>
      </c>
      <c r="G931" s="26">
        <f>'Пр.4 ведом.21'!G920</f>
        <v>0</v>
      </c>
      <c r="H931" s="26">
        <f t="shared" si="85"/>
        <v>0</v>
      </c>
      <c r="I931" s="203"/>
    </row>
    <row r="932" spans="1:9" ht="31.5" hidden="1" x14ac:dyDescent="0.25">
      <c r="A932" s="58" t="s">
        <v>983</v>
      </c>
      <c r="B932" s="19">
        <v>908</v>
      </c>
      <c r="C932" s="7" t="s">
        <v>241</v>
      </c>
      <c r="D932" s="7" t="s">
        <v>220</v>
      </c>
      <c r="E932" s="24" t="s">
        <v>984</v>
      </c>
      <c r="F932" s="7"/>
      <c r="G932" s="4">
        <f>G933</f>
        <v>0</v>
      </c>
      <c r="H932" s="4">
        <f>H933</f>
        <v>0</v>
      </c>
      <c r="I932" s="203"/>
    </row>
    <row r="933" spans="1:9" ht="15.75" hidden="1" x14ac:dyDescent="0.25">
      <c r="A933" s="45" t="s">
        <v>534</v>
      </c>
      <c r="B933" s="16">
        <v>908</v>
      </c>
      <c r="C933" s="40" t="s">
        <v>241</v>
      </c>
      <c r="D933" s="40" t="s">
        <v>220</v>
      </c>
      <c r="E933" s="20" t="s">
        <v>985</v>
      </c>
      <c r="F933" s="40"/>
      <c r="G933" s="26">
        <f>'Пр.4 ведом.21'!G922</f>
        <v>0</v>
      </c>
      <c r="H933" s="26">
        <f t="shared" si="85"/>
        <v>0</v>
      </c>
      <c r="I933" s="203"/>
    </row>
    <row r="934" spans="1:9" ht="31.5" hidden="1" x14ac:dyDescent="0.25">
      <c r="A934" s="31" t="s">
        <v>138</v>
      </c>
      <c r="B934" s="16">
        <v>908</v>
      </c>
      <c r="C934" s="40" t="s">
        <v>241</v>
      </c>
      <c r="D934" s="40" t="s">
        <v>220</v>
      </c>
      <c r="E934" s="20" t="s">
        <v>985</v>
      </c>
      <c r="F934" s="40" t="s">
        <v>139</v>
      </c>
      <c r="G934" s="26">
        <f>'Пр.4 ведом.21'!G923</f>
        <v>0</v>
      </c>
      <c r="H934" s="26">
        <f t="shared" si="85"/>
        <v>0</v>
      </c>
      <c r="I934" s="203"/>
    </row>
    <row r="935" spans="1:9" ht="31.5" hidden="1" x14ac:dyDescent="0.25">
      <c r="A935" s="31" t="s">
        <v>140</v>
      </c>
      <c r="B935" s="16">
        <v>908</v>
      </c>
      <c r="C935" s="40" t="s">
        <v>241</v>
      </c>
      <c r="D935" s="40" t="s">
        <v>220</v>
      </c>
      <c r="E935" s="20" t="s">
        <v>985</v>
      </c>
      <c r="F935" s="40" t="s">
        <v>141</v>
      </c>
      <c r="G935" s="26">
        <f>'Пр.4 ведом.21'!G924</f>
        <v>0</v>
      </c>
      <c r="H935" s="26">
        <f t="shared" si="85"/>
        <v>0</v>
      </c>
      <c r="I935" s="203"/>
    </row>
    <row r="936" spans="1:9" ht="31.5" hidden="1" x14ac:dyDescent="0.25">
      <c r="A936" s="34" t="s">
        <v>1024</v>
      </c>
      <c r="B936" s="19">
        <v>908</v>
      </c>
      <c r="C936" s="7" t="s">
        <v>241</v>
      </c>
      <c r="D936" s="7" t="s">
        <v>220</v>
      </c>
      <c r="E936" s="24" t="s">
        <v>1025</v>
      </c>
      <c r="F936" s="7"/>
      <c r="G936" s="4">
        <f>G937</f>
        <v>0</v>
      </c>
      <c r="H936" s="4">
        <f>H937</f>
        <v>0</v>
      </c>
      <c r="I936" s="203"/>
    </row>
    <row r="937" spans="1:9" ht="15.75" hidden="1" x14ac:dyDescent="0.25">
      <c r="A937" s="45" t="s">
        <v>536</v>
      </c>
      <c r="B937" s="16">
        <v>908</v>
      </c>
      <c r="C937" s="40" t="s">
        <v>241</v>
      </c>
      <c r="D937" s="40" t="s">
        <v>220</v>
      </c>
      <c r="E937" s="20" t="s">
        <v>1028</v>
      </c>
      <c r="F937" s="40"/>
      <c r="G937" s="26">
        <f>'Пр.4 ведом.21'!G926</f>
        <v>0</v>
      </c>
      <c r="H937" s="26">
        <f t="shared" si="85"/>
        <v>0</v>
      </c>
      <c r="I937" s="203"/>
    </row>
    <row r="938" spans="1:9" ht="31.5" hidden="1" x14ac:dyDescent="0.25">
      <c r="A938" s="31" t="s">
        <v>138</v>
      </c>
      <c r="B938" s="16">
        <v>908</v>
      </c>
      <c r="C938" s="40" t="s">
        <v>241</v>
      </c>
      <c r="D938" s="40" t="s">
        <v>220</v>
      </c>
      <c r="E938" s="20" t="s">
        <v>1028</v>
      </c>
      <c r="F938" s="40" t="s">
        <v>139</v>
      </c>
      <c r="G938" s="26">
        <f>'Пр.4 ведом.21'!G927</f>
        <v>0</v>
      </c>
      <c r="H938" s="26">
        <f t="shared" si="85"/>
        <v>0</v>
      </c>
      <c r="I938" s="203"/>
    </row>
    <row r="939" spans="1:9" ht="31.5" hidden="1" x14ac:dyDescent="0.25">
      <c r="A939" s="31" t="s">
        <v>140</v>
      </c>
      <c r="B939" s="16">
        <v>908</v>
      </c>
      <c r="C939" s="40" t="s">
        <v>241</v>
      </c>
      <c r="D939" s="40" t="s">
        <v>220</v>
      </c>
      <c r="E939" s="20" t="s">
        <v>1028</v>
      </c>
      <c r="F939" s="40" t="s">
        <v>141</v>
      </c>
      <c r="G939" s="26">
        <f>'Пр.4 ведом.21'!G928</f>
        <v>0</v>
      </c>
      <c r="H939" s="26">
        <f t="shared" si="85"/>
        <v>0</v>
      </c>
      <c r="I939" s="203"/>
    </row>
    <row r="940" spans="1:9" ht="31.5" hidden="1" x14ac:dyDescent="0.25">
      <c r="A940" s="215" t="s">
        <v>1026</v>
      </c>
      <c r="B940" s="19">
        <v>908</v>
      </c>
      <c r="C940" s="7" t="s">
        <v>241</v>
      </c>
      <c r="D940" s="7" t="s">
        <v>220</v>
      </c>
      <c r="E940" s="24" t="s">
        <v>1027</v>
      </c>
      <c r="F940" s="7"/>
      <c r="G940" s="21">
        <f>G941</f>
        <v>0</v>
      </c>
      <c r="H940" s="21">
        <f>H941</f>
        <v>0</v>
      </c>
      <c r="I940" s="203"/>
    </row>
    <row r="941" spans="1:9" ht="31.5" hidden="1" x14ac:dyDescent="0.25">
      <c r="A941" s="176" t="s">
        <v>538</v>
      </c>
      <c r="B941" s="16">
        <v>908</v>
      </c>
      <c r="C941" s="40" t="s">
        <v>241</v>
      </c>
      <c r="D941" s="40" t="s">
        <v>220</v>
      </c>
      <c r="E941" s="20" t="s">
        <v>1029</v>
      </c>
      <c r="F941" s="40"/>
      <c r="G941" s="26">
        <f>'Пр.4 ведом.21'!G930</f>
        <v>0</v>
      </c>
      <c r="H941" s="26">
        <f t="shared" si="85"/>
        <v>0</v>
      </c>
      <c r="I941" s="203"/>
    </row>
    <row r="942" spans="1:9" ht="31.5" hidden="1" x14ac:dyDescent="0.25">
      <c r="A942" s="31" t="s">
        <v>138</v>
      </c>
      <c r="B942" s="16">
        <v>908</v>
      </c>
      <c r="C942" s="40" t="s">
        <v>241</v>
      </c>
      <c r="D942" s="40" t="s">
        <v>220</v>
      </c>
      <c r="E942" s="20" t="s">
        <v>1029</v>
      </c>
      <c r="F942" s="40" t="s">
        <v>139</v>
      </c>
      <c r="G942" s="26">
        <f>'Пр.4 ведом.21'!G931</f>
        <v>0</v>
      </c>
      <c r="H942" s="26">
        <f t="shared" si="85"/>
        <v>0</v>
      </c>
      <c r="I942" s="203"/>
    </row>
    <row r="943" spans="1:9" ht="31.5" hidden="1" x14ac:dyDescent="0.25">
      <c r="A943" s="31" t="s">
        <v>140</v>
      </c>
      <c r="B943" s="16">
        <v>908</v>
      </c>
      <c r="C943" s="40" t="s">
        <v>241</v>
      </c>
      <c r="D943" s="40" t="s">
        <v>220</v>
      </c>
      <c r="E943" s="20" t="s">
        <v>1029</v>
      </c>
      <c r="F943" s="40" t="s">
        <v>141</v>
      </c>
      <c r="G943" s="26">
        <f>'Пр.4 ведом.21'!G932</f>
        <v>0</v>
      </c>
      <c r="H943" s="26">
        <f t="shared" si="85"/>
        <v>0</v>
      </c>
      <c r="I943" s="203"/>
    </row>
    <row r="944" spans="1:9" ht="31.5" hidden="1" x14ac:dyDescent="0.25">
      <c r="A944" s="215" t="s">
        <v>987</v>
      </c>
      <c r="B944" s="19">
        <v>908</v>
      </c>
      <c r="C944" s="7" t="s">
        <v>241</v>
      </c>
      <c r="D944" s="7" t="s">
        <v>220</v>
      </c>
      <c r="E944" s="24" t="s">
        <v>988</v>
      </c>
      <c r="F944" s="7"/>
      <c r="G944" s="21">
        <f>G945</f>
        <v>0</v>
      </c>
      <c r="H944" s="21">
        <f>H945</f>
        <v>0</v>
      </c>
      <c r="I944" s="203"/>
    </row>
    <row r="945" spans="1:9" ht="15.75" hidden="1" x14ac:dyDescent="0.25">
      <c r="A945" s="176" t="s">
        <v>540</v>
      </c>
      <c r="B945" s="16">
        <v>908</v>
      </c>
      <c r="C945" s="40" t="s">
        <v>241</v>
      </c>
      <c r="D945" s="40" t="s">
        <v>220</v>
      </c>
      <c r="E945" s="20" t="s">
        <v>986</v>
      </c>
      <c r="F945" s="40"/>
      <c r="G945" s="26">
        <f>'Пр.4 ведом.21'!G934</f>
        <v>0</v>
      </c>
      <c r="H945" s="26">
        <f t="shared" si="85"/>
        <v>0</v>
      </c>
      <c r="I945" s="203"/>
    </row>
    <row r="946" spans="1:9" ht="31.5" hidden="1" x14ac:dyDescent="0.25">
      <c r="A946" s="25" t="s">
        <v>138</v>
      </c>
      <c r="B946" s="16">
        <v>908</v>
      </c>
      <c r="C946" s="40" t="s">
        <v>241</v>
      </c>
      <c r="D946" s="40" t="s">
        <v>220</v>
      </c>
      <c r="E946" s="20" t="s">
        <v>986</v>
      </c>
      <c r="F946" s="40" t="s">
        <v>139</v>
      </c>
      <c r="G946" s="26">
        <f>'Пр.4 ведом.21'!G935</f>
        <v>0</v>
      </c>
      <c r="H946" s="26">
        <f t="shared" si="85"/>
        <v>0</v>
      </c>
      <c r="I946" s="203"/>
    </row>
    <row r="947" spans="1:9" ht="31.5" hidden="1" x14ac:dyDescent="0.25">
      <c r="A947" s="25" t="s">
        <v>140</v>
      </c>
      <c r="B947" s="16">
        <v>908</v>
      </c>
      <c r="C947" s="40" t="s">
        <v>241</v>
      </c>
      <c r="D947" s="40" t="s">
        <v>220</v>
      </c>
      <c r="E947" s="20" t="s">
        <v>986</v>
      </c>
      <c r="F947" s="40" t="s">
        <v>141</v>
      </c>
      <c r="G947" s="26">
        <f>'Пр.4 ведом.21'!G936</f>
        <v>0</v>
      </c>
      <c r="H947" s="26">
        <f t="shared" si="85"/>
        <v>0</v>
      </c>
      <c r="I947" s="203"/>
    </row>
    <row r="948" spans="1:9" s="202" customFormat="1" ht="47.25" x14ac:dyDescent="0.25">
      <c r="A948" s="23" t="s">
        <v>1577</v>
      </c>
      <c r="B948" s="19">
        <v>908</v>
      </c>
      <c r="C948" s="7" t="s">
        <v>241</v>
      </c>
      <c r="D948" s="7" t="s">
        <v>220</v>
      </c>
      <c r="E948" s="24" t="s">
        <v>1155</v>
      </c>
      <c r="F948" s="7"/>
      <c r="G948" s="21">
        <f t="shared" ref="G948:H951" si="87">G949</f>
        <v>204</v>
      </c>
      <c r="H948" s="21">
        <f t="shared" si="87"/>
        <v>215</v>
      </c>
      <c r="I948" s="203"/>
    </row>
    <row r="949" spans="1:9" s="202" customFormat="1" ht="31.5" x14ac:dyDescent="0.25">
      <c r="A949" s="388" t="s">
        <v>1581</v>
      </c>
      <c r="B949" s="19">
        <v>908</v>
      </c>
      <c r="C949" s="7" t="s">
        <v>241</v>
      </c>
      <c r="D949" s="7" t="s">
        <v>220</v>
      </c>
      <c r="E949" s="24" t="s">
        <v>1157</v>
      </c>
      <c r="F949" s="7"/>
      <c r="G949" s="21">
        <f t="shared" si="87"/>
        <v>204</v>
      </c>
      <c r="H949" s="21">
        <f t="shared" si="87"/>
        <v>215</v>
      </c>
      <c r="I949" s="203"/>
    </row>
    <row r="950" spans="1:9" s="202" customFormat="1" ht="15.75" x14ac:dyDescent="0.25">
      <c r="A950" s="25" t="s">
        <v>544</v>
      </c>
      <c r="B950" s="16">
        <v>908</v>
      </c>
      <c r="C950" s="40" t="s">
        <v>241</v>
      </c>
      <c r="D950" s="40" t="s">
        <v>220</v>
      </c>
      <c r="E950" s="20" t="s">
        <v>1158</v>
      </c>
      <c r="F950" s="40"/>
      <c r="G950" s="26">
        <f t="shared" si="87"/>
        <v>204</v>
      </c>
      <c r="H950" s="26">
        <f t="shared" si="87"/>
        <v>215</v>
      </c>
      <c r="I950" s="203"/>
    </row>
    <row r="951" spans="1:9" s="202" customFormat="1" ht="31.5" x14ac:dyDescent="0.25">
      <c r="A951" s="25" t="s">
        <v>138</v>
      </c>
      <c r="B951" s="16">
        <v>908</v>
      </c>
      <c r="C951" s="40" t="s">
        <v>241</v>
      </c>
      <c r="D951" s="40" t="s">
        <v>220</v>
      </c>
      <c r="E951" s="20" t="s">
        <v>1158</v>
      </c>
      <c r="F951" s="40" t="s">
        <v>139</v>
      </c>
      <c r="G951" s="26">
        <f t="shared" si="87"/>
        <v>204</v>
      </c>
      <c r="H951" s="26">
        <f t="shared" si="87"/>
        <v>215</v>
      </c>
      <c r="I951" s="203"/>
    </row>
    <row r="952" spans="1:9" s="202" customFormat="1" ht="31.7" customHeight="1" x14ac:dyDescent="0.25">
      <c r="A952" s="25" t="s">
        <v>140</v>
      </c>
      <c r="B952" s="16">
        <v>908</v>
      </c>
      <c r="C952" s="40" t="s">
        <v>241</v>
      </c>
      <c r="D952" s="40" t="s">
        <v>220</v>
      </c>
      <c r="E952" s="20" t="s">
        <v>1158</v>
      </c>
      <c r="F952" s="40" t="s">
        <v>141</v>
      </c>
      <c r="G952" s="26">
        <v>204</v>
      </c>
      <c r="H952" s="26">
        <v>215</v>
      </c>
      <c r="I952" s="203"/>
    </row>
    <row r="953" spans="1:9" ht="15.75" x14ac:dyDescent="0.25">
      <c r="A953" s="23" t="s">
        <v>548</v>
      </c>
      <c r="B953" s="19">
        <v>908</v>
      </c>
      <c r="C953" s="24" t="s">
        <v>241</v>
      </c>
      <c r="D953" s="24" t="s">
        <v>222</v>
      </c>
      <c r="E953" s="24"/>
      <c r="F953" s="24"/>
      <c r="G953" s="21">
        <f>G954+G959+G998</f>
        <v>3810</v>
      </c>
      <c r="H953" s="21">
        <f>H954+H959+H998</f>
        <v>4063</v>
      </c>
      <c r="I953" s="203"/>
    </row>
    <row r="954" spans="1:9" ht="15.75" x14ac:dyDescent="0.25">
      <c r="A954" s="23" t="s">
        <v>148</v>
      </c>
      <c r="B954" s="19">
        <v>908</v>
      </c>
      <c r="C954" s="24" t="s">
        <v>241</v>
      </c>
      <c r="D954" s="24" t="s">
        <v>222</v>
      </c>
      <c r="E954" s="24" t="s">
        <v>876</v>
      </c>
      <c r="F954" s="24"/>
      <c r="G954" s="21">
        <f t="shared" ref="G954:H957" si="88">G955</f>
        <v>1390</v>
      </c>
      <c r="H954" s="21">
        <f t="shared" si="88"/>
        <v>1390</v>
      </c>
      <c r="I954" s="203"/>
    </row>
    <row r="955" spans="1:9" ht="31.5" x14ac:dyDescent="0.25">
      <c r="A955" s="23" t="s">
        <v>880</v>
      </c>
      <c r="B955" s="19">
        <v>908</v>
      </c>
      <c r="C955" s="24" t="s">
        <v>241</v>
      </c>
      <c r="D955" s="24" t="s">
        <v>222</v>
      </c>
      <c r="E955" s="24" t="s">
        <v>875</v>
      </c>
      <c r="F955" s="24"/>
      <c r="G955" s="21">
        <f t="shared" si="88"/>
        <v>1390</v>
      </c>
      <c r="H955" s="21">
        <f t="shared" si="88"/>
        <v>1390</v>
      </c>
      <c r="I955" s="203"/>
    </row>
    <row r="956" spans="1:9" ht="15.75" x14ac:dyDescent="0.25">
      <c r="A956" s="25" t="s">
        <v>571</v>
      </c>
      <c r="B956" s="16">
        <v>908</v>
      </c>
      <c r="C956" s="20" t="s">
        <v>241</v>
      </c>
      <c r="D956" s="20" t="s">
        <v>222</v>
      </c>
      <c r="E956" s="20" t="s">
        <v>1085</v>
      </c>
      <c r="F956" s="20"/>
      <c r="G956" s="26">
        <f t="shared" si="88"/>
        <v>1390</v>
      </c>
      <c r="H956" s="26">
        <f t="shared" si="88"/>
        <v>1390</v>
      </c>
      <c r="I956" s="203"/>
    </row>
    <row r="957" spans="1:9" ht="31.5" x14ac:dyDescent="0.25">
      <c r="A957" s="25" t="s">
        <v>138</v>
      </c>
      <c r="B957" s="16">
        <v>908</v>
      </c>
      <c r="C957" s="20" t="s">
        <v>241</v>
      </c>
      <c r="D957" s="20" t="s">
        <v>222</v>
      </c>
      <c r="E957" s="20" t="s">
        <v>1085</v>
      </c>
      <c r="F957" s="20" t="s">
        <v>139</v>
      </c>
      <c r="G957" s="26">
        <f t="shared" si="88"/>
        <v>1390</v>
      </c>
      <c r="H957" s="26">
        <f t="shared" si="88"/>
        <v>1390</v>
      </c>
      <c r="I957" s="203"/>
    </row>
    <row r="958" spans="1:9" ht="33.4" customHeight="1" x14ac:dyDescent="0.25">
      <c r="A958" s="25" t="s">
        <v>140</v>
      </c>
      <c r="B958" s="16">
        <v>908</v>
      </c>
      <c r="C958" s="20" t="s">
        <v>241</v>
      </c>
      <c r="D958" s="20" t="s">
        <v>222</v>
      </c>
      <c r="E958" s="20" t="s">
        <v>1085</v>
      </c>
      <c r="F958" s="20" t="s">
        <v>141</v>
      </c>
      <c r="G958" s="26">
        <f>390+1000</f>
        <v>1390</v>
      </c>
      <c r="H958" s="26">
        <f t="shared" si="85"/>
        <v>1390</v>
      </c>
      <c r="I958" s="203"/>
    </row>
    <row r="959" spans="1:9" ht="31.5" x14ac:dyDescent="0.25">
      <c r="A959" s="23" t="s">
        <v>1379</v>
      </c>
      <c r="B959" s="19">
        <v>908</v>
      </c>
      <c r="C959" s="24" t="s">
        <v>241</v>
      </c>
      <c r="D959" s="24" t="s">
        <v>222</v>
      </c>
      <c r="E959" s="24" t="s">
        <v>550</v>
      </c>
      <c r="F959" s="24"/>
      <c r="G959" s="21">
        <f>G960+G964+G991</f>
        <v>1920</v>
      </c>
      <c r="H959" s="21">
        <f>H960+H964+H991</f>
        <v>2173</v>
      </c>
      <c r="I959" s="203"/>
    </row>
    <row r="960" spans="1:9" s="202" customFormat="1" ht="47.25" hidden="1" x14ac:dyDescent="0.25">
      <c r="A960" s="23" t="s">
        <v>1452</v>
      </c>
      <c r="B960" s="19">
        <v>908</v>
      </c>
      <c r="C960" s="24" t="s">
        <v>241</v>
      </c>
      <c r="D960" s="24" t="s">
        <v>222</v>
      </c>
      <c r="E960" s="24" t="s">
        <v>1288</v>
      </c>
      <c r="F960" s="24"/>
      <c r="G960" s="21">
        <f t="shared" ref="G960:H962" si="89">G961</f>
        <v>0</v>
      </c>
      <c r="H960" s="21">
        <f t="shared" si="89"/>
        <v>0</v>
      </c>
      <c r="I960" s="203"/>
    </row>
    <row r="961" spans="1:9" s="202" customFormat="1" ht="31.5" hidden="1" x14ac:dyDescent="0.25">
      <c r="A961" s="312" t="s">
        <v>1453</v>
      </c>
      <c r="B961" s="16">
        <v>908</v>
      </c>
      <c r="C961" s="20" t="s">
        <v>241</v>
      </c>
      <c r="D961" s="20" t="s">
        <v>222</v>
      </c>
      <c r="E961" s="20" t="s">
        <v>1436</v>
      </c>
      <c r="F961" s="20"/>
      <c r="G961" s="26">
        <f t="shared" si="89"/>
        <v>0</v>
      </c>
      <c r="H961" s="26">
        <f t="shared" si="89"/>
        <v>0</v>
      </c>
      <c r="I961" s="203"/>
    </row>
    <row r="962" spans="1:9" s="202" customFormat="1" ht="31.5" hidden="1" x14ac:dyDescent="0.25">
      <c r="A962" s="25" t="s">
        <v>138</v>
      </c>
      <c r="B962" s="16">
        <v>908</v>
      </c>
      <c r="C962" s="20" t="s">
        <v>241</v>
      </c>
      <c r="D962" s="20" t="s">
        <v>222</v>
      </c>
      <c r="E962" s="20" t="s">
        <v>1436</v>
      </c>
      <c r="F962" s="20" t="s">
        <v>139</v>
      </c>
      <c r="G962" s="26">
        <f t="shared" si="89"/>
        <v>0</v>
      </c>
      <c r="H962" s="26">
        <f t="shared" si="89"/>
        <v>0</v>
      </c>
      <c r="I962" s="203"/>
    </row>
    <row r="963" spans="1:9" s="202" customFormat="1" ht="31.5" hidden="1" x14ac:dyDescent="0.25">
      <c r="A963" s="25" t="s">
        <v>140</v>
      </c>
      <c r="B963" s="16">
        <v>908</v>
      </c>
      <c r="C963" s="20" t="s">
        <v>241</v>
      </c>
      <c r="D963" s="20" t="s">
        <v>222</v>
      </c>
      <c r="E963" s="20" t="s">
        <v>1436</v>
      </c>
      <c r="F963" s="20" t="s">
        <v>141</v>
      </c>
      <c r="G963" s="26">
        <v>0</v>
      </c>
      <c r="H963" s="26">
        <v>0</v>
      </c>
      <c r="I963" s="203"/>
    </row>
    <row r="964" spans="1:9" s="202" customFormat="1" ht="31.5" x14ac:dyDescent="0.25">
      <c r="A964" s="23" t="s">
        <v>1492</v>
      </c>
      <c r="B964" s="19">
        <v>908</v>
      </c>
      <c r="C964" s="24" t="s">
        <v>241</v>
      </c>
      <c r="D964" s="24" t="s">
        <v>222</v>
      </c>
      <c r="E964" s="24" t="s">
        <v>1289</v>
      </c>
      <c r="F964" s="24"/>
      <c r="G964" s="21">
        <f>G965+G968+G974+G977+G980+G985+G988</f>
        <v>1920</v>
      </c>
      <c r="H964" s="21">
        <f>H965+H968+H974+H977+H980+H985+H988</f>
        <v>2173</v>
      </c>
      <c r="I964" s="203"/>
    </row>
    <row r="965" spans="1:9" ht="15.75" x14ac:dyDescent="0.25">
      <c r="A965" s="25" t="s">
        <v>553</v>
      </c>
      <c r="B965" s="16">
        <v>908</v>
      </c>
      <c r="C965" s="20" t="s">
        <v>241</v>
      </c>
      <c r="D965" s="20" t="s">
        <v>222</v>
      </c>
      <c r="E965" s="20" t="s">
        <v>1451</v>
      </c>
      <c r="F965" s="20"/>
      <c r="G965" s="26">
        <f>G966</f>
        <v>365</v>
      </c>
      <c r="H965" s="26">
        <f>H966</f>
        <v>365</v>
      </c>
      <c r="I965" s="203"/>
    </row>
    <row r="966" spans="1:9" ht="31.5" x14ac:dyDescent="0.25">
      <c r="A966" s="25" t="s">
        <v>138</v>
      </c>
      <c r="B966" s="16">
        <v>908</v>
      </c>
      <c r="C966" s="20" t="s">
        <v>241</v>
      </c>
      <c r="D966" s="20" t="s">
        <v>222</v>
      </c>
      <c r="E966" s="20" t="s">
        <v>1451</v>
      </c>
      <c r="F966" s="20" t="s">
        <v>139</v>
      </c>
      <c r="G966" s="26">
        <f>G967</f>
        <v>365</v>
      </c>
      <c r="H966" s="26">
        <f>H967</f>
        <v>365</v>
      </c>
      <c r="I966" s="203"/>
    </row>
    <row r="967" spans="1:9" ht="31.5" x14ac:dyDescent="0.25">
      <c r="A967" s="25" t="s">
        <v>140</v>
      </c>
      <c r="B967" s="16">
        <v>908</v>
      </c>
      <c r="C967" s="20" t="s">
        <v>241</v>
      </c>
      <c r="D967" s="20" t="s">
        <v>222</v>
      </c>
      <c r="E967" s="20" t="s">
        <v>1451</v>
      </c>
      <c r="F967" s="20" t="s">
        <v>141</v>
      </c>
      <c r="G967" s="26">
        <v>365</v>
      </c>
      <c r="H967" s="26">
        <v>365</v>
      </c>
      <c r="I967" s="203"/>
    </row>
    <row r="968" spans="1:9" ht="15.75" x14ac:dyDescent="0.25">
      <c r="A968" s="25" t="s">
        <v>1097</v>
      </c>
      <c r="B968" s="16">
        <v>908</v>
      </c>
      <c r="C968" s="20" t="s">
        <v>241</v>
      </c>
      <c r="D968" s="20" t="s">
        <v>222</v>
      </c>
      <c r="E968" s="20" t="s">
        <v>1435</v>
      </c>
      <c r="F968" s="20"/>
      <c r="G968" s="26">
        <f>G969</f>
        <v>1080</v>
      </c>
      <c r="H968" s="26">
        <f>H969</f>
        <v>1188</v>
      </c>
      <c r="I968" s="203"/>
    </row>
    <row r="969" spans="1:9" ht="31.5" x14ac:dyDescent="0.25">
      <c r="A969" s="25" t="s">
        <v>138</v>
      </c>
      <c r="B969" s="16">
        <v>908</v>
      </c>
      <c r="C969" s="20" t="s">
        <v>241</v>
      </c>
      <c r="D969" s="20" t="s">
        <v>222</v>
      </c>
      <c r="E969" s="20" t="s">
        <v>1435</v>
      </c>
      <c r="F969" s="20" t="s">
        <v>139</v>
      </c>
      <c r="G969" s="26">
        <f>G970</f>
        <v>1080</v>
      </c>
      <c r="H969" s="26">
        <f>H970</f>
        <v>1188</v>
      </c>
      <c r="I969" s="203"/>
    </row>
    <row r="970" spans="1:9" ht="31.5" x14ac:dyDescent="0.25">
      <c r="A970" s="25" t="s">
        <v>140</v>
      </c>
      <c r="B970" s="16">
        <v>908</v>
      </c>
      <c r="C970" s="20" t="s">
        <v>241</v>
      </c>
      <c r="D970" s="20" t="s">
        <v>222</v>
      </c>
      <c r="E970" s="20" t="s">
        <v>1435</v>
      </c>
      <c r="F970" s="20" t="s">
        <v>141</v>
      </c>
      <c r="G970" s="26">
        <v>1080</v>
      </c>
      <c r="H970" s="26">
        <v>1188</v>
      </c>
      <c r="I970" s="203"/>
    </row>
    <row r="971" spans="1:9" ht="15.75" hidden="1" x14ac:dyDescent="0.25">
      <c r="A971" s="25" t="s">
        <v>142</v>
      </c>
      <c r="B971" s="16">
        <v>908</v>
      </c>
      <c r="C971" s="20" t="s">
        <v>241</v>
      </c>
      <c r="D971" s="20" t="s">
        <v>222</v>
      </c>
      <c r="E971" s="20" t="s">
        <v>1435</v>
      </c>
      <c r="F971" s="20" t="s">
        <v>152</v>
      </c>
      <c r="G971" s="26">
        <f>'Пр.4 ведом.21'!G960</f>
        <v>0</v>
      </c>
      <c r="H971" s="26">
        <f t="shared" si="85"/>
        <v>0</v>
      </c>
      <c r="I971" s="203"/>
    </row>
    <row r="972" spans="1:9" ht="47.25" hidden="1" x14ac:dyDescent="0.25">
      <c r="A972" s="25" t="s">
        <v>846</v>
      </c>
      <c r="B972" s="16">
        <v>908</v>
      </c>
      <c r="C972" s="20" t="s">
        <v>241</v>
      </c>
      <c r="D972" s="20" t="s">
        <v>222</v>
      </c>
      <c r="E972" s="20" t="s">
        <v>1435</v>
      </c>
      <c r="F972" s="20" t="s">
        <v>154</v>
      </c>
      <c r="G972" s="26">
        <f>'Пр.4 ведом.21'!G961</f>
        <v>0</v>
      </c>
      <c r="H972" s="26">
        <f t="shared" si="85"/>
        <v>0</v>
      </c>
      <c r="I972" s="203"/>
    </row>
    <row r="973" spans="1:9" ht="15.75" hidden="1" x14ac:dyDescent="0.25">
      <c r="A973" s="25" t="s">
        <v>714</v>
      </c>
      <c r="B973" s="16">
        <v>908</v>
      </c>
      <c r="C973" s="20" t="s">
        <v>241</v>
      </c>
      <c r="D973" s="20" t="s">
        <v>222</v>
      </c>
      <c r="E973" s="20" t="s">
        <v>1435</v>
      </c>
      <c r="F973" s="20" t="s">
        <v>145</v>
      </c>
      <c r="G973" s="26">
        <f>'Пр.4 ведом.21'!G962</f>
        <v>0</v>
      </c>
      <c r="H973" s="26">
        <f t="shared" si="85"/>
        <v>0</v>
      </c>
      <c r="I973" s="203"/>
    </row>
    <row r="974" spans="1:9" ht="15.75" hidden="1" x14ac:dyDescent="0.25">
      <c r="A974" s="25" t="s">
        <v>557</v>
      </c>
      <c r="B974" s="16">
        <v>908</v>
      </c>
      <c r="C974" s="20" t="s">
        <v>241</v>
      </c>
      <c r="D974" s="20" t="s">
        <v>222</v>
      </c>
      <c r="E974" s="20" t="s">
        <v>1313</v>
      </c>
      <c r="F974" s="20"/>
      <c r="G974" s="26">
        <f>G975</f>
        <v>0</v>
      </c>
      <c r="H974" s="26">
        <f>H975</f>
        <v>0</v>
      </c>
      <c r="I974" s="203"/>
    </row>
    <row r="975" spans="1:9" ht="31.5" hidden="1" x14ac:dyDescent="0.25">
      <c r="A975" s="25" t="s">
        <v>138</v>
      </c>
      <c r="B975" s="16">
        <v>908</v>
      </c>
      <c r="C975" s="20" t="s">
        <v>241</v>
      </c>
      <c r="D975" s="20" t="s">
        <v>222</v>
      </c>
      <c r="E975" s="20" t="s">
        <v>1313</v>
      </c>
      <c r="F975" s="20" t="s">
        <v>139</v>
      </c>
      <c r="G975" s="26">
        <f>G976</f>
        <v>0</v>
      </c>
      <c r="H975" s="26">
        <f>H976</f>
        <v>0</v>
      </c>
      <c r="I975" s="203"/>
    </row>
    <row r="976" spans="1:9" ht="31.5" hidden="1" x14ac:dyDescent="0.25">
      <c r="A976" s="25" t="s">
        <v>140</v>
      </c>
      <c r="B976" s="16">
        <v>908</v>
      </c>
      <c r="C976" s="20" t="s">
        <v>241</v>
      </c>
      <c r="D976" s="20" t="s">
        <v>222</v>
      </c>
      <c r="E976" s="20" t="s">
        <v>1313</v>
      </c>
      <c r="F976" s="20" t="s">
        <v>141</v>
      </c>
      <c r="G976" s="26">
        <v>0</v>
      </c>
      <c r="H976" s="26">
        <v>0</v>
      </c>
      <c r="I976" s="203"/>
    </row>
    <row r="977" spans="1:9" ht="15.75" x14ac:dyDescent="0.25">
      <c r="A977" s="25" t="s">
        <v>562</v>
      </c>
      <c r="B977" s="16">
        <v>908</v>
      </c>
      <c r="C977" s="20" t="s">
        <v>241</v>
      </c>
      <c r="D977" s="20" t="s">
        <v>222</v>
      </c>
      <c r="E977" s="20" t="s">
        <v>1290</v>
      </c>
      <c r="F977" s="20"/>
      <c r="G977" s="26">
        <f>G978</f>
        <v>50</v>
      </c>
      <c r="H977" s="26">
        <f>H978</f>
        <v>55</v>
      </c>
      <c r="I977" s="203"/>
    </row>
    <row r="978" spans="1:9" ht="31.5" x14ac:dyDescent="0.25">
      <c r="A978" s="25" t="s">
        <v>138</v>
      </c>
      <c r="B978" s="16">
        <v>908</v>
      </c>
      <c r="C978" s="20" t="s">
        <v>241</v>
      </c>
      <c r="D978" s="20" t="s">
        <v>222</v>
      </c>
      <c r="E978" s="20" t="s">
        <v>1290</v>
      </c>
      <c r="F978" s="20" t="s">
        <v>139</v>
      </c>
      <c r="G978" s="26">
        <f>G979</f>
        <v>50</v>
      </c>
      <c r="H978" s="26">
        <f>H979</f>
        <v>55</v>
      </c>
      <c r="I978" s="203"/>
    </row>
    <row r="979" spans="1:9" ht="31.5" x14ac:dyDescent="0.25">
      <c r="A979" s="25" t="s">
        <v>140</v>
      </c>
      <c r="B979" s="16">
        <v>908</v>
      </c>
      <c r="C979" s="20" t="s">
        <v>241</v>
      </c>
      <c r="D979" s="20" t="s">
        <v>222</v>
      </c>
      <c r="E979" s="20" t="s">
        <v>1290</v>
      </c>
      <c r="F979" s="20" t="s">
        <v>141</v>
      </c>
      <c r="G979" s="26">
        <v>50</v>
      </c>
      <c r="H979" s="26">
        <v>55</v>
      </c>
      <c r="I979" s="203"/>
    </row>
    <row r="980" spans="1:9" ht="31.5" x14ac:dyDescent="0.25">
      <c r="A980" s="310" t="s">
        <v>1454</v>
      </c>
      <c r="B980" s="16">
        <v>908</v>
      </c>
      <c r="C980" s="20" t="s">
        <v>241</v>
      </c>
      <c r="D980" s="20" t="s">
        <v>222</v>
      </c>
      <c r="E980" s="20" t="s">
        <v>1291</v>
      </c>
      <c r="F980" s="20"/>
      <c r="G980" s="26">
        <f>G981+G983</f>
        <v>375</v>
      </c>
      <c r="H980" s="26">
        <f>H981+H983</f>
        <v>375</v>
      </c>
      <c r="I980" s="203"/>
    </row>
    <row r="981" spans="1:9" ht="31.5" x14ac:dyDescent="0.25">
      <c r="A981" s="25" t="s">
        <v>138</v>
      </c>
      <c r="B981" s="16">
        <v>908</v>
      </c>
      <c r="C981" s="20" t="s">
        <v>241</v>
      </c>
      <c r="D981" s="20" t="s">
        <v>222</v>
      </c>
      <c r="E981" s="20" t="s">
        <v>1291</v>
      </c>
      <c r="F981" s="20" t="s">
        <v>139</v>
      </c>
      <c r="G981" s="26">
        <f>G982</f>
        <v>300</v>
      </c>
      <c r="H981" s="26">
        <f>H982</f>
        <v>300</v>
      </c>
      <c r="I981" s="203"/>
    </row>
    <row r="982" spans="1:9" ht="31.5" x14ac:dyDescent="0.25">
      <c r="A982" s="25" t="s">
        <v>140</v>
      </c>
      <c r="B982" s="16">
        <v>908</v>
      </c>
      <c r="C982" s="20" t="s">
        <v>241</v>
      </c>
      <c r="D982" s="20" t="s">
        <v>222</v>
      </c>
      <c r="E982" s="20" t="s">
        <v>1291</v>
      </c>
      <c r="F982" s="20" t="s">
        <v>141</v>
      </c>
      <c r="G982" s="26">
        <f>300</f>
        <v>300</v>
      </c>
      <c r="H982" s="26">
        <v>300</v>
      </c>
      <c r="I982" s="203"/>
    </row>
    <row r="983" spans="1:9" ht="15.75" x14ac:dyDescent="0.25">
      <c r="A983" s="25" t="s">
        <v>142</v>
      </c>
      <c r="B983" s="16">
        <v>908</v>
      </c>
      <c r="C983" s="20" t="s">
        <v>241</v>
      </c>
      <c r="D983" s="20" t="s">
        <v>222</v>
      </c>
      <c r="E983" s="20" t="s">
        <v>1291</v>
      </c>
      <c r="F983" s="20" t="s">
        <v>152</v>
      </c>
      <c r="G983" s="26">
        <f>G984</f>
        <v>75</v>
      </c>
      <c r="H983" s="26">
        <f>H984</f>
        <v>75</v>
      </c>
      <c r="I983" s="203"/>
    </row>
    <row r="984" spans="1:9" ht="15.75" x14ac:dyDescent="0.25">
      <c r="A984" s="25" t="s">
        <v>714</v>
      </c>
      <c r="B984" s="16">
        <v>908</v>
      </c>
      <c r="C984" s="20" t="s">
        <v>241</v>
      </c>
      <c r="D984" s="20" t="s">
        <v>222</v>
      </c>
      <c r="E984" s="20" t="s">
        <v>1291</v>
      </c>
      <c r="F984" s="20" t="s">
        <v>145</v>
      </c>
      <c r="G984" s="26">
        <f>75</f>
        <v>75</v>
      </c>
      <c r="H984" s="26">
        <f t="shared" ref="H984:H1032" si="90">G984</f>
        <v>75</v>
      </c>
      <c r="I984" s="203"/>
    </row>
    <row r="985" spans="1:9" ht="25.5" hidden="1" customHeight="1" x14ac:dyDescent="0.25">
      <c r="A985" s="45" t="s">
        <v>566</v>
      </c>
      <c r="B985" s="16">
        <v>908</v>
      </c>
      <c r="C985" s="20" t="s">
        <v>241</v>
      </c>
      <c r="D985" s="20" t="s">
        <v>222</v>
      </c>
      <c r="E985" s="20" t="s">
        <v>1292</v>
      </c>
      <c r="F985" s="20"/>
      <c r="G985" s="26">
        <f>'Пр.4 ведом.21'!G974</f>
        <v>0</v>
      </c>
      <c r="H985" s="26">
        <f>H986</f>
        <v>130</v>
      </c>
      <c r="I985" s="203"/>
    </row>
    <row r="986" spans="1:9" ht="31.5" hidden="1" x14ac:dyDescent="0.25">
      <c r="A986" s="25" t="s">
        <v>138</v>
      </c>
      <c r="B986" s="16">
        <v>908</v>
      </c>
      <c r="C986" s="20" t="s">
        <v>241</v>
      </c>
      <c r="D986" s="20" t="s">
        <v>222</v>
      </c>
      <c r="E986" s="20" t="s">
        <v>1292</v>
      </c>
      <c r="F986" s="20" t="s">
        <v>139</v>
      </c>
      <c r="G986" s="26">
        <f>'Пр.4 ведом.21'!G975</f>
        <v>0</v>
      </c>
      <c r="H986" s="26">
        <f>H987</f>
        <v>130</v>
      </c>
      <c r="I986" s="203"/>
    </row>
    <row r="987" spans="1:9" ht="31.5" hidden="1" x14ac:dyDescent="0.25">
      <c r="A987" s="25" t="s">
        <v>140</v>
      </c>
      <c r="B987" s="16">
        <v>908</v>
      </c>
      <c r="C987" s="20" t="s">
        <v>241</v>
      </c>
      <c r="D987" s="20" t="s">
        <v>222</v>
      </c>
      <c r="E987" s="20" t="s">
        <v>1292</v>
      </c>
      <c r="F987" s="20" t="s">
        <v>141</v>
      </c>
      <c r="G987" s="26">
        <f>0</f>
        <v>0</v>
      </c>
      <c r="H987" s="26">
        <v>130</v>
      </c>
      <c r="I987" s="203"/>
    </row>
    <row r="988" spans="1:9" s="202" customFormat="1" ht="31.5" x14ac:dyDescent="0.25">
      <c r="A988" s="224" t="s">
        <v>1099</v>
      </c>
      <c r="B988" s="16">
        <v>908</v>
      </c>
      <c r="C988" s="20" t="s">
        <v>241</v>
      </c>
      <c r="D988" s="20" t="s">
        <v>222</v>
      </c>
      <c r="E988" s="20" t="s">
        <v>1293</v>
      </c>
      <c r="F988" s="20"/>
      <c r="G988" s="26">
        <f>G989</f>
        <v>50</v>
      </c>
      <c r="H988" s="26">
        <f>H989</f>
        <v>60</v>
      </c>
      <c r="I988" s="203"/>
    </row>
    <row r="989" spans="1:9" s="202" customFormat="1" ht="31.5" x14ac:dyDescent="0.25">
      <c r="A989" s="25" t="s">
        <v>138</v>
      </c>
      <c r="B989" s="16">
        <v>908</v>
      </c>
      <c r="C989" s="20" t="s">
        <v>241</v>
      </c>
      <c r="D989" s="20" t="s">
        <v>222</v>
      </c>
      <c r="E989" s="20" t="s">
        <v>1293</v>
      </c>
      <c r="F989" s="20" t="s">
        <v>139</v>
      </c>
      <c r="G989" s="26">
        <f>G990</f>
        <v>50</v>
      </c>
      <c r="H989" s="26">
        <f>H990</f>
        <v>60</v>
      </c>
      <c r="I989" s="203"/>
    </row>
    <row r="990" spans="1:9" s="202" customFormat="1" ht="40.15" customHeight="1" x14ac:dyDescent="0.25">
      <c r="A990" s="25" t="s">
        <v>140</v>
      </c>
      <c r="B990" s="16">
        <v>908</v>
      </c>
      <c r="C990" s="20" t="s">
        <v>241</v>
      </c>
      <c r="D990" s="20" t="s">
        <v>222</v>
      </c>
      <c r="E990" s="20" t="s">
        <v>1293</v>
      </c>
      <c r="F990" s="20" t="s">
        <v>141</v>
      </c>
      <c r="G990" s="26">
        <v>50</v>
      </c>
      <c r="H990" s="26">
        <v>60</v>
      </c>
      <c r="I990" s="203"/>
    </row>
    <row r="991" spans="1:9" ht="31.5" hidden="1" x14ac:dyDescent="0.25">
      <c r="A991" s="23" t="s">
        <v>901</v>
      </c>
      <c r="B991" s="19">
        <v>908</v>
      </c>
      <c r="C991" s="24" t="s">
        <v>241</v>
      </c>
      <c r="D991" s="24" t="s">
        <v>222</v>
      </c>
      <c r="E991" s="24" t="s">
        <v>1311</v>
      </c>
      <c r="F991" s="24"/>
      <c r="G991" s="21">
        <f>G992+G995</f>
        <v>0</v>
      </c>
      <c r="H991" s="21">
        <f>H992+H995</f>
        <v>0</v>
      </c>
      <c r="I991" s="203"/>
    </row>
    <row r="992" spans="1:9" ht="31.5" hidden="1" x14ac:dyDescent="0.25">
      <c r="A992" s="25" t="s">
        <v>698</v>
      </c>
      <c r="B992" s="16">
        <v>908</v>
      </c>
      <c r="C992" s="20" t="s">
        <v>241</v>
      </c>
      <c r="D992" s="20" t="s">
        <v>222</v>
      </c>
      <c r="E992" s="20" t="s">
        <v>1342</v>
      </c>
      <c r="F992" s="20"/>
      <c r="G992" s="26">
        <f>'Пр.4 ведом.21'!G981</f>
        <v>0</v>
      </c>
      <c r="H992" s="26">
        <f t="shared" si="90"/>
        <v>0</v>
      </c>
      <c r="I992" s="203"/>
    </row>
    <row r="993" spans="1:9" ht="31.5" hidden="1" x14ac:dyDescent="0.25">
      <c r="A993" s="25" t="s">
        <v>138</v>
      </c>
      <c r="B993" s="16">
        <v>908</v>
      </c>
      <c r="C993" s="20" t="s">
        <v>241</v>
      </c>
      <c r="D993" s="20" t="s">
        <v>222</v>
      </c>
      <c r="E993" s="20" t="s">
        <v>1342</v>
      </c>
      <c r="F993" s="20" t="s">
        <v>139</v>
      </c>
      <c r="G993" s="26">
        <f>'Пр.4 ведом.21'!G982</f>
        <v>0</v>
      </c>
      <c r="H993" s="26">
        <f t="shared" si="90"/>
        <v>0</v>
      </c>
      <c r="I993" s="203"/>
    </row>
    <row r="994" spans="1:9" ht="31.5" hidden="1" x14ac:dyDescent="0.25">
      <c r="A994" s="25" t="s">
        <v>140</v>
      </c>
      <c r="B994" s="16">
        <v>908</v>
      </c>
      <c r="C994" s="20" t="s">
        <v>241</v>
      </c>
      <c r="D994" s="20" t="s">
        <v>222</v>
      </c>
      <c r="E994" s="20" t="s">
        <v>1342</v>
      </c>
      <c r="F994" s="20" t="s">
        <v>141</v>
      </c>
      <c r="G994" s="26">
        <f>'Пр.4 ведом.21'!G983</f>
        <v>0</v>
      </c>
      <c r="H994" s="26">
        <f t="shared" si="90"/>
        <v>0</v>
      </c>
      <c r="I994" s="203"/>
    </row>
    <row r="995" spans="1:9" ht="63" hidden="1" x14ac:dyDescent="0.25">
      <c r="A995" s="25" t="s">
        <v>1081</v>
      </c>
      <c r="B995" s="16">
        <v>908</v>
      </c>
      <c r="C995" s="20" t="s">
        <v>241</v>
      </c>
      <c r="D995" s="20" t="s">
        <v>222</v>
      </c>
      <c r="E995" s="20" t="s">
        <v>1310</v>
      </c>
      <c r="F995" s="20"/>
      <c r="G995" s="26">
        <f>G996</f>
        <v>0</v>
      </c>
      <c r="H995" s="26">
        <f>H996</f>
        <v>0</v>
      </c>
      <c r="I995" s="203"/>
    </row>
    <row r="996" spans="1:9" ht="31.5" hidden="1" x14ac:dyDescent="0.25">
      <c r="A996" s="25" t="s">
        <v>138</v>
      </c>
      <c r="B996" s="16">
        <v>908</v>
      </c>
      <c r="C996" s="20" t="s">
        <v>241</v>
      </c>
      <c r="D996" s="20" t="s">
        <v>222</v>
      </c>
      <c r="E996" s="20" t="s">
        <v>1310</v>
      </c>
      <c r="F996" s="20" t="s">
        <v>139</v>
      </c>
      <c r="G996" s="26">
        <f>G997</f>
        <v>0</v>
      </c>
      <c r="H996" s="26">
        <f>H997</f>
        <v>0</v>
      </c>
      <c r="I996" s="203"/>
    </row>
    <row r="997" spans="1:9" ht="31.5" hidden="1" x14ac:dyDescent="0.25">
      <c r="A997" s="25" t="s">
        <v>140</v>
      </c>
      <c r="B997" s="16">
        <v>908</v>
      </c>
      <c r="C997" s="20" t="s">
        <v>241</v>
      </c>
      <c r="D997" s="20" t="s">
        <v>222</v>
      </c>
      <c r="E997" s="20" t="s">
        <v>1310</v>
      </c>
      <c r="F997" s="20" t="s">
        <v>141</v>
      </c>
      <c r="G997" s="26"/>
      <c r="H997" s="26"/>
      <c r="I997" s="203"/>
    </row>
    <row r="998" spans="1:9" ht="63" x14ac:dyDescent="0.25">
      <c r="A998" s="23" t="s">
        <v>1579</v>
      </c>
      <c r="B998" s="19">
        <v>908</v>
      </c>
      <c r="C998" s="24" t="s">
        <v>241</v>
      </c>
      <c r="D998" s="24" t="s">
        <v>222</v>
      </c>
      <c r="E998" s="24" t="s">
        <v>721</v>
      </c>
      <c r="F998" s="24"/>
      <c r="G998" s="21">
        <f t="shared" ref="G998:H1001" si="91">G999</f>
        <v>500</v>
      </c>
      <c r="H998" s="21">
        <f t="shared" si="91"/>
        <v>500</v>
      </c>
      <c r="I998" s="203"/>
    </row>
    <row r="999" spans="1:9" ht="31.5" x14ac:dyDescent="0.25">
      <c r="A999" s="23" t="s">
        <v>1077</v>
      </c>
      <c r="B999" s="19">
        <v>908</v>
      </c>
      <c r="C999" s="24" t="s">
        <v>241</v>
      </c>
      <c r="D999" s="24" t="s">
        <v>222</v>
      </c>
      <c r="E999" s="24" t="s">
        <v>1098</v>
      </c>
      <c r="F999" s="24"/>
      <c r="G999" s="21">
        <f t="shared" si="91"/>
        <v>500</v>
      </c>
      <c r="H999" s="21">
        <f t="shared" si="91"/>
        <v>500</v>
      </c>
      <c r="I999" s="203"/>
    </row>
    <row r="1000" spans="1:9" ht="47.25" x14ac:dyDescent="0.25">
      <c r="A1000" s="80" t="s">
        <v>701</v>
      </c>
      <c r="B1000" s="16">
        <v>908</v>
      </c>
      <c r="C1000" s="20" t="s">
        <v>241</v>
      </c>
      <c r="D1000" s="20" t="s">
        <v>222</v>
      </c>
      <c r="E1000" s="20" t="s">
        <v>845</v>
      </c>
      <c r="F1000" s="20"/>
      <c r="G1000" s="26">
        <f t="shared" si="91"/>
        <v>500</v>
      </c>
      <c r="H1000" s="26">
        <f t="shared" si="91"/>
        <v>500</v>
      </c>
      <c r="I1000" s="203"/>
    </row>
    <row r="1001" spans="1:9" ht="31.5" x14ac:dyDescent="0.25">
      <c r="A1001" s="25" t="s">
        <v>138</v>
      </c>
      <c r="B1001" s="16">
        <v>908</v>
      </c>
      <c r="C1001" s="20" t="s">
        <v>241</v>
      </c>
      <c r="D1001" s="20" t="s">
        <v>222</v>
      </c>
      <c r="E1001" s="20" t="s">
        <v>845</v>
      </c>
      <c r="F1001" s="20" t="s">
        <v>139</v>
      </c>
      <c r="G1001" s="26">
        <f t="shared" si="91"/>
        <v>500</v>
      </c>
      <c r="H1001" s="26">
        <f t="shared" si="91"/>
        <v>500</v>
      </c>
      <c r="I1001" s="203"/>
    </row>
    <row r="1002" spans="1:9" ht="31.5" x14ac:dyDescent="0.25">
      <c r="A1002" s="25" t="s">
        <v>140</v>
      </c>
      <c r="B1002" s="16">
        <v>908</v>
      </c>
      <c r="C1002" s="20" t="s">
        <v>241</v>
      </c>
      <c r="D1002" s="20" t="s">
        <v>222</v>
      </c>
      <c r="E1002" s="20" t="s">
        <v>845</v>
      </c>
      <c r="F1002" s="20" t="s">
        <v>141</v>
      </c>
      <c r="G1002" s="26">
        <f>500</f>
        <v>500</v>
      </c>
      <c r="H1002" s="26">
        <f t="shared" si="90"/>
        <v>500</v>
      </c>
      <c r="I1002" s="203"/>
    </row>
    <row r="1003" spans="1:9" ht="31.5" x14ac:dyDescent="0.25">
      <c r="A1003" s="23" t="s">
        <v>576</v>
      </c>
      <c r="B1003" s="19">
        <v>908</v>
      </c>
      <c r="C1003" s="24" t="s">
        <v>241</v>
      </c>
      <c r="D1003" s="24" t="s">
        <v>241</v>
      </c>
      <c r="E1003" s="24"/>
      <c r="F1003" s="24"/>
      <c r="G1003" s="21">
        <f>G1004+G1016+G1033</f>
        <v>25304.5</v>
      </c>
      <c r="H1003" s="21">
        <f>H1004+H1016+H1033</f>
        <v>25304.5</v>
      </c>
      <c r="I1003" s="203"/>
    </row>
    <row r="1004" spans="1:9" ht="31.5" x14ac:dyDescent="0.25">
      <c r="A1004" s="23" t="s">
        <v>927</v>
      </c>
      <c r="B1004" s="19">
        <v>908</v>
      </c>
      <c r="C1004" s="24" t="s">
        <v>241</v>
      </c>
      <c r="D1004" s="24" t="s">
        <v>241</v>
      </c>
      <c r="E1004" s="24" t="s">
        <v>868</v>
      </c>
      <c r="F1004" s="24"/>
      <c r="G1004" s="21">
        <f>G1005</f>
        <v>12879.3</v>
      </c>
      <c r="H1004" s="21">
        <f>H1005</f>
        <v>12879.3</v>
      </c>
      <c r="I1004" s="203"/>
    </row>
    <row r="1005" spans="1:9" ht="15.75" x14ac:dyDescent="0.25">
      <c r="A1005" s="23" t="s">
        <v>928</v>
      </c>
      <c r="B1005" s="19">
        <v>908</v>
      </c>
      <c r="C1005" s="24" t="s">
        <v>241</v>
      </c>
      <c r="D1005" s="24" t="s">
        <v>241</v>
      </c>
      <c r="E1005" s="24" t="s">
        <v>869</v>
      </c>
      <c r="F1005" s="24"/>
      <c r="G1005" s="21">
        <f>G1006+G1013</f>
        <v>12879.3</v>
      </c>
      <c r="H1005" s="21">
        <f>H1006+H1013</f>
        <v>12879.3</v>
      </c>
      <c r="I1005" s="203"/>
    </row>
    <row r="1006" spans="1:9" ht="31.5" x14ac:dyDescent="0.25">
      <c r="A1006" s="25" t="s">
        <v>907</v>
      </c>
      <c r="B1006" s="16">
        <v>908</v>
      </c>
      <c r="C1006" s="20" t="s">
        <v>241</v>
      </c>
      <c r="D1006" s="20" t="s">
        <v>241</v>
      </c>
      <c r="E1006" s="20" t="s">
        <v>870</v>
      </c>
      <c r="F1006" s="20"/>
      <c r="G1006" s="26">
        <f>G1007+G1009+G1011</f>
        <v>12511.3</v>
      </c>
      <c r="H1006" s="26">
        <f>H1007+H1009+H1011</f>
        <v>12511.3</v>
      </c>
      <c r="I1006" s="203"/>
    </row>
    <row r="1007" spans="1:9" ht="78.75" x14ac:dyDescent="0.25">
      <c r="A1007" s="25" t="s">
        <v>134</v>
      </c>
      <c r="B1007" s="16">
        <v>908</v>
      </c>
      <c r="C1007" s="20" t="s">
        <v>241</v>
      </c>
      <c r="D1007" s="20" t="s">
        <v>241</v>
      </c>
      <c r="E1007" s="20" t="s">
        <v>870</v>
      </c>
      <c r="F1007" s="20" t="s">
        <v>135</v>
      </c>
      <c r="G1007" s="26">
        <f>G1008</f>
        <v>12439.3</v>
      </c>
      <c r="H1007" s="26">
        <f>H1008</f>
        <v>12439.3</v>
      </c>
      <c r="I1007" s="203"/>
    </row>
    <row r="1008" spans="1:9" ht="31.5" x14ac:dyDescent="0.25">
      <c r="A1008" s="25" t="s">
        <v>136</v>
      </c>
      <c r="B1008" s="16">
        <v>908</v>
      </c>
      <c r="C1008" s="20" t="s">
        <v>241</v>
      </c>
      <c r="D1008" s="20" t="s">
        <v>241</v>
      </c>
      <c r="E1008" s="20" t="s">
        <v>870</v>
      </c>
      <c r="F1008" s="20" t="s">
        <v>137</v>
      </c>
      <c r="G1008" s="26">
        <v>12439.3</v>
      </c>
      <c r="H1008" s="26">
        <f t="shared" si="90"/>
        <v>12439.3</v>
      </c>
      <c r="I1008" s="203"/>
    </row>
    <row r="1009" spans="1:9" ht="31.5" x14ac:dyDescent="0.25">
      <c r="A1009" s="25" t="s">
        <v>138</v>
      </c>
      <c r="B1009" s="16">
        <v>908</v>
      </c>
      <c r="C1009" s="20" t="s">
        <v>241</v>
      </c>
      <c r="D1009" s="20" t="s">
        <v>241</v>
      </c>
      <c r="E1009" s="20" t="s">
        <v>870</v>
      </c>
      <c r="F1009" s="20" t="s">
        <v>139</v>
      </c>
      <c r="G1009" s="26">
        <f>G1010</f>
        <v>25</v>
      </c>
      <c r="H1009" s="26">
        <f>H1010</f>
        <v>25</v>
      </c>
      <c r="I1009" s="203"/>
    </row>
    <row r="1010" spans="1:9" ht="31.5" x14ac:dyDescent="0.25">
      <c r="A1010" s="25" t="s">
        <v>140</v>
      </c>
      <c r="B1010" s="16">
        <v>908</v>
      </c>
      <c r="C1010" s="20" t="s">
        <v>241</v>
      </c>
      <c r="D1010" s="20" t="s">
        <v>241</v>
      </c>
      <c r="E1010" s="20" t="s">
        <v>870</v>
      </c>
      <c r="F1010" s="20" t="s">
        <v>141</v>
      </c>
      <c r="G1010" s="26">
        <f>25</f>
        <v>25</v>
      </c>
      <c r="H1010" s="26">
        <f t="shared" si="90"/>
        <v>25</v>
      </c>
      <c r="I1010" s="203"/>
    </row>
    <row r="1011" spans="1:9" ht="15.75" x14ac:dyDescent="0.25">
      <c r="A1011" s="25" t="s">
        <v>142</v>
      </c>
      <c r="B1011" s="16">
        <v>908</v>
      </c>
      <c r="C1011" s="20" t="s">
        <v>241</v>
      </c>
      <c r="D1011" s="20" t="s">
        <v>241</v>
      </c>
      <c r="E1011" s="20" t="s">
        <v>870</v>
      </c>
      <c r="F1011" s="20" t="s">
        <v>152</v>
      </c>
      <c r="G1011" s="26">
        <f>G1012</f>
        <v>47</v>
      </c>
      <c r="H1011" s="26">
        <f>H1012</f>
        <v>47</v>
      </c>
      <c r="I1011" s="203"/>
    </row>
    <row r="1012" spans="1:9" ht="15.75" x14ac:dyDescent="0.25">
      <c r="A1012" s="25" t="s">
        <v>575</v>
      </c>
      <c r="B1012" s="16">
        <v>908</v>
      </c>
      <c r="C1012" s="20" t="s">
        <v>241</v>
      </c>
      <c r="D1012" s="20" t="s">
        <v>241</v>
      </c>
      <c r="E1012" s="20" t="s">
        <v>870</v>
      </c>
      <c r="F1012" s="20" t="s">
        <v>145</v>
      </c>
      <c r="G1012" s="26">
        <f>47</f>
        <v>47</v>
      </c>
      <c r="H1012" s="26">
        <f t="shared" si="90"/>
        <v>47</v>
      </c>
      <c r="I1012" s="203"/>
    </row>
    <row r="1013" spans="1:9" ht="47.25" x14ac:dyDescent="0.25">
      <c r="A1013" s="25" t="s">
        <v>849</v>
      </c>
      <c r="B1013" s="16">
        <v>908</v>
      </c>
      <c r="C1013" s="20" t="s">
        <v>241</v>
      </c>
      <c r="D1013" s="20" t="s">
        <v>241</v>
      </c>
      <c r="E1013" s="20" t="s">
        <v>872</v>
      </c>
      <c r="F1013" s="20"/>
      <c r="G1013" s="26">
        <f>G1014</f>
        <v>368</v>
      </c>
      <c r="H1013" s="26">
        <f>H1014</f>
        <v>368</v>
      </c>
      <c r="I1013" s="203"/>
    </row>
    <row r="1014" spans="1:9" ht="78.75" x14ac:dyDescent="0.25">
      <c r="A1014" s="25" t="s">
        <v>134</v>
      </c>
      <c r="B1014" s="16">
        <v>908</v>
      </c>
      <c r="C1014" s="20" t="s">
        <v>241</v>
      </c>
      <c r="D1014" s="20" t="s">
        <v>241</v>
      </c>
      <c r="E1014" s="20" t="s">
        <v>872</v>
      </c>
      <c r="F1014" s="20" t="s">
        <v>135</v>
      </c>
      <c r="G1014" s="26">
        <f>G1015</f>
        <v>368</v>
      </c>
      <c r="H1014" s="26">
        <f>H1015</f>
        <v>368</v>
      </c>
      <c r="I1014" s="203"/>
    </row>
    <row r="1015" spans="1:9" ht="31.5" x14ac:dyDescent="0.25">
      <c r="A1015" s="25" t="s">
        <v>136</v>
      </c>
      <c r="B1015" s="16">
        <v>908</v>
      </c>
      <c r="C1015" s="20" t="s">
        <v>241</v>
      </c>
      <c r="D1015" s="20" t="s">
        <v>241</v>
      </c>
      <c r="E1015" s="20" t="s">
        <v>872</v>
      </c>
      <c r="F1015" s="20" t="s">
        <v>137</v>
      </c>
      <c r="G1015" s="26">
        <v>368</v>
      </c>
      <c r="H1015" s="26">
        <f t="shared" si="90"/>
        <v>368</v>
      </c>
      <c r="I1015" s="203"/>
    </row>
    <row r="1016" spans="1:9" ht="15.75" x14ac:dyDescent="0.25">
      <c r="A1016" s="23" t="s">
        <v>148</v>
      </c>
      <c r="B1016" s="19">
        <v>908</v>
      </c>
      <c r="C1016" s="24" t="s">
        <v>241</v>
      </c>
      <c r="D1016" s="24" t="s">
        <v>241</v>
      </c>
      <c r="E1016" s="24" t="s">
        <v>876</v>
      </c>
      <c r="F1016" s="24"/>
      <c r="G1016" s="21">
        <f>G1017+G1024</f>
        <v>12425.2</v>
      </c>
      <c r="H1016" s="21">
        <f>H1017+H1024</f>
        <v>12425.2</v>
      </c>
      <c r="I1016" s="203"/>
    </row>
    <row r="1017" spans="1:9" ht="31.5" x14ac:dyDescent="0.25">
      <c r="A1017" s="23" t="s">
        <v>880</v>
      </c>
      <c r="B1017" s="19">
        <v>908</v>
      </c>
      <c r="C1017" s="24" t="s">
        <v>241</v>
      </c>
      <c r="D1017" s="24" t="s">
        <v>241</v>
      </c>
      <c r="E1017" s="24" t="s">
        <v>875</v>
      </c>
      <c r="F1017" s="24"/>
      <c r="G1017" s="21">
        <f>G1018+G1021</f>
        <v>982</v>
      </c>
      <c r="H1017" s="21">
        <f>H1018+H1021</f>
        <v>982</v>
      </c>
      <c r="I1017" s="203"/>
    </row>
    <row r="1018" spans="1:9" ht="31.5" x14ac:dyDescent="0.25">
      <c r="A1018" s="25" t="s">
        <v>577</v>
      </c>
      <c r="B1018" s="16">
        <v>908</v>
      </c>
      <c r="C1018" s="20" t="s">
        <v>241</v>
      </c>
      <c r="D1018" s="20" t="s">
        <v>241</v>
      </c>
      <c r="E1018" s="20" t="s">
        <v>994</v>
      </c>
      <c r="F1018" s="20"/>
      <c r="G1018" s="26">
        <f>G1019</f>
        <v>982</v>
      </c>
      <c r="H1018" s="26">
        <f>H1019</f>
        <v>982</v>
      </c>
      <c r="I1018" s="203"/>
    </row>
    <row r="1019" spans="1:9" ht="15.75" x14ac:dyDescent="0.25">
      <c r="A1019" s="25" t="s">
        <v>142</v>
      </c>
      <c r="B1019" s="16">
        <v>908</v>
      </c>
      <c r="C1019" s="20" t="s">
        <v>241</v>
      </c>
      <c r="D1019" s="20" t="s">
        <v>241</v>
      </c>
      <c r="E1019" s="20" t="s">
        <v>994</v>
      </c>
      <c r="F1019" s="20" t="s">
        <v>152</v>
      </c>
      <c r="G1019" s="26">
        <f>G1020</f>
        <v>982</v>
      </c>
      <c r="H1019" s="26">
        <f>H1020</f>
        <v>982</v>
      </c>
      <c r="I1019" s="203"/>
    </row>
    <row r="1020" spans="1:9" ht="47.25" x14ac:dyDescent="0.25">
      <c r="A1020" s="25" t="s">
        <v>191</v>
      </c>
      <c r="B1020" s="16">
        <v>908</v>
      </c>
      <c r="C1020" s="20" t="s">
        <v>241</v>
      </c>
      <c r="D1020" s="20" t="s">
        <v>241</v>
      </c>
      <c r="E1020" s="20" t="s">
        <v>994</v>
      </c>
      <c r="F1020" s="20" t="s">
        <v>167</v>
      </c>
      <c r="G1020" s="26">
        <v>982</v>
      </c>
      <c r="H1020" s="26">
        <f t="shared" si="90"/>
        <v>982</v>
      </c>
      <c r="I1020" s="203"/>
    </row>
    <row r="1021" spans="1:9" ht="31.5" hidden="1" x14ac:dyDescent="0.25">
      <c r="A1021" s="25" t="s">
        <v>833</v>
      </c>
      <c r="B1021" s="16">
        <v>908</v>
      </c>
      <c r="C1021" s="20" t="s">
        <v>241</v>
      </c>
      <c r="D1021" s="20" t="s">
        <v>241</v>
      </c>
      <c r="E1021" s="20" t="s">
        <v>1082</v>
      </c>
      <c r="F1021" s="20"/>
      <c r="G1021" s="26">
        <f>'Пр.4 ведом.21'!G1012</f>
        <v>0</v>
      </c>
      <c r="H1021" s="26">
        <f t="shared" si="90"/>
        <v>0</v>
      </c>
      <c r="I1021" s="203"/>
    </row>
    <row r="1022" spans="1:9" ht="15.75" hidden="1" x14ac:dyDescent="0.25">
      <c r="A1022" s="25" t="s">
        <v>142</v>
      </c>
      <c r="B1022" s="16">
        <v>908</v>
      </c>
      <c r="C1022" s="20" t="s">
        <v>241</v>
      </c>
      <c r="D1022" s="20" t="s">
        <v>241</v>
      </c>
      <c r="E1022" s="20" t="s">
        <v>1082</v>
      </c>
      <c r="F1022" s="20" t="s">
        <v>152</v>
      </c>
      <c r="G1022" s="26">
        <f>'Пр.4 ведом.21'!G1013</f>
        <v>0</v>
      </c>
      <c r="H1022" s="26">
        <f t="shared" si="90"/>
        <v>0</v>
      </c>
      <c r="I1022" s="203"/>
    </row>
    <row r="1023" spans="1:9" ht="47.25" hidden="1" x14ac:dyDescent="0.25">
      <c r="A1023" s="25" t="s">
        <v>191</v>
      </c>
      <c r="B1023" s="16">
        <v>908</v>
      </c>
      <c r="C1023" s="20" t="s">
        <v>241</v>
      </c>
      <c r="D1023" s="20" t="s">
        <v>241</v>
      </c>
      <c r="E1023" s="20" t="s">
        <v>1082</v>
      </c>
      <c r="F1023" s="20" t="s">
        <v>167</v>
      </c>
      <c r="G1023" s="26">
        <f>'Пр.4 ведом.21'!G1014</f>
        <v>0</v>
      </c>
      <c r="H1023" s="26">
        <f t="shared" si="90"/>
        <v>0</v>
      </c>
      <c r="I1023" s="203"/>
    </row>
    <row r="1024" spans="1:9" ht="31.5" x14ac:dyDescent="0.25">
      <c r="A1024" s="23" t="s">
        <v>939</v>
      </c>
      <c r="B1024" s="19">
        <v>908</v>
      </c>
      <c r="C1024" s="24" t="s">
        <v>241</v>
      </c>
      <c r="D1024" s="24" t="s">
        <v>241</v>
      </c>
      <c r="E1024" s="24" t="s">
        <v>924</v>
      </c>
      <c r="F1024" s="24"/>
      <c r="G1024" s="44">
        <f>G1025+G1030</f>
        <v>11443.2</v>
      </c>
      <c r="H1024" s="44">
        <f>H1025+H1030</f>
        <v>11443.2</v>
      </c>
      <c r="I1024" s="203"/>
    </row>
    <row r="1025" spans="1:9" ht="31.5" x14ac:dyDescent="0.25">
      <c r="A1025" s="25" t="s">
        <v>913</v>
      </c>
      <c r="B1025" s="16">
        <v>908</v>
      </c>
      <c r="C1025" s="20" t="s">
        <v>241</v>
      </c>
      <c r="D1025" s="20" t="s">
        <v>241</v>
      </c>
      <c r="E1025" s="20" t="s">
        <v>925</v>
      </c>
      <c r="F1025" s="20"/>
      <c r="G1025" s="26">
        <f>G1026+G1028</f>
        <v>10845.2</v>
      </c>
      <c r="H1025" s="26">
        <f>H1026+H1028</f>
        <v>10845.2</v>
      </c>
      <c r="I1025" s="203"/>
    </row>
    <row r="1026" spans="1:9" ht="78.75" x14ac:dyDescent="0.25">
      <c r="A1026" s="25" t="s">
        <v>134</v>
      </c>
      <c r="B1026" s="16">
        <v>908</v>
      </c>
      <c r="C1026" s="20" t="s">
        <v>241</v>
      </c>
      <c r="D1026" s="20" t="s">
        <v>241</v>
      </c>
      <c r="E1026" s="20" t="s">
        <v>925</v>
      </c>
      <c r="F1026" s="20" t="s">
        <v>135</v>
      </c>
      <c r="G1026" s="26">
        <f>G1027</f>
        <v>9193</v>
      </c>
      <c r="H1026" s="26">
        <f>H1027</f>
        <v>9193</v>
      </c>
      <c r="I1026" s="203"/>
    </row>
    <row r="1027" spans="1:9" ht="31.5" x14ac:dyDescent="0.25">
      <c r="A1027" s="25" t="s">
        <v>349</v>
      </c>
      <c r="B1027" s="16">
        <v>908</v>
      </c>
      <c r="C1027" s="20" t="s">
        <v>241</v>
      </c>
      <c r="D1027" s="20" t="s">
        <v>241</v>
      </c>
      <c r="E1027" s="20" t="s">
        <v>925</v>
      </c>
      <c r="F1027" s="20" t="s">
        <v>216</v>
      </c>
      <c r="G1027" s="26">
        <v>9193</v>
      </c>
      <c r="H1027" s="26">
        <f t="shared" si="90"/>
        <v>9193</v>
      </c>
      <c r="I1027" s="203"/>
    </row>
    <row r="1028" spans="1:9" ht="31.5" x14ac:dyDescent="0.25">
      <c r="A1028" s="25" t="s">
        <v>138</v>
      </c>
      <c r="B1028" s="16">
        <v>908</v>
      </c>
      <c r="C1028" s="20" t="s">
        <v>241</v>
      </c>
      <c r="D1028" s="20" t="s">
        <v>241</v>
      </c>
      <c r="E1028" s="20" t="s">
        <v>925</v>
      </c>
      <c r="F1028" s="20" t="s">
        <v>139</v>
      </c>
      <c r="G1028" s="26">
        <f>G1029</f>
        <v>1652.2</v>
      </c>
      <c r="H1028" s="26">
        <f>H1029</f>
        <v>1652.2</v>
      </c>
      <c r="I1028" s="203"/>
    </row>
    <row r="1029" spans="1:9" ht="31.5" x14ac:dyDescent="0.25">
      <c r="A1029" s="25" t="s">
        <v>140</v>
      </c>
      <c r="B1029" s="16">
        <v>908</v>
      </c>
      <c r="C1029" s="20" t="s">
        <v>241</v>
      </c>
      <c r="D1029" s="20" t="s">
        <v>241</v>
      </c>
      <c r="E1029" s="20" t="s">
        <v>925</v>
      </c>
      <c r="F1029" s="20" t="s">
        <v>141</v>
      </c>
      <c r="G1029" s="26">
        <v>1652.2</v>
      </c>
      <c r="H1029" s="26">
        <f t="shared" si="90"/>
        <v>1652.2</v>
      </c>
      <c r="I1029" s="203"/>
    </row>
    <row r="1030" spans="1:9" ht="47.25" x14ac:dyDescent="0.25">
      <c r="A1030" s="25" t="s">
        <v>849</v>
      </c>
      <c r="B1030" s="16">
        <v>908</v>
      </c>
      <c r="C1030" s="20" t="s">
        <v>241</v>
      </c>
      <c r="D1030" s="20" t="s">
        <v>241</v>
      </c>
      <c r="E1030" s="20" t="s">
        <v>926</v>
      </c>
      <c r="F1030" s="20"/>
      <c r="G1030" s="26">
        <f>G1031</f>
        <v>598</v>
      </c>
      <c r="H1030" s="26">
        <f>H1031</f>
        <v>598</v>
      </c>
      <c r="I1030" s="203"/>
    </row>
    <row r="1031" spans="1:9" ht="78.75" x14ac:dyDescent="0.25">
      <c r="A1031" s="25" t="s">
        <v>134</v>
      </c>
      <c r="B1031" s="16">
        <v>908</v>
      </c>
      <c r="C1031" s="20" t="s">
        <v>241</v>
      </c>
      <c r="D1031" s="20" t="s">
        <v>241</v>
      </c>
      <c r="E1031" s="20" t="s">
        <v>926</v>
      </c>
      <c r="F1031" s="20" t="s">
        <v>135</v>
      </c>
      <c r="G1031" s="26">
        <f>G1032</f>
        <v>598</v>
      </c>
      <c r="H1031" s="26">
        <f>H1032</f>
        <v>598</v>
      </c>
      <c r="I1031" s="203"/>
    </row>
    <row r="1032" spans="1:9" ht="23.25" customHeight="1" x14ac:dyDescent="0.25">
      <c r="A1032" s="25" t="s">
        <v>349</v>
      </c>
      <c r="B1032" s="16">
        <v>908</v>
      </c>
      <c r="C1032" s="20" t="s">
        <v>241</v>
      </c>
      <c r="D1032" s="20" t="s">
        <v>241</v>
      </c>
      <c r="E1032" s="20" t="s">
        <v>926</v>
      </c>
      <c r="F1032" s="20" t="s">
        <v>216</v>
      </c>
      <c r="G1032" s="26">
        <v>598</v>
      </c>
      <c r="H1032" s="26">
        <f t="shared" si="90"/>
        <v>598</v>
      </c>
      <c r="I1032" s="203"/>
    </row>
    <row r="1033" spans="1:9" s="202" customFormat="1" ht="47.25" hidden="1" x14ac:dyDescent="0.25">
      <c r="A1033" s="34" t="s">
        <v>1374</v>
      </c>
      <c r="B1033" s="19">
        <v>908</v>
      </c>
      <c r="C1033" s="24" t="s">
        <v>241</v>
      </c>
      <c r="D1033" s="24" t="s">
        <v>241</v>
      </c>
      <c r="E1033" s="24" t="s">
        <v>331</v>
      </c>
      <c r="F1033" s="24"/>
      <c r="G1033" s="21">
        <f t="shared" ref="G1033:H1036" si="92">G1034</f>
        <v>0</v>
      </c>
      <c r="H1033" s="21">
        <f t="shared" si="92"/>
        <v>0</v>
      </c>
      <c r="I1033" s="203"/>
    </row>
    <row r="1034" spans="1:9" s="202" customFormat="1" ht="63" hidden="1" x14ac:dyDescent="0.25">
      <c r="A1034" s="34" t="s">
        <v>1019</v>
      </c>
      <c r="B1034" s="19">
        <v>908</v>
      </c>
      <c r="C1034" s="24" t="s">
        <v>241</v>
      </c>
      <c r="D1034" s="24" t="s">
        <v>241</v>
      </c>
      <c r="E1034" s="24" t="s">
        <v>944</v>
      </c>
      <c r="F1034" s="24"/>
      <c r="G1034" s="21">
        <f t="shared" si="92"/>
        <v>0</v>
      </c>
      <c r="H1034" s="21">
        <f t="shared" si="92"/>
        <v>0</v>
      </c>
      <c r="I1034" s="203"/>
    </row>
    <row r="1035" spans="1:9" s="202" customFormat="1" ht="47.25" hidden="1" x14ac:dyDescent="0.25">
      <c r="A1035" s="31" t="s">
        <v>1091</v>
      </c>
      <c r="B1035" s="16">
        <v>908</v>
      </c>
      <c r="C1035" s="20" t="s">
        <v>241</v>
      </c>
      <c r="D1035" s="20" t="s">
        <v>241</v>
      </c>
      <c r="E1035" s="20" t="s">
        <v>1036</v>
      </c>
      <c r="F1035" s="20"/>
      <c r="G1035" s="26">
        <f t="shared" si="92"/>
        <v>0</v>
      </c>
      <c r="H1035" s="26">
        <f t="shared" si="92"/>
        <v>0</v>
      </c>
      <c r="I1035" s="203"/>
    </row>
    <row r="1036" spans="1:9" s="202" customFormat="1" ht="31.5" hidden="1" x14ac:dyDescent="0.25">
      <c r="A1036" s="25" t="s">
        <v>138</v>
      </c>
      <c r="B1036" s="16">
        <v>908</v>
      </c>
      <c r="C1036" s="20" t="s">
        <v>241</v>
      </c>
      <c r="D1036" s="20" t="s">
        <v>241</v>
      </c>
      <c r="E1036" s="20" t="s">
        <v>1036</v>
      </c>
      <c r="F1036" s="20" t="s">
        <v>139</v>
      </c>
      <c r="G1036" s="26">
        <f t="shared" si="92"/>
        <v>0</v>
      </c>
      <c r="H1036" s="26">
        <f t="shared" si="92"/>
        <v>0</v>
      </c>
      <c r="I1036" s="203"/>
    </row>
    <row r="1037" spans="1:9" s="202" customFormat="1" ht="31.5" hidden="1" x14ac:dyDescent="0.25">
      <c r="A1037" s="25" t="s">
        <v>140</v>
      </c>
      <c r="B1037" s="16">
        <v>908</v>
      </c>
      <c r="C1037" s="20" t="s">
        <v>241</v>
      </c>
      <c r="D1037" s="20" t="s">
        <v>241</v>
      </c>
      <c r="E1037" s="20" t="s">
        <v>1036</v>
      </c>
      <c r="F1037" s="20" t="s">
        <v>141</v>
      </c>
      <c r="G1037" s="26">
        <v>0</v>
      </c>
      <c r="H1037" s="26">
        <v>0</v>
      </c>
      <c r="I1037" s="203"/>
    </row>
    <row r="1038" spans="1:9" ht="15.75" x14ac:dyDescent="0.25">
      <c r="A1038" s="23" t="s">
        <v>250</v>
      </c>
      <c r="B1038" s="19">
        <v>908</v>
      </c>
      <c r="C1038" s="24" t="s">
        <v>251</v>
      </c>
      <c r="D1038" s="24"/>
      <c r="E1038" s="24"/>
      <c r="F1038" s="24"/>
      <c r="G1038" s="21">
        <f t="shared" ref="G1038:H1039" si="93">G1039</f>
        <v>87</v>
      </c>
      <c r="H1038" s="21">
        <f t="shared" si="93"/>
        <v>87</v>
      </c>
      <c r="I1038" s="203"/>
    </row>
    <row r="1039" spans="1:9" ht="15.75" x14ac:dyDescent="0.25">
      <c r="A1039" s="23" t="s">
        <v>265</v>
      </c>
      <c r="B1039" s="19">
        <v>908</v>
      </c>
      <c r="C1039" s="24" t="s">
        <v>251</v>
      </c>
      <c r="D1039" s="24" t="s">
        <v>127</v>
      </c>
      <c r="E1039" s="24"/>
      <c r="F1039" s="24"/>
      <c r="G1039" s="21">
        <f t="shared" si="93"/>
        <v>87</v>
      </c>
      <c r="H1039" s="21">
        <f t="shared" si="93"/>
        <v>87</v>
      </c>
      <c r="I1039" s="203"/>
    </row>
    <row r="1040" spans="1:9" ht="15.75" x14ac:dyDescent="0.25">
      <c r="A1040" s="23" t="s">
        <v>148</v>
      </c>
      <c r="B1040" s="19">
        <v>908</v>
      </c>
      <c r="C1040" s="24" t="s">
        <v>251</v>
      </c>
      <c r="D1040" s="24" t="s">
        <v>127</v>
      </c>
      <c r="E1040" s="24" t="s">
        <v>876</v>
      </c>
      <c r="F1040" s="24"/>
      <c r="G1040" s="21">
        <f t="shared" ref="G1040:H1042" si="94">G1041</f>
        <v>87</v>
      </c>
      <c r="H1040" s="21">
        <f t="shared" si="94"/>
        <v>87</v>
      </c>
      <c r="I1040" s="203"/>
    </row>
    <row r="1041" spans="1:9" ht="15.75" x14ac:dyDescent="0.25">
      <c r="A1041" s="23" t="s">
        <v>148</v>
      </c>
      <c r="B1041" s="19">
        <v>908</v>
      </c>
      <c r="C1041" s="24" t="s">
        <v>251</v>
      </c>
      <c r="D1041" s="24" t="s">
        <v>127</v>
      </c>
      <c r="E1041" s="24" t="s">
        <v>875</v>
      </c>
      <c r="F1041" s="24"/>
      <c r="G1041" s="21">
        <f t="shared" si="94"/>
        <v>87</v>
      </c>
      <c r="H1041" s="21">
        <f t="shared" si="94"/>
        <v>87</v>
      </c>
      <c r="I1041" s="203"/>
    </row>
    <row r="1042" spans="1:9" ht="31.5" x14ac:dyDescent="0.25">
      <c r="A1042" s="23" t="s">
        <v>880</v>
      </c>
      <c r="B1042" s="19">
        <v>908</v>
      </c>
      <c r="C1042" s="24" t="s">
        <v>251</v>
      </c>
      <c r="D1042" s="24" t="s">
        <v>127</v>
      </c>
      <c r="E1042" s="24" t="s">
        <v>875</v>
      </c>
      <c r="F1042" s="24"/>
      <c r="G1042" s="21">
        <f t="shared" si="94"/>
        <v>87</v>
      </c>
      <c r="H1042" s="21">
        <f t="shared" si="94"/>
        <v>87</v>
      </c>
      <c r="I1042" s="203"/>
    </row>
    <row r="1043" spans="1:9" ht="15.75" x14ac:dyDescent="0.25">
      <c r="A1043" s="25" t="s">
        <v>579</v>
      </c>
      <c r="B1043" s="16">
        <v>908</v>
      </c>
      <c r="C1043" s="20" t="s">
        <v>251</v>
      </c>
      <c r="D1043" s="20" t="s">
        <v>127</v>
      </c>
      <c r="E1043" s="20" t="s">
        <v>995</v>
      </c>
      <c r="F1043" s="20"/>
      <c r="G1043" s="26">
        <f>G1044</f>
        <v>87</v>
      </c>
      <c r="H1043" s="26">
        <f>H1044</f>
        <v>87</v>
      </c>
      <c r="I1043" s="203"/>
    </row>
    <row r="1044" spans="1:9" ht="31.5" x14ac:dyDescent="0.25">
      <c r="A1044" s="25" t="s">
        <v>138</v>
      </c>
      <c r="B1044" s="16">
        <v>908</v>
      </c>
      <c r="C1044" s="20" t="s">
        <v>251</v>
      </c>
      <c r="D1044" s="20" t="s">
        <v>127</v>
      </c>
      <c r="E1044" s="20" t="s">
        <v>995</v>
      </c>
      <c r="F1044" s="20" t="s">
        <v>139</v>
      </c>
      <c r="G1044" s="26">
        <f>G1045</f>
        <v>87</v>
      </c>
      <c r="H1044" s="26">
        <f>H1045</f>
        <v>87</v>
      </c>
      <c r="I1044" s="203"/>
    </row>
    <row r="1045" spans="1:9" ht="31.5" x14ac:dyDescent="0.25">
      <c r="A1045" s="25" t="s">
        <v>140</v>
      </c>
      <c r="B1045" s="16">
        <v>908</v>
      </c>
      <c r="C1045" s="20" t="s">
        <v>251</v>
      </c>
      <c r="D1045" s="20" t="s">
        <v>127</v>
      </c>
      <c r="E1045" s="20" t="s">
        <v>995</v>
      </c>
      <c r="F1045" s="20" t="s">
        <v>141</v>
      </c>
      <c r="G1045" s="26">
        <f>87</f>
        <v>87</v>
      </c>
      <c r="H1045" s="26">
        <f t="shared" ref="H1045:H1093" si="95">G1045</f>
        <v>87</v>
      </c>
      <c r="I1045" s="203"/>
    </row>
    <row r="1046" spans="1:9" ht="31.5" x14ac:dyDescent="0.25">
      <c r="A1046" s="19" t="s">
        <v>1388</v>
      </c>
      <c r="B1046" s="19">
        <v>910</v>
      </c>
      <c r="C1046" s="47"/>
      <c r="D1046" s="47"/>
      <c r="E1046" s="47"/>
      <c r="F1046" s="47"/>
      <c r="G1046" s="21">
        <f>G1047</f>
        <v>7286.5</v>
      </c>
      <c r="H1046" s="21">
        <f>H1047</f>
        <v>7286.5</v>
      </c>
      <c r="I1046" s="203"/>
    </row>
    <row r="1047" spans="1:9" ht="15.75" x14ac:dyDescent="0.25">
      <c r="A1047" s="23" t="s">
        <v>124</v>
      </c>
      <c r="B1047" s="19">
        <v>910</v>
      </c>
      <c r="C1047" s="24" t="s">
        <v>125</v>
      </c>
      <c r="D1047" s="24"/>
      <c r="E1047" s="24"/>
      <c r="F1047" s="24"/>
      <c r="G1047" s="21">
        <f>G1048+G1067+G1083</f>
        <v>7286.5</v>
      </c>
      <c r="H1047" s="21">
        <f>H1048+H1067+H1083</f>
        <v>7286.5</v>
      </c>
      <c r="I1047" s="203"/>
    </row>
    <row r="1048" spans="1:9" ht="47.25" hidden="1" x14ac:dyDescent="0.25">
      <c r="A1048" s="23" t="s">
        <v>582</v>
      </c>
      <c r="B1048" s="19">
        <v>910</v>
      </c>
      <c r="C1048" s="24" t="s">
        <v>125</v>
      </c>
      <c r="D1048" s="24" t="s">
        <v>220</v>
      </c>
      <c r="E1048" s="24"/>
      <c r="F1048" s="24"/>
      <c r="G1048" s="21">
        <f>G1049+G1059</f>
        <v>0</v>
      </c>
      <c r="H1048" s="21">
        <f>H1049+H1059</f>
        <v>0</v>
      </c>
      <c r="I1048" s="203"/>
    </row>
    <row r="1049" spans="1:9" ht="31.5" hidden="1" x14ac:dyDescent="0.25">
      <c r="A1049" s="23" t="s">
        <v>927</v>
      </c>
      <c r="B1049" s="19">
        <v>910</v>
      </c>
      <c r="C1049" s="24" t="s">
        <v>125</v>
      </c>
      <c r="D1049" s="24" t="s">
        <v>220</v>
      </c>
      <c r="E1049" s="24" t="s">
        <v>868</v>
      </c>
      <c r="F1049" s="24"/>
      <c r="G1049" s="21">
        <f>G1050</f>
        <v>0</v>
      </c>
      <c r="H1049" s="21">
        <f>H1050</f>
        <v>0</v>
      </c>
      <c r="I1049" s="203"/>
    </row>
    <row r="1050" spans="1:9" ht="31.5" hidden="1" x14ac:dyDescent="0.25">
      <c r="A1050" s="23" t="s">
        <v>996</v>
      </c>
      <c r="B1050" s="19">
        <v>910</v>
      </c>
      <c r="C1050" s="24" t="s">
        <v>125</v>
      </c>
      <c r="D1050" s="24" t="s">
        <v>220</v>
      </c>
      <c r="E1050" s="24" t="s">
        <v>997</v>
      </c>
      <c r="F1050" s="24"/>
      <c r="G1050" s="21">
        <f>G1051+G1056</f>
        <v>0</v>
      </c>
      <c r="H1050" s="21">
        <f>H1051+H1056</f>
        <v>0</v>
      </c>
      <c r="I1050" s="203"/>
    </row>
    <row r="1051" spans="1:9" ht="31.5" hidden="1" x14ac:dyDescent="0.25">
      <c r="A1051" s="25" t="s">
        <v>583</v>
      </c>
      <c r="B1051" s="16">
        <v>910</v>
      </c>
      <c r="C1051" s="20" t="s">
        <v>125</v>
      </c>
      <c r="D1051" s="20" t="s">
        <v>220</v>
      </c>
      <c r="E1051" s="20" t="s">
        <v>998</v>
      </c>
      <c r="F1051" s="20"/>
      <c r="G1051" s="26">
        <f>G1052+G1054</f>
        <v>0</v>
      </c>
      <c r="H1051" s="26">
        <f>H1052+H1054</f>
        <v>0</v>
      </c>
      <c r="I1051" s="203"/>
    </row>
    <row r="1052" spans="1:9" ht="78.75" hidden="1" x14ac:dyDescent="0.25">
      <c r="A1052" s="25" t="s">
        <v>134</v>
      </c>
      <c r="B1052" s="16">
        <v>910</v>
      </c>
      <c r="C1052" s="20" t="s">
        <v>125</v>
      </c>
      <c r="D1052" s="20" t="s">
        <v>220</v>
      </c>
      <c r="E1052" s="20" t="s">
        <v>998</v>
      </c>
      <c r="F1052" s="20" t="s">
        <v>135</v>
      </c>
      <c r="G1052" s="26">
        <f>G1053</f>
        <v>0</v>
      </c>
      <c r="H1052" s="26">
        <f>H1053</f>
        <v>0</v>
      </c>
      <c r="I1052" s="203"/>
    </row>
    <row r="1053" spans="1:9" ht="31.5" hidden="1" x14ac:dyDescent="0.25">
      <c r="A1053" s="25" t="s">
        <v>136</v>
      </c>
      <c r="B1053" s="16">
        <v>910</v>
      </c>
      <c r="C1053" s="20" t="s">
        <v>125</v>
      </c>
      <c r="D1053" s="20" t="s">
        <v>220</v>
      </c>
      <c r="E1053" s="20" t="s">
        <v>998</v>
      </c>
      <c r="F1053" s="20" t="s">
        <v>137</v>
      </c>
      <c r="G1053" s="26">
        <v>0</v>
      </c>
      <c r="H1053" s="26">
        <v>0</v>
      </c>
      <c r="I1053" s="203"/>
    </row>
    <row r="1054" spans="1:9" ht="31.5" hidden="1" x14ac:dyDescent="0.25">
      <c r="A1054" s="25" t="s">
        <v>205</v>
      </c>
      <c r="B1054" s="16">
        <v>910</v>
      </c>
      <c r="C1054" s="20" t="s">
        <v>125</v>
      </c>
      <c r="D1054" s="20" t="s">
        <v>220</v>
      </c>
      <c r="E1054" s="20" t="s">
        <v>998</v>
      </c>
      <c r="F1054" s="20" t="s">
        <v>139</v>
      </c>
      <c r="G1054" s="26">
        <f>G1055</f>
        <v>0</v>
      </c>
      <c r="H1054" s="26">
        <f>H1055</f>
        <v>0</v>
      </c>
      <c r="I1054" s="203"/>
    </row>
    <row r="1055" spans="1:9" ht="31.5" hidden="1" x14ac:dyDescent="0.25">
      <c r="A1055" s="25" t="s">
        <v>140</v>
      </c>
      <c r="B1055" s="16">
        <v>910</v>
      </c>
      <c r="C1055" s="20" t="s">
        <v>125</v>
      </c>
      <c r="D1055" s="20" t="s">
        <v>220</v>
      </c>
      <c r="E1055" s="20" t="s">
        <v>998</v>
      </c>
      <c r="F1055" s="20" t="s">
        <v>141</v>
      </c>
      <c r="G1055" s="26">
        <v>0</v>
      </c>
      <c r="H1055" s="26">
        <v>0</v>
      </c>
      <c r="I1055" s="203"/>
    </row>
    <row r="1056" spans="1:9" ht="47.25" hidden="1" x14ac:dyDescent="0.25">
      <c r="A1056" s="25" t="s">
        <v>849</v>
      </c>
      <c r="B1056" s="16">
        <v>910</v>
      </c>
      <c r="C1056" s="20" t="s">
        <v>125</v>
      </c>
      <c r="D1056" s="20" t="s">
        <v>220</v>
      </c>
      <c r="E1056" s="20" t="s">
        <v>999</v>
      </c>
      <c r="F1056" s="20"/>
      <c r="G1056" s="26">
        <f>G1057</f>
        <v>0</v>
      </c>
      <c r="H1056" s="26">
        <f>H1057</f>
        <v>0</v>
      </c>
      <c r="I1056" s="203"/>
    </row>
    <row r="1057" spans="1:9" ht="78.75" hidden="1" x14ac:dyDescent="0.25">
      <c r="A1057" s="25" t="s">
        <v>134</v>
      </c>
      <c r="B1057" s="16">
        <v>910</v>
      </c>
      <c r="C1057" s="20" t="s">
        <v>125</v>
      </c>
      <c r="D1057" s="20" t="s">
        <v>220</v>
      </c>
      <c r="E1057" s="20" t="s">
        <v>999</v>
      </c>
      <c r="F1057" s="20" t="s">
        <v>135</v>
      </c>
      <c r="G1057" s="26">
        <f>G1058</f>
        <v>0</v>
      </c>
      <c r="H1057" s="26">
        <f>H1058</f>
        <v>0</v>
      </c>
      <c r="I1057" s="203"/>
    </row>
    <row r="1058" spans="1:9" ht="31.5" hidden="1" x14ac:dyDescent="0.25">
      <c r="A1058" s="25" t="s">
        <v>136</v>
      </c>
      <c r="B1058" s="16">
        <v>910</v>
      </c>
      <c r="C1058" s="20" t="s">
        <v>125</v>
      </c>
      <c r="D1058" s="20" t="s">
        <v>220</v>
      </c>
      <c r="E1058" s="20" t="s">
        <v>999</v>
      </c>
      <c r="F1058" s="20" t="s">
        <v>137</v>
      </c>
      <c r="G1058" s="26">
        <v>0</v>
      </c>
      <c r="H1058" s="26">
        <v>0</v>
      </c>
      <c r="I1058" s="203"/>
    </row>
    <row r="1059" spans="1:9" ht="47.25" hidden="1" x14ac:dyDescent="0.25">
      <c r="A1059" s="23" t="s">
        <v>1192</v>
      </c>
      <c r="B1059" s="19">
        <v>910</v>
      </c>
      <c r="C1059" s="24" t="s">
        <v>125</v>
      </c>
      <c r="D1059" s="24" t="s">
        <v>220</v>
      </c>
      <c r="E1059" s="24" t="s">
        <v>169</v>
      </c>
      <c r="F1059" s="24"/>
      <c r="G1059" s="21">
        <f>G1060</f>
        <v>0</v>
      </c>
      <c r="H1059" s="21">
        <f>H1060</f>
        <v>0</v>
      </c>
      <c r="I1059" s="203"/>
    </row>
    <row r="1060" spans="1:9" ht="63" hidden="1" x14ac:dyDescent="0.25">
      <c r="A1060" s="215" t="s">
        <v>853</v>
      </c>
      <c r="B1060" s="19">
        <v>910</v>
      </c>
      <c r="C1060" s="24" t="s">
        <v>125</v>
      </c>
      <c r="D1060" s="24" t="s">
        <v>220</v>
      </c>
      <c r="E1060" s="24" t="s">
        <v>860</v>
      </c>
      <c r="F1060" s="24"/>
      <c r="G1060" s="21">
        <f>G1061+G1064</f>
        <v>0</v>
      </c>
      <c r="H1060" s="21">
        <f>H1061+H1064</f>
        <v>0</v>
      </c>
      <c r="I1060" s="203"/>
    </row>
    <row r="1061" spans="1:9" ht="47.25" hidden="1" x14ac:dyDescent="0.25">
      <c r="A1061" s="31" t="s">
        <v>703</v>
      </c>
      <c r="B1061" s="16">
        <v>910</v>
      </c>
      <c r="C1061" s="20" t="s">
        <v>125</v>
      </c>
      <c r="D1061" s="20" t="s">
        <v>220</v>
      </c>
      <c r="E1061" s="40" t="s">
        <v>1003</v>
      </c>
      <c r="F1061" s="20"/>
      <c r="G1061" s="26">
        <f>G1062</f>
        <v>0</v>
      </c>
      <c r="H1061" s="26">
        <f>H1062</f>
        <v>0</v>
      </c>
      <c r="I1061" s="203"/>
    </row>
    <row r="1062" spans="1:9" ht="31.5" hidden="1" x14ac:dyDescent="0.25">
      <c r="A1062" s="25" t="s">
        <v>138</v>
      </c>
      <c r="B1062" s="16">
        <v>910</v>
      </c>
      <c r="C1062" s="20" t="s">
        <v>125</v>
      </c>
      <c r="D1062" s="20" t="s">
        <v>220</v>
      </c>
      <c r="E1062" s="40" t="s">
        <v>1003</v>
      </c>
      <c r="F1062" s="20" t="s">
        <v>139</v>
      </c>
      <c r="G1062" s="26">
        <f>G1063</f>
        <v>0</v>
      </c>
      <c r="H1062" s="26">
        <f>H1063</f>
        <v>0</v>
      </c>
      <c r="I1062" s="203"/>
    </row>
    <row r="1063" spans="1:9" ht="31.5" hidden="1" x14ac:dyDescent="0.25">
      <c r="A1063" s="25" t="s">
        <v>140</v>
      </c>
      <c r="B1063" s="16">
        <v>910</v>
      </c>
      <c r="C1063" s="20" t="s">
        <v>125</v>
      </c>
      <c r="D1063" s="20" t="s">
        <v>220</v>
      </c>
      <c r="E1063" s="40" t="s">
        <v>704</v>
      </c>
      <c r="F1063" s="20" t="s">
        <v>141</v>
      </c>
      <c r="G1063" s="26">
        <v>0</v>
      </c>
      <c r="H1063" s="26">
        <v>0</v>
      </c>
      <c r="I1063" s="203"/>
    </row>
    <row r="1064" spans="1:9" ht="47.25" hidden="1" x14ac:dyDescent="0.25">
      <c r="A1064" s="31" t="s">
        <v>703</v>
      </c>
      <c r="B1064" s="16">
        <v>910</v>
      </c>
      <c r="C1064" s="20" t="s">
        <v>125</v>
      </c>
      <c r="D1064" s="20" t="s">
        <v>220</v>
      </c>
      <c r="E1064" s="20" t="s">
        <v>1002</v>
      </c>
      <c r="F1064" s="20"/>
      <c r="G1064" s="26">
        <f>G1065</f>
        <v>0</v>
      </c>
      <c r="H1064" s="26">
        <f>H1065</f>
        <v>0</v>
      </c>
      <c r="I1064" s="203"/>
    </row>
    <row r="1065" spans="1:9" ht="31.5" hidden="1" x14ac:dyDescent="0.25">
      <c r="A1065" s="25" t="s">
        <v>138</v>
      </c>
      <c r="B1065" s="16">
        <v>910</v>
      </c>
      <c r="C1065" s="20" t="s">
        <v>125</v>
      </c>
      <c r="D1065" s="20" t="s">
        <v>220</v>
      </c>
      <c r="E1065" s="20" t="s">
        <v>1002</v>
      </c>
      <c r="F1065" s="20" t="s">
        <v>139</v>
      </c>
      <c r="G1065" s="26">
        <f>G1066</f>
        <v>0</v>
      </c>
      <c r="H1065" s="26">
        <f>H1066</f>
        <v>0</v>
      </c>
      <c r="I1065" s="203"/>
    </row>
    <row r="1066" spans="1:9" ht="31.5" hidden="1" x14ac:dyDescent="0.25">
      <c r="A1066" s="25" t="s">
        <v>140</v>
      </c>
      <c r="B1066" s="16">
        <v>910</v>
      </c>
      <c r="C1066" s="20" t="s">
        <v>125</v>
      </c>
      <c r="D1066" s="20" t="s">
        <v>220</v>
      </c>
      <c r="E1066" s="20" t="s">
        <v>1002</v>
      </c>
      <c r="F1066" s="20" t="s">
        <v>141</v>
      </c>
      <c r="G1066" s="26">
        <v>0</v>
      </c>
      <c r="H1066" s="26">
        <v>0</v>
      </c>
      <c r="I1066" s="203"/>
    </row>
    <row r="1067" spans="1:9" ht="63" x14ac:dyDescent="0.25">
      <c r="A1067" s="23" t="s">
        <v>585</v>
      </c>
      <c r="B1067" s="19">
        <v>910</v>
      </c>
      <c r="C1067" s="24" t="s">
        <v>125</v>
      </c>
      <c r="D1067" s="24" t="s">
        <v>222</v>
      </c>
      <c r="E1067" s="24"/>
      <c r="F1067" s="24"/>
      <c r="G1067" s="21">
        <f>G1068</f>
        <v>5488</v>
      </c>
      <c r="H1067" s="21">
        <f>H1068</f>
        <v>5488</v>
      </c>
      <c r="I1067" s="203"/>
    </row>
    <row r="1068" spans="1:9" ht="31.5" x14ac:dyDescent="0.25">
      <c r="A1068" s="23" t="s">
        <v>927</v>
      </c>
      <c r="B1068" s="19">
        <v>910</v>
      </c>
      <c r="C1068" s="24" t="s">
        <v>125</v>
      </c>
      <c r="D1068" s="24" t="s">
        <v>222</v>
      </c>
      <c r="E1068" s="24" t="s">
        <v>868</v>
      </c>
      <c r="F1068" s="24"/>
      <c r="G1068" s="21">
        <f>G1069</f>
        <v>5488</v>
      </c>
      <c r="H1068" s="21">
        <f>H1069</f>
        <v>5488</v>
      </c>
      <c r="I1068" s="203"/>
    </row>
    <row r="1069" spans="1:9" ht="31.5" x14ac:dyDescent="0.25">
      <c r="A1069" s="23" t="s">
        <v>996</v>
      </c>
      <c r="B1069" s="19">
        <v>910</v>
      </c>
      <c r="C1069" s="24" t="s">
        <v>125</v>
      </c>
      <c r="D1069" s="24" t="s">
        <v>222</v>
      </c>
      <c r="E1069" s="24" t="s">
        <v>997</v>
      </c>
      <c r="F1069" s="24"/>
      <c r="G1069" s="21">
        <f>G1075+G1080+G1070</f>
        <v>5488</v>
      </c>
      <c r="H1069" s="21">
        <f>H1075+H1080+H1070</f>
        <v>5488</v>
      </c>
      <c r="I1069" s="203"/>
    </row>
    <row r="1070" spans="1:9" s="202" customFormat="1" ht="47.25" x14ac:dyDescent="0.25">
      <c r="A1070" s="285" t="s">
        <v>1380</v>
      </c>
      <c r="B1070" s="16">
        <v>910</v>
      </c>
      <c r="C1070" s="20" t="s">
        <v>125</v>
      </c>
      <c r="D1070" s="20" t="s">
        <v>222</v>
      </c>
      <c r="E1070" s="20" t="s">
        <v>1418</v>
      </c>
      <c r="F1070" s="24"/>
      <c r="G1070" s="26">
        <f>G1071+G1073</f>
        <v>4247.6000000000004</v>
      </c>
      <c r="H1070" s="26">
        <f>H1071+H1073</f>
        <v>4247.6000000000004</v>
      </c>
      <c r="I1070" s="203"/>
    </row>
    <row r="1071" spans="1:9" s="202" customFormat="1" ht="78.75" x14ac:dyDescent="0.25">
      <c r="A1071" s="25" t="s">
        <v>134</v>
      </c>
      <c r="B1071" s="16">
        <v>910</v>
      </c>
      <c r="C1071" s="20" t="s">
        <v>125</v>
      </c>
      <c r="D1071" s="20" t="s">
        <v>222</v>
      </c>
      <c r="E1071" s="20" t="s">
        <v>1418</v>
      </c>
      <c r="F1071" s="20" t="s">
        <v>135</v>
      </c>
      <c r="G1071" s="26">
        <f>G1072</f>
        <v>4154.6000000000004</v>
      </c>
      <c r="H1071" s="26">
        <f>H1072</f>
        <v>4154.6000000000004</v>
      </c>
      <c r="I1071" s="203"/>
    </row>
    <row r="1072" spans="1:9" s="202" customFormat="1" ht="31.5" x14ac:dyDescent="0.25">
      <c r="A1072" s="25" t="s">
        <v>136</v>
      </c>
      <c r="B1072" s="16">
        <v>910</v>
      </c>
      <c r="C1072" s="20" t="s">
        <v>125</v>
      </c>
      <c r="D1072" s="20" t="s">
        <v>222</v>
      </c>
      <c r="E1072" s="20" t="s">
        <v>1418</v>
      </c>
      <c r="F1072" s="20" t="s">
        <v>137</v>
      </c>
      <c r="G1072" s="26">
        <v>4154.6000000000004</v>
      </c>
      <c r="H1072" s="26">
        <f>G1072</f>
        <v>4154.6000000000004</v>
      </c>
      <c r="I1072" s="203"/>
    </row>
    <row r="1073" spans="1:9" s="202" customFormat="1" ht="31.5" x14ac:dyDescent="0.25">
      <c r="A1073" s="25" t="s">
        <v>205</v>
      </c>
      <c r="B1073" s="16">
        <v>910</v>
      </c>
      <c r="C1073" s="20" t="s">
        <v>125</v>
      </c>
      <c r="D1073" s="20" t="s">
        <v>222</v>
      </c>
      <c r="E1073" s="20" t="s">
        <v>1418</v>
      </c>
      <c r="F1073" s="20" t="s">
        <v>139</v>
      </c>
      <c r="G1073" s="26">
        <f>G1074</f>
        <v>93</v>
      </c>
      <c r="H1073" s="26">
        <f>H1074</f>
        <v>93</v>
      </c>
      <c r="I1073" s="203"/>
    </row>
    <row r="1074" spans="1:9" s="202" customFormat="1" ht="31.5" x14ac:dyDescent="0.25">
      <c r="A1074" s="25" t="s">
        <v>140</v>
      </c>
      <c r="B1074" s="16">
        <v>910</v>
      </c>
      <c r="C1074" s="20" t="s">
        <v>125</v>
      </c>
      <c r="D1074" s="20" t="s">
        <v>222</v>
      </c>
      <c r="E1074" s="20" t="s">
        <v>1418</v>
      </c>
      <c r="F1074" s="20" t="s">
        <v>141</v>
      </c>
      <c r="G1074" s="26">
        <v>93</v>
      </c>
      <c r="H1074" s="26">
        <f>G1074</f>
        <v>93</v>
      </c>
      <c r="I1074" s="203"/>
    </row>
    <row r="1075" spans="1:9" ht="31.5" x14ac:dyDescent="0.25">
      <c r="A1075" s="25" t="s">
        <v>1000</v>
      </c>
      <c r="B1075" s="16">
        <v>910</v>
      </c>
      <c r="C1075" s="20" t="s">
        <v>125</v>
      </c>
      <c r="D1075" s="20" t="s">
        <v>222</v>
      </c>
      <c r="E1075" s="20" t="s">
        <v>1001</v>
      </c>
      <c r="F1075" s="20"/>
      <c r="G1075" s="26">
        <f>G1076+G1078</f>
        <v>1240.4000000000001</v>
      </c>
      <c r="H1075" s="26">
        <f>H1076+H1078</f>
        <v>1240.4000000000001</v>
      </c>
      <c r="I1075" s="203"/>
    </row>
    <row r="1076" spans="1:9" ht="78.75" x14ac:dyDescent="0.25">
      <c r="A1076" s="25" t="s">
        <v>134</v>
      </c>
      <c r="B1076" s="16">
        <v>910</v>
      </c>
      <c r="C1076" s="20" t="s">
        <v>125</v>
      </c>
      <c r="D1076" s="20" t="s">
        <v>222</v>
      </c>
      <c r="E1076" s="20" t="s">
        <v>1001</v>
      </c>
      <c r="F1076" s="20" t="s">
        <v>135</v>
      </c>
      <c r="G1076" s="26">
        <f>G1077</f>
        <v>1240.4000000000001</v>
      </c>
      <c r="H1076" s="26">
        <f>H1077</f>
        <v>1240.4000000000001</v>
      </c>
      <c r="I1076" s="203"/>
    </row>
    <row r="1077" spans="1:9" ht="31.5" x14ac:dyDescent="0.25">
      <c r="A1077" s="25" t="s">
        <v>136</v>
      </c>
      <c r="B1077" s="16">
        <v>910</v>
      </c>
      <c r="C1077" s="20" t="s">
        <v>125</v>
      </c>
      <c r="D1077" s="20" t="s">
        <v>222</v>
      </c>
      <c r="E1077" s="20" t="s">
        <v>1001</v>
      </c>
      <c r="F1077" s="20" t="s">
        <v>137</v>
      </c>
      <c r="G1077" s="26">
        <v>1240.4000000000001</v>
      </c>
      <c r="H1077" s="26">
        <f t="shared" si="95"/>
        <v>1240.4000000000001</v>
      </c>
      <c r="I1077" s="203"/>
    </row>
    <row r="1078" spans="1:9" ht="31.5" hidden="1" x14ac:dyDescent="0.25">
      <c r="A1078" s="25" t="s">
        <v>205</v>
      </c>
      <c r="B1078" s="16">
        <v>910</v>
      </c>
      <c r="C1078" s="20" t="s">
        <v>125</v>
      </c>
      <c r="D1078" s="20" t="s">
        <v>222</v>
      </c>
      <c r="E1078" s="20" t="s">
        <v>1001</v>
      </c>
      <c r="F1078" s="20" t="s">
        <v>139</v>
      </c>
      <c r="G1078" s="26">
        <f>G1079</f>
        <v>0</v>
      </c>
      <c r="H1078" s="26">
        <f>H1079</f>
        <v>0</v>
      </c>
      <c r="I1078" s="203"/>
    </row>
    <row r="1079" spans="1:9" ht="31.5" hidden="1" x14ac:dyDescent="0.25">
      <c r="A1079" s="25" t="s">
        <v>140</v>
      </c>
      <c r="B1079" s="16">
        <v>910</v>
      </c>
      <c r="C1079" s="20" t="s">
        <v>125</v>
      </c>
      <c r="D1079" s="20" t="s">
        <v>222</v>
      </c>
      <c r="E1079" s="20" t="s">
        <v>1001</v>
      </c>
      <c r="F1079" s="20" t="s">
        <v>141</v>
      </c>
      <c r="G1079" s="26">
        <v>0</v>
      </c>
      <c r="H1079" s="26">
        <f t="shared" si="95"/>
        <v>0</v>
      </c>
      <c r="I1079" s="203"/>
    </row>
    <row r="1080" spans="1:9" ht="47.25" hidden="1" x14ac:dyDescent="0.25">
      <c r="A1080" s="25" t="s">
        <v>849</v>
      </c>
      <c r="B1080" s="16">
        <v>910</v>
      </c>
      <c r="C1080" s="20" t="s">
        <v>125</v>
      </c>
      <c r="D1080" s="20" t="s">
        <v>222</v>
      </c>
      <c r="E1080" s="20" t="s">
        <v>999</v>
      </c>
      <c r="F1080" s="20"/>
      <c r="G1080" s="26">
        <f>'Пр.4 ведом.21'!G1052</f>
        <v>0</v>
      </c>
      <c r="H1080" s="26">
        <f t="shared" si="95"/>
        <v>0</v>
      </c>
      <c r="I1080" s="203"/>
    </row>
    <row r="1081" spans="1:9" ht="78.75" hidden="1" x14ac:dyDescent="0.25">
      <c r="A1081" s="25" t="s">
        <v>134</v>
      </c>
      <c r="B1081" s="16">
        <v>910</v>
      </c>
      <c r="C1081" s="20" t="s">
        <v>125</v>
      </c>
      <c r="D1081" s="20" t="s">
        <v>222</v>
      </c>
      <c r="E1081" s="20" t="s">
        <v>999</v>
      </c>
      <c r="F1081" s="20" t="s">
        <v>135</v>
      </c>
      <c r="G1081" s="26">
        <f>'Пр.4 ведом.21'!G1053</f>
        <v>0</v>
      </c>
      <c r="H1081" s="26">
        <f t="shared" si="95"/>
        <v>0</v>
      </c>
      <c r="I1081" s="203"/>
    </row>
    <row r="1082" spans="1:9" ht="31.5" hidden="1" x14ac:dyDescent="0.25">
      <c r="A1082" s="25" t="s">
        <v>136</v>
      </c>
      <c r="B1082" s="16">
        <v>910</v>
      </c>
      <c r="C1082" s="20" t="s">
        <v>125</v>
      </c>
      <c r="D1082" s="20" t="s">
        <v>222</v>
      </c>
      <c r="E1082" s="20" t="s">
        <v>999</v>
      </c>
      <c r="F1082" s="20" t="s">
        <v>137</v>
      </c>
      <c r="G1082" s="26">
        <f>'Пр.4 ведом.21'!G1054</f>
        <v>0</v>
      </c>
      <c r="H1082" s="26">
        <f t="shared" si="95"/>
        <v>0</v>
      </c>
      <c r="I1082" s="203"/>
    </row>
    <row r="1083" spans="1:9" ht="47.25" x14ac:dyDescent="0.25">
      <c r="A1083" s="23" t="s">
        <v>126</v>
      </c>
      <c r="B1083" s="19">
        <v>910</v>
      </c>
      <c r="C1083" s="24" t="s">
        <v>125</v>
      </c>
      <c r="D1083" s="24" t="s">
        <v>127</v>
      </c>
      <c r="E1083" s="24"/>
      <c r="F1083" s="24"/>
      <c r="G1083" s="21">
        <f>G1084</f>
        <v>1798.5</v>
      </c>
      <c r="H1083" s="21">
        <f>H1084</f>
        <v>1798.5</v>
      </c>
      <c r="I1083" s="203"/>
    </row>
    <row r="1084" spans="1:9" ht="31.5" x14ac:dyDescent="0.25">
      <c r="A1084" s="23" t="s">
        <v>927</v>
      </c>
      <c r="B1084" s="19">
        <v>910</v>
      </c>
      <c r="C1084" s="24" t="s">
        <v>125</v>
      </c>
      <c r="D1084" s="24" t="s">
        <v>127</v>
      </c>
      <c r="E1084" s="24" t="s">
        <v>868</v>
      </c>
      <c r="F1084" s="24"/>
      <c r="G1084" s="21">
        <f>G1085</f>
        <v>1798.5</v>
      </c>
      <c r="H1084" s="21">
        <f>H1085</f>
        <v>1798.5</v>
      </c>
      <c r="I1084" s="203"/>
    </row>
    <row r="1085" spans="1:9" ht="31.5" x14ac:dyDescent="0.25">
      <c r="A1085" s="23" t="s">
        <v>996</v>
      </c>
      <c r="B1085" s="19">
        <v>910</v>
      </c>
      <c r="C1085" s="24" t="s">
        <v>125</v>
      </c>
      <c r="D1085" s="24" t="s">
        <v>127</v>
      </c>
      <c r="E1085" s="24" t="s">
        <v>997</v>
      </c>
      <c r="F1085" s="24"/>
      <c r="G1085" s="21">
        <f>G1086+G1091</f>
        <v>1798.5</v>
      </c>
      <c r="H1085" s="21">
        <f>H1086+H1091</f>
        <v>1798.5</v>
      </c>
      <c r="I1085" s="203"/>
    </row>
    <row r="1086" spans="1:9" ht="31.5" x14ac:dyDescent="0.25">
      <c r="A1086" s="25" t="s">
        <v>907</v>
      </c>
      <c r="B1086" s="16">
        <v>910</v>
      </c>
      <c r="C1086" s="20" t="s">
        <v>125</v>
      </c>
      <c r="D1086" s="20" t="s">
        <v>127</v>
      </c>
      <c r="E1086" s="20" t="s">
        <v>1001</v>
      </c>
      <c r="F1086" s="20"/>
      <c r="G1086" s="26">
        <f>G1087+G1089</f>
        <v>1752.5</v>
      </c>
      <c r="H1086" s="26">
        <f>H1087+H1089</f>
        <v>1752.5</v>
      </c>
      <c r="I1086" s="203"/>
    </row>
    <row r="1087" spans="1:9" ht="78.75" x14ac:dyDescent="0.25">
      <c r="A1087" s="25" t="s">
        <v>134</v>
      </c>
      <c r="B1087" s="16">
        <v>910</v>
      </c>
      <c r="C1087" s="20" t="s">
        <v>125</v>
      </c>
      <c r="D1087" s="20" t="s">
        <v>127</v>
      </c>
      <c r="E1087" s="20" t="s">
        <v>1001</v>
      </c>
      <c r="F1087" s="20" t="s">
        <v>135</v>
      </c>
      <c r="G1087" s="26">
        <f>G1088</f>
        <v>1734.5</v>
      </c>
      <c r="H1087" s="26">
        <f>H1088</f>
        <v>1734.5</v>
      </c>
      <c r="I1087" s="203"/>
    </row>
    <row r="1088" spans="1:9" ht="31.5" x14ac:dyDescent="0.25">
      <c r="A1088" s="25" t="s">
        <v>136</v>
      </c>
      <c r="B1088" s="16">
        <v>910</v>
      </c>
      <c r="C1088" s="20" t="s">
        <v>125</v>
      </c>
      <c r="D1088" s="20" t="s">
        <v>127</v>
      </c>
      <c r="E1088" s="20" t="s">
        <v>1001</v>
      </c>
      <c r="F1088" s="20" t="s">
        <v>137</v>
      </c>
      <c r="G1088" s="26">
        <v>1734.5</v>
      </c>
      <c r="H1088" s="26">
        <f t="shared" si="95"/>
        <v>1734.5</v>
      </c>
      <c r="I1088" s="203"/>
    </row>
    <row r="1089" spans="1:41" ht="31.5" x14ac:dyDescent="0.25">
      <c r="A1089" s="25" t="s">
        <v>205</v>
      </c>
      <c r="B1089" s="16">
        <v>910</v>
      </c>
      <c r="C1089" s="20" t="s">
        <v>125</v>
      </c>
      <c r="D1089" s="20" t="s">
        <v>127</v>
      </c>
      <c r="E1089" s="20" t="s">
        <v>1001</v>
      </c>
      <c r="F1089" s="20" t="s">
        <v>139</v>
      </c>
      <c r="G1089" s="26">
        <f>G1090</f>
        <v>18</v>
      </c>
      <c r="H1089" s="26">
        <f>H1090</f>
        <v>18</v>
      </c>
      <c r="I1089" s="203"/>
    </row>
    <row r="1090" spans="1:41" ht="34.700000000000003" customHeight="1" x14ac:dyDescent="0.25">
      <c r="A1090" s="25" t="s">
        <v>140</v>
      </c>
      <c r="B1090" s="16">
        <v>910</v>
      </c>
      <c r="C1090" s="20" t="s">
        <v>125</v>
      </c>
      <c r="D1090" s="20" t="s">
        <v>127</v>
      </c>
      <c r="E1090" s="20" t="s">
        <v>1001</v>
      </c>
      <c r="F1090" s="20" t="s">
        <v>141</v>
      </c>
      <c r="G1090" s="26">
        <f>18</f>
        <v>18</v>
      </c>
      <c r="H1090" s="26">
        <f t="shared" si="95"/>
        <v>18</v>
      </c>
      <c r="I1090" s="203"/>
    </row>
    <row r="1091" spans="1:41" ht="47.25" x14ac:dyDescent="0.25">
      <c r="A1091" s="25" t="s">
        <v>849</v>
      </c>
      <c r="B1091" s="16">
        <v>910</v>
      </c>
      <c r="C1091" s="20" t="s">
        <v>125</v>
      </c>
      <c r="D1091" s="20" t="s">
        <v>127</v>
      </c>
      <c r="E1091" s="20" t="s">
        <v>999</v>
      </c>
      <c r="F1091" s="20"/>
      <c r="G1091" s="26">
        <f>G1092</f>
        <v>46</v>
      </c>
      <c r="H1091" s="26">
        <f>H1092</f>
        <v>46</v>
      </c>
      <c r="I1091" s="203"/>
    </row>
    <row r="1092" spans="1:41" ht="78.75" x14ac:dyDescent="0.25">
      <c r="A1092" s="25" t="s">
        <v>134</v>
      </c>
      <c r="B1092" s="16">
        <v>910</v>
      </c>
      <c r="C1092" s="20" t="s">
        <v>125</v>
      </c>
      <c r="D1092" s="20" t="s">
        <v>127</v>
      </c>
      <c r="E1092" s="20" t="s">
        <v>999</v>
      </c>
      <c r="F1092" s="20" t="s">
        <v>135</v>
      </c>
      <c r="G1092" s="26">
        <f>G1093</f>
        <v>46</v>
      </c>
      <c r="H1092" s="26">
        <f>H1093</f>
        <v>46</v>
      </c>
      <c r="I1092" s="203"/>
    </row>
    <row r="1093" spans="1:41" ht="31.5" x14ac:dyDescent="0.25">
      <c r="A1093" s="25" t="s">
        <v>136</v>
      </c>
      <c r="B1093" s="16">
        <v>910</v>
      </c>
      <c r="C1093" s="20" t="s">
        <v>125</v>
      </c>
      <c r="D1093" s="20" t="s">
        <v>127</v>
      </c>
      <c r="E1093" s="20" t="s">
        <v>999</v>
      </c>
      <c r="F1093" s="20" t="s">
        <v>137</v>
      </c>
      <c r="G1093" s="26">
        <v>46</v>
      </c>
      <c r="H1093" s="26">
        <f t="shared" si="95"/>
        <v>46</v>
      </c>
      <c r="I1093" s="203"/>
    </row>
    <row r="1094" spans="1:41" ht="15.75" x14ac:dyDescent="0.25">
      <c r="A1094" s="48" t="s">
        <v>594</v>
      </c>
      <c r="B1094" s="48"/>
      <c r="C1094" s="24"/>
      <c r="D1094" s="24"/>
      <c r="E1094" s="24"/>
      <c r="F1094" s="24"/>
      <c r="G1094" s="374">
        <f>G1046+G831+G756+G537+G488+G242+G31+G10+G9</f>
        <v>736670.59999999986</v>
      </c>
      <c r="H1094" s="374">
        <f>H1046+H831+H756+H537+H488+H242+H31+H10+H9</f>
        <v>777657.39999999991</v>
      </c>
      <c r="I1094" s="203"/>
      <c r="N1094" s="476" t="s">
        <v>1596</v>
      </c>
      <c r="O1094" s="476"/>
      <c r="P1094" s="476"/>
      <c r="Q1094" s="476"/>
      <c r="R1094" s="476"/>
      <c r="S1094" s="476"/>
      <c r="T1094" s="476"/>
      <c r="U1094" s="476"/>
      <c r="V1094" s="476"/>
      <c r="W1094" s="476"/>
      <c r="X1094" s="476" t="s">
        <v>1597</v>
      </c>
      <c r="Y1094" s="476"/>
      <c r="Z1094" s="476"/>
      <c r="AA1094" s="476"/>
      <c r="AB1094" s="476"/>
      <c r="AC1094" s="476"/>
      <c r="AD1094" s="476"/>
      <c r="AE1094" s="476"/>
      <c r="AF1094" s="476"/>
      <c r="AG1094" s="476"/>
      <c r="AH1094" s="406"/>
      <c r="AI1094" s="406"/>
      <c r="AJ1094" s="406"/>
    </row>
    <row r="1095" spans="1:41" ht="48" x14ac:dyDescent="0.25">
      <c r="A1095" s="50"/>
      <c r="B1095" s="50"/>
      <c r="C1095" s="50"/>
      <c r="D1095" s="50"/>
      <c r="E1095" s="339">
        <f>G1096-G1095</f>
        <v>389.99946094589541</v>
      </c>
      <c r="F1095" s="50"/>
      <c r="G1095" s="379">
        <f>'Пр.1.1. дох.22-23'!C157</f>
        <v>499147.7</v>
      </c>
      <c r="H1095" s="379">
        <f>'Пр.1.1. дох.22-23'!D157</f>
        <v>509037.5</v>
      </c>
      <c r="L1095" s="225">
        <f>H1096-H1095</f>
        <v>389.99891089095036</v>
      </c>
      <c r="M1095" s="203"/>
      <c r="N1095" s="309" t="s">
        <v>1295</v>
      </c>
      <c r="O1095" s="309" t="s">
        <v>1296</v>
      </c>
      <c r="P1095" s="309" t="s">
        <v>1297</v>
      </c>
      <c r="Q1095" s="309" t="s">
        <v>1298</v>
      </c>
      <c r="R1095" s="309" t="s">
        <v>1349</v>
      </c>
      <c r="S1095" s="309" t="s">
        <v>1427</v>
      </c>
      <c r="T1095" s="309" t="s">
        <v>1521</v>
      </c>
      <c r="U1095" s="309" t="s">
        <v>1522</v>
      </c>
      <c r="V1095" s="309" t="s">
        <v>1523</v>
      </c>
      <c r="W1095" s="309" t="s">
        <v>1527</v>
      </c>
      <c r="X1095" s="404" t="s">
        <v>1295</v>
      </c>
      <c r="Y1095" s="404" t="s">
        <v>1296</v>
      </c>
      <c r="Z1095" s="404" t="s">
        <v>1297</v>
      </c>
      <c r="AA1095" s="404" t="s">
        <v>1298</v>
      </c>
      <c r="AB1095" s="404" t="s">
        <v>1349</v>
      </c>
      <c r="AC1095" s="404" t="s">
        <v>1427</v>
      </c>
      <c r="AD1095" s="404" t="s">
        <v>1521</v>
      </c>
      <c r="AE1095" s="404" t="s">
        <v>1522</v>
      </c>
      <c r="AF1095" s="404" t="s">
        <v>1523</v>
      </c>
      <c r="AG1095" s="404" t="s">
        <v>1527</v>
      </c>
    </row>
    <row r="1096" spans="1:41" ht="18.75" x14ac:dyDescent="0.3">
      <c r="A1096" s="50"/>
      <c r="B1096" s="50"/>
      <c r="C1096" s="51"/>
      <c r="D1096" s="51"/>
      <c r="E1096" s="51"/>
      <c r="F1096" s="101" t="s">
        <v>595</v>
      </c>
      <c r="G1096" s="375">
        <f>G1094-G1097</f>
        <v>499537.69946094591</v>
      </c>
      <c r="H1096" s="375">
        <f>H1094-H1097</f>
        <v>509427.49891089095</v>
      </c>
      <c r="L1096" s="203"/>
      <c r="M1096" s="306" t="s">
        <v>595</v>
      </c>
      <c r="N1096" s="308">
        <v>500</v>
      </c>
      <c r="O1096" s="308">
        <v>0</v>
      </c>
      <c r="P1096" s="308">
        <f>300</f>
        <v>300</v>
      </c>
      <c r="Q1096" s="327">
        <f>Q1097*100/90.9-Q1097</f>
        <v>26.809460946094589</v>
      </c>
      <c r="R1096" s="308">
        <v>0</v>
      </c>
      <c r="S1096" s="308">
        <v>222.05</v>
      </c>
      <c r="T1096" s="308"/>
      <c r="U1096" s="407"/>
      <c r="V1096" s="407">
        <v>0</v>
      </c>
      <c r="W1096" s="327">
        <v>71.75</v>
      </c>
      <c r="X1096" s="405">
        <v>500</v>
      </c>
      <c r="Y1096" s="405">
        <v>0</v>
      </c>
      <c r="Z1096" s="405">
        <v>1500</v>
      </c>
      <c r="AA1096" s="408">
        <f>AA1097*100/90.9-AA1097</f>
        <v>26.308910891089056</v>
      </c>
      <c r="AB1096" s="405">
        <v>0</v>
      </c>
      <c r="AC1096" s="408">
        <v>210.85</v>
      </c>
      <c r="AD1096" s="405"/>
      <c r="AE1096" s="409"/>
      <c r="AF1096" s="409"/>
      <c r="AG1096" s="408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596</v>
      </c>
      <c r="G1097" s="375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237132.90053905392</v>
      </c>
      <c r="H1097" s="375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268229.90108910896</v>
      </c>
      <c r="I1097" s="205">
        <v>267446.40000000002</v>
      </c>
      <c r="J1097">
        <v>260319.2</v>
      </c>
      <c r="L1097" s="203"/>
      <c r="M1097" s="307" t="s">
        <v>1526</v>
      </c>
      <c r="N1097" s="308">
        <v>0</v>
      </c>
      <c r="O1097" s="308">
        <v>0</v>
      </c>
      <c r="P1097" s="308">
        <v>0</v>
      </c>
      <c r="Q1097" s="308">
        <f>238.3+29.5</f>
        <v>267.8</v>
      </c>
      <c r="R1097" s="308">
        <v>0</v>
      </c>
      <c r="S1097" s="308">
        <f>4622.3+571.3</f>
        <v>5193.6000000000004</v>
      </c>
      <c r="T1097" s="407"/>
      <c r="U1097" s="407"/>
      <c r="V1097" s="407">
        <v>0</v>
      </c>
      <c r="W1097" s="308">
        <f>1644.1+33.6</f>
        <v>1677.6999999999998</v>
      </c>
      <c r="X1097" s="405">
        <v>0</v>
      </c>
      <c r="Y1097" s="405">
        <v>0</v>
      </c>
      <c r="Z1097" s="405">
        <v>0</v>
      </c>
      <c r="AA1097" s="405">
        <f>233.9+28.9</f>
        <v>262.8</v>
      </c>
      <c r="AB1097" s="405">
        <v>0</v>
      </c>
      <c r="AC1097" s="405">
        <f>4389.1+542.5</f>
        <v>4931.6000000000004</v>
      </c>
      <c r="AD1097" s="409">
        <f>пр.1дох.21!M66</f>
        <v>0</v>
      </c>
      <c r="AE1097" s="409"/>
      <c r="AF1097" s="409"/>
      <c r="AG1097" s="405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380">
        <f>'Пр.1.1. дох.22-23'!C156</f>
        <v>237132.89999999997</v>
      </c>
      <c r="H1098" s="380">
        <f>'Пр.1.1. дох.22-23'!D156</f>
        <v>268229.89999999991</v>
      </c>
      <c r="I1098" s="227">
        <f>I1097-G1097</f>
        <v>30313.499460946099</v>
      </c>
      <c r="J1098" s="227">
        <f>J1097-H1097</f>
        <v>-7910.7010891089449</v>
      </c>
      <c r="L1098" s="225"/>
      <c r="M1098" s="225"/>
      <c r="N1098" s="410" t="s">
        <v>1300</v>
      </c>
      <c r="O1098" s="410" t="s">
        <v>1301</v>
      </c>
      <c r="P1098" s="410" t="s">
        <v>1302</v>
      </c>
      <c r="Q1098" s="410" t="s">
        <v>1303</v>
      </c>
      <c r="R1098" s="410" t="s">
        <v>1302</v>
      </c>
      <c r="S1098" s="410" t="s">
        <v>1426</v>
      </c>
      <c r="T1098" s="410" t="s">
        <v>1426</v>
      </c>
      <c r="U1098" s="326" t="s">
        <v>1426</v>
      </c>
      <c r="V1098" s="410" t="s">
        <v>1524</v>
      </c>
      <c r="W1098" s="410" t="s">
        <v>1426</v>
      </c>
      <c r="X1098" s="410" t="s">
        <v>1300</v>
      </c>
      <c r="Y1098" s="410" t="s">
        <v>1301</v>
      </c>
      <c r="Z1098" s="410" t="s">
        <v>1302</v>
      </c>
      <c r="AA1098" s="410" t="s">
        <v>1303</v>
      </c>
      <c r="AB1098" s="410" t="s">
        <v>1302</v>
      </c>
      <c r="AC1098" s="410" t="s">
        <v>1426</v>
      </c>
      <c r="AD1098" s="410" t="s">
        <v>1426</v>
      </c>
      <c r="AE1098" s="326" t="s">
        <v>1426</v>
      </c>
      <c r="AF1098" s="410" t="s">
        <v>1524</v>
      </c>
      <c r="AG1098" s="410" t="s">
        <v>1426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380">
        <f>G1097-G1098</f>
        <v>5.3905395907349885E-4</v>
      </c>
      <c r="H1099" s="380">
        <f>H1097-H1098</f>
        <v>1.0891090496443212E-3</v>
      </c>
    </row>
    <row r="1100" spans="1:41" ht="15.75" x14ac:dyDescent="0.25">
      <c r="A1100" s="50"/>
      <c r="B1100" s="50"/>
      <c r="C1100" s="51"/>
      <c r="D1100" s="53"/>
      <c r="E1100" s="53"/>
      <c r="F1100" s="378" t="s">
        <v>682</v>
      </c>
      <c r="G1100" s="380">
        <f>'Пр.1.1. дох.22-23'!C155-'пр.4.1. рдпр 22-23'!D51</f>
        <v>-390.00250000006054</v>
      </c>
      <c r="H1100" s="380">
        <f>'Пр.1.1. дох.22-23'!D155-'пр.4.1. рдпр 22-23'!E51</f>
        <v>-390</v>
      </c>
    </row>
    <row r="1101" spans="1:41" s="202" customFormat="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203"/>
      <c r="N1101" s="473" t="s">
        <v>1598</v>
      </c>
      <c r="O1101" s="474"/>
      <c r="P1101" s="474"/>
      <c r="Q1101" s="474"/>
      <c r="R1101" s="474"/>
      <c r="S1101" s="474"/>
      <c r="T1101" s="474"/>
      <c r="U1101" s="474"/>
      <c r="V1101" s="474"/>
      <c r="W1101" s="474"/>
      <c r="X1101" s="474"/>
      <c r="Y1101" s="474"/>
      <c r="Z1101" s="474"/>
      <c r="AA1101" s="475"/>
      <c r="AB1101" s="470" t="s">
        <v>1599</v>
      </c>
      <c r="AC1101" s="470"/>
      <c r="AD1101" s="470"/>
      <c r="AE1101" s="470"/>
      <c r="AF1101" s="470"/>
      <c r="AG1101" s="470"/>
      <c r="AH1101" s="470"/>
      <c r="AI1101" s="470"/>
      <c r="AJ1101" s="470"/>
      <c r="AK1101" s="470"/>
      <c r="AL1101" s="470"/>
      <c r="AM1101" s="470"/>
      <c r="AN1101" s="470"/>
      <c r="AO1101" s="470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136787.41</v>
      </c>
      <c r="H1102" s="102">
        <f>H10+H32+H243+H489+H538+H832+H1047+H757</f>
        <v>123941.72</v>
      </c>
      <c r="M1102" s="203"/>
      <c r="N1102" s="333" t="s">
        <v>1530</v>
      </c>
      <c r="O1102" s="333" t="s">
        <v>1531</v>
      </c>
      <c r="P1102" s="333" t="s">
        <v>1533</v>
      </c>
      <c r="Q1102" s="333" t="s">
        <v>1534</v>
      </c>
      <c r="R1102" s="333" t="s">
        <v>1535</v>
      </c>
      <c r="S1102" s="333" t="s">
        <v>1536</v>
      </c>
      <c r="T1102" s="333" t="s">
        <v>1539</v>
      </c>
      <c r="U1102" s="333" t="s">
        <v>1541</v>
      </c>
      <c r="V1102" s="333" t="s">
        <v>1545</v>
      </c>
      <c r="W1102" s="333" t="s">
        <v>1546</v>
      </c>
      <c r="X1102" s="333" t="s">
        <v>1552</v>
      </c>
      <c r="Y1102" s="398" t="s">
        <v>1592</v>
      </c>
      <c r="Z1102" s="398" t="s">
        <v>1600</v>
      </c>
      <c r="AA1102" s="398" t="s">
        <v>1601</v>
      </c>
      <c r="AB1102" s="340" t="s">
        <v>1530</v>
      </c>
      <c r="AC1102" s="340" t="s">
        <v>1531</v>
      </c>
      <c r="AD1102" s="340" t="s">
        <v>1533</v>
      </c>
      <c r="AE1102" s="340" t="s">
        <v>1534</v>
      </c>
      <c r="AF1102" s="340" t="s">
        <v>1535</v>
      </c>
      <c r="AG1102" s="340" t="s">
        <v>1536</v>
      </c>
      <c r="AH1102" s="340" t="s">
        <v>1539</v>
      </c>
      <c r="AI1102" s="340" t="s">
        <v>1541</v>
      </c>
      <c r="AJ1102" s="340" t="s">
        <v>1545</v>
      </c>
      <c r="AK1102" s="340" t="s">
        <v>1546</v>
      </c>
      <c r="AL1102" s="340" t="s">
        <v>1552</v>
      </c>
      <c r="AM1102" s="340" t="s">
        <v>1592</v>
      </c>
      <c r="AN1102" s="340" t="s">
        <v>1600</v>
      </c>
      <c r="AO1102" s="340" t="s">
        <v>1601</v>
      </c>
    </row>
    <row r="1103" spans="1:41" ht="15.75" x14ac:dyDescent="0.25">
      <c r="A1103" s="50"/>
      <c r="B1103" s="50"/>
      <c r="E1103" s="54" t="s">
        <v>595</v>
      </c>
      <c r="F1103" s="53"/>
      <c r="G1103" s="102">
        <f>G1102-G1104</f>
        <v>133416.51</v>
      </c>
      <c r="H1103" s="102">
        <f>H1102-H1104</f>
        <v>120786.32</v>
      </c>
      <c r="M1103" s="304" t="s">
        <v>595</v>
      </c>
      <c r="N1103" s="334">
        <v>3.5</v>
      </c>
      <c r="O1103" s="334">
        <v>3584</v>
      </c>
      <c r="P1103" s="334">
        <v>2200</v>
      </c>
      <c r="Q1103" s="334">
        <v>0</v>
      </c>
      <c r="R1103" s="334">
        <v>868</v>
      </c>
      <c r="S1103" s="334">
        <v>124.4</v>
      </c>
      <c r="T1103" s="334">
        <v>0</v>
      </c>
      <c r="U1103" s="334">
        <v>678</v>
      </c>
      <c r="V1103" s="334">
        <v>19</v>
      </c>
      <c r="W1103" s="334">
        <v>1</v>
      </c>
      <c r="X1103" s="334">
        <v>60</v>
      </c>
      <c r="Y1103" s="334">
        <v>10</v>
      </c>
      <c r="Z1103" s="334">
        <v>150</v>
      </c>
      <c r="AA1103" s="334">
        <v>200</v>
      </c>
      <c r="AB1103" s="341">
        <v>3.5</v>
      </c>
      <c r="AC1103" s="341">
        <v>3584</v>
      </c>
      <c r="AD1103" s="341">
        <v>2200</v>
      </c>
      <c r="AE1103" s="341">
        <v>0</v>
      </c>
      <c r="AF1103" s="341">
        <v>868</v>
      </c>
      <c r="AG1103" s="341">
        <v>124.4</v>
      </c>
      <c r="AH1103" s="341">
        <v>0</v>
      </c>
      <c r="AI1103" s="341">
        <v>678</v>
      </c>
      <c r="AJ1103" s="341">
        <v>19</v>
      </c>
      <c r="AK1103" s="341">
        <v>1</v>
      </c>
      <c r="AL1103" s="341">
        <v>60</v>
      </c>
      <c r="AM1103" s="341">
        <v>10</v>
      </c>
      <c r="AN1103" s="341">
        <v>150</v>
      </c>
      <c r="AO1103" s="341">
        <v>500</v>
      </c>
    </row>
    <row r="1104" spans="1:41" ht="15.75" x14ac:dyDescent="0.25">
      <c r="A1104" s="50"/>
      <c r="B1104" s="50"/>
      <c r="E1104" s="54" t="s">
        <v>596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305" t="s">
        <v>596</v>
      </c>
      <c r="N1104" s="334">
        <v>65.2</v>
      </c>
      <c r="O1104" s="334">
        <v>2161.1</v>
      </c>
      <c r="P1104" s="334">
        <v>1731.8</v>
      </c>
      <c r="Q1104" s="334">
        <v>0</v>
      </c>
      <c r="R1104" s="334">
        <v>516.6</v>
      </c>
      <c r="S1104" s="334">
        <v>173.3</v>
      </c>
      <c r="T1104" s="334">
        <v>1666.6</v>
      </c>
      <c r="U1104" s="334">
        <v>77.8</v>
      </c>
      <c r="V1104" s="334">
        <v>255</v>
      </c>
      <c r="W1104" s="334">
        <v>40</v>
      </c>
      <c r="X1104" s="334">
        <v>200</v>
      </c>
      <c r="Y1104" s="334">
        <v>0</v>
      </c>
      <c r="Z1104" s="334">
        <v>0</v>
      </c>
      <c r="AA1104" s="334">
        <v>0</v>
      </c>
      <c r="AB1104" s="341">
        <v>65.2</v>
      </c>
      <c r="AC1104" s="341">
        <v>2161.1</v>
      </c>
      <c r="AD1104" s="341">
        <v>1665.2</v>
      </c>
      <c r="AE1104" s="341">
        <v>0</v>
      </c>
      <c r="AF1104" s="341">
        <v>516.6</v>
      </c>
      <c r="AG1104" s="341">
        <v>173.3</v>
      </c>
      <c r="AH1104" s="341">
        <v>915</v>
      </c>
      <c r="AI1104" s="341">
        <v>81</v>
      </c>
      <c r="AJ1104" s="341">
        <v>255</v>
      </c>
      <c r="AK1104" s="341">
        <v>40</v>
      </c>
      <c r="AL1104" s="341">
        <v>200</v>
      </c>
      <c r="AM1104" s="341">
        <v>0</v>
      </c>
      <c r="AN1104" s="341">
        <v>0</v>
      </c>
      <c r="AO1104" s="341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25"/>
      <c r="N1105" s="410" t="s">
        <v>1302</v>
      </c>
      <c r="O1105" s="410" t="s">
        <v>1532</v>
      </c>
      <c r="P1105" s="410" t="s">
        <v>1426</v>
      </c>
      <c r="Q1105" s="410" t="s">
        <v>1426</v>
      </c>
      <c r="R1105" s="410" t="s">
        <v>1426</v>
      </c>
      <c r="S1105" s="410" t="s">
        <v>1537</v>
      </c>
      <c r="T1105" s="410" t="s">
        <v>1540</v>
      </c>
      <c r="U1105" s="410" t="s">
        <v>1426</v>
      </c>
      <c r="V1105" s="410" t="s">
        <v>1547</v>
      </c>
      <c r="W1105" s="410" t="s">
        <v>1548</v>
      </c>
      <c r="X1105" s="410" t="s">
        <v>1551</v>
      </c>
      <c r="Y1105" s="410" t="s">
        <v>1303</v>
      </c>
      <c r="Z1105" s="410" t="s">
        <v>1551</v>
      </c>
      <c r="AA1105" s="410" t="s">
        <v>1301</v>
      </c>
      <c r="AB1105" s="399" t="s">
        <v>1302</v>
      </c>
      <c r="AC1105" s="410" t="s">
        <v>1532</v>
      </c>
      <c r="AD1105" s="410" t="s">
        <v>1426</v>
      </c>
      <c r="AE1105" s="399" t="s">
        <v>1426</v>
      </c>
      <c r="AF1105" s="399" t="s">
        <v>1426</v>
      </c>
      <c r="AG1105" s="410" t="s">
        <v>1537</v>
      </c>
      <c r="AH1105" s="399" t="s">
        <v>1537</v>
      </c>
      <c r="AI1105" s="399" t="s">
        <v>1426</v>
      </c>
      <c r="AJ1105" s="399" t="s">
        <v>1547</v>
      </c>
      <c r="AK1105" s="399" t="s">
        <v>1548</v>
      </c>
      <c r="AL1105" s="399" t="s">
        <v>1551</v>
      </c>
      <c r="AM1105" s="410" t="s">
        <v>1303</v>
      </c>
      <c r="AN1105" s="410" t="s">
        <v>1551</v>
      </c>
      <c r="AO1105" s="410" t="s">
        <v>1301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595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596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42176.1</v>
      </c>
      <c r="H1110" s="102">
        <f>H874+H521</f>
        <v>50288.450000000004</v>
      </c>
    </row>
    <row r="1111" spans="1:41" ht="15.75" x14ac:dyDescent="0.25">
      <c r="A1111" s="50"/>
      <c r="B1111" s="50"/>
      <c r="E1111" s="54" t="s">
        <v>595</v>
      </c>
      <c r="F1111" s="53"/>
      <c r="G1111" s="102">
        <f>G1110-G1112</f>
        <v>42176.1</v>
      </c>
      <c r="H1111" s="102">
        <f>H1110-H1112</f>
        <v>50288.450000000004</v>
      </c>
    </row>
    <row r="1112" spans="1:41" ht="15.75" x14ac:dyDescent="0.25">
      <c r="A1112" s="50"/>
      <c r="B1112" s="50"/>
      <c r="E1112" s="54" t="s">
        <v>596</v>
      </c>
      <c r="F1112" s="53"/>
      <c r="G1112" s="102">
        <f>G902+G991+G1000+G880-N1096</f>
        <v>0</v>
      </c>
      <c r="H1112" s="102">
        <f>H902+H991+H1000+H880-X1096</f>
        <v>0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366206.80999999994</v>
      </c>
      <c r="H1113" s="102">
        <f>H548+H293</f>
        <v>389340.16000000003</v>
      </c>
    </row>
    <row r="1114" spans="1:41" ht="15.75" x14ac:dyDescent="0.25">
      <c r="A1114" s="50"/>
      <c r="B1114" s="50"/>
      <c r="E1114" s="54" t="s">
        <v>595</v>
      </c>
      <c r="F1114" s="53"/>
      <c r="G1114" s="102">
        <f>G1113-G1115</f>
        <v>142872.00999999992</v>
      </c>
      <c r="H1114" s="102">
        <f>H1113-H1115</f>
        <v>142988.55999999997</v>
      </c>
    </row>
    <row r="1115" spans="1:41" ht="15.75" x14ac:dyDescent="0.25">
      <c r="A1115" s="50"/>
      <c r="B1115" s="50"/>
      <c r="E1115" s="54" t="s">
        <v>596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595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596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595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596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x14ac:dyDescent="0.25">
      <c r="A1123" s="50"/>
      <c r="B1123" s="50"/>
      <c r="E1123" s="54" t="s">
        <v>595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x14ac:dyDescent="0.25">
      <c r="A1124" s="50"/>
      <c r="B1124" s="50"/>
      <c r="E1124" s="54" t="s">
        <v>596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s="202" customFormat="1" ht="15.75" x14ac:dyDescent="0.25">
      <c r="A1126" s="50"/>
      <c r="B1126" s="50"/>
      <c r="E1126" s="54" t="s">
        <v>1431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376">
        <f>G1102+G1105+G1106+G1107+G1110+G1113+G1116+G1119+G1122+G1125+G1126</f>
        <v>736670.6</v>
      </c>
      <c r="H1127" s="376">
        <f>H1102+H1105+H1106+H1107+H1110+H1113+H1116+H1119+H1122+H1125+H1126</f>
        <v>777657.39999999991</v>
      </c>
    </row>
    <row r="1128" spans="1:13" ht="15.75" x14ac:dyDescent="0.25">
      <c r="A1128" s="50"/>
      <c r="B1128" s="50"/>
      <c r="E1128" s="54" t="s">
        <v>595</v>
      </c>
      <c r="F1128" s="53"/>
      <c r="G1128" s="376">
        <f>G1103+G1105+G1106+G1108+G1111+G1114+G1117+G1120+G1123+G1125+G1126</f>
        <v>499537.69946094614</v>
      </c>
      <c r="H1128" s="376">
        <f>H1103+H1105+H1106+H1108+H1111+H1114+H1117+H1120+H1123+H1125+H1126</f>
        <v>509427.49891089107</v>
      </c>
      <c r="L1128" s="220">
        <f>G1128-G1096</f>
        <v>0</v>
      </c>
      <c r="M1128" s="220">
        <f>H1128-H1096</f>
        <v>0</v>
      </c>
    </row>
    <row r="1129" spans="1:13" ht="15.75" x14ac:dyDescent="0.25">
      <c r="A1129" s="50"/>
      <c r="B1129" s="50"/>
      <c r="E1129" s="54" t="s">
        <v>596</v>
      </c>
      <c r="F1129" s="53"/>
      <c r="G1129" s="376">
        <f>G1127-G1128</f>
        <v>237132.90053905384</v>
      </c>
      <c r="H1129" s="376">
        <f>H1127-H1128</f>
        <v>268229.90108910884</v>
      </c>
    </row>
    <row r="1130" spans="1:13" x14ac:dyDescent="0.25">
      <c r="G1130" s="115">
        <f>G1127-G1094</f>
        <v>0</v>
      </c>
      <c r="H1130" s="115">
        <f>H1127-H1094</f>
        <v>0</v>
      </c>
      <c r="L1130" s="281">
        <f>H1130-G1130</f>
        <v>0</v>
      </c>
    </row>
    <row r="1131" spans="1:13" x14ac:dyDescent="0.25">
      <c r="D1131" s="203" t="s">
        <v>597</v>
      </c>
      <c r="E1131" s="203">
        <v>50</v>
      </c>
      <c r="G1131" s="115">
        <f>G861</f>
        <v>2319</v>
      </c>
      <c r="H1131" s="115">
        <f>H861</f>
        <v>2319</v>
      </c>
    </row>
    <row r="1132" spans="1:13" x14ac:dyDescent="0.25">
      <c r="E1132" s="203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203">
        <v>52</v>
      </c>
      <c r="G1133" s="115">
        <f>G550+G610+G692+G721</f>
        <v>324504.29999999993</v>
      </c>
      <c r="H1133" s="115">
        <f>H550+H610+H692+H721</f>
        <v>347534.15</v>
      </c>
    </row>
    <row r="1134" spans="1:13" x14ac:dyDescent="0.25">
      <c r="E1134" s="203">
        <v>53</v>
      </c>
      <c r="G1134" s="115">
        <f>G213</f>
        <v>150</v>
      </c>
      <c r="H1134" s="115">
        <f>H213</f>
        <v>150</v>
      </c>
    </row>
    <row r="1135" spans="1:13" x14ac:dyDescent="0.25">
      <c r="E1135" s="203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203">
        <v>55</v>
      </c>
      <c r="G1136" s="115">
        <f>G226</f>
        <v>10</v>
      </c>
      <c r="H1136" s="115">
        <f>H226</f>
        <v>10</v>
      </c>
    </row>
    <row r="1137" spans="1:8" x14ac:dyDescent="0.25">
      <c r="E1137" s="203">
        <v>56</v>
      </c>
    </row>
    <row r="1138" spans="1:8" x14ac:dyDescent="0.25">
      <c r="E1138" s="203">
        <v>57</v>
      </c>
      <c r="G1138" s="115">
        <f>G766+G824</f>
        <v>52873.1</v>
      </c>
      <c r="H1138" s="115">
        <f>H766+H824</f>
        <v>52873.1</v>
      </c>
    </row>
    <row r="1139" spans="1:8" x14ac:dyDescent="0.25">
      <c r="E1139" s="203">
        <v>58</v>
      </c>
      <c r="G1139" s="115">
        <f>G295+G359+G470</f>
        <v>81484.89</v>
      </c>
      <c r="H1139" s="115">
        <f>H295+H359+H470</f>
        <v>82684.89</v>
      </c>
    </row>
    <row r="1140" spans="1:8" x14ac:dyDescent="0.25">
      <c r="E1140" s="203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1:8" x14ac:dyDescent="0.25">
      <c r="E1141" s="203">
        <v>60</v>
      </c>
      <c r="G1141" s="115">
        <f>G959</f>
        <v>1920</v>
      </c>
      <c r="H1141" s="115">
        <f>H959</f>
        <v>2173</v>
      </c>
    </row>
    <row r="1142" spans="1:8" x14ac:dyDescent="0.25">
      <c r="E1142" s="203">
        <v>61</v>
      </c>
      <c r="G1142" s="115">
        <f>G193</f>
        <v>274</v>
      </c>
      <c r="H1142" s="115">
        <f>H193</f>
        <v>274</v>
      </c>
    </row>
    <row r="1143" spans="1:8" x14ac:dyDescent="0.25">
      <c r="E1143" s="203">
        <v>62</v>
      </c>
      <c r="G1143" s="115">
        <f>G919</f>
        <v>1090</v>
      </c>
      <c r="H1143" s="115">
        <f>H919</f>
        <v>1090</v>
      </c>
    </row>
    <row r="1144" spans="1:8" x14ac:dyDescent="0.25">
      <c r="E1144" s="203">
        <v>63</v>
      </c>
      <c r="G1144" s="115">
        <f>G251+G540+G759</f>
        <v>120</v>
      </c>
      <c r="H1144" s="115">
        <f>H251+H540+H759</f>
        <v>120</v>
      </c>
    </row>
    <row r="1145" spans="1:8" x14ac:dyDescent="0.25">
      <c r="E1145" s="203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1:8" x14ac:dyDescent="0.25">
      <c r="E1146" s="203">
        <v>65</v>
      </c>
      <c r="G1146" s="115">
        <f>G998</f>
        <v>500</v>
      </c>
      <c r="H1146" s="115">
        <f>H998</f>
        <v>500</v>
      </c>
    </row>
    <row r="1147" spans="1:8" x14ac:dyDescent="0.25">
      <c r="E1147" s="203">
        <v>66</v>
      </c>
      <c r="G1147" s="115">
        <f>G516</f>
        <v>0</v>
      </c>
      <c r="H1147" s="115">
        <f>H516</f>
        <v>0</v>
      </c>
    </row>
    <row r="1148" spans="1:8" x14ac:dyDescent="0.25">
      <c r="E1148" s="203">
        <v>67</v>
      </c>
      <c r="G1148" s="115">
        <f>G155</f>
        <v>45</v>
      </c>
      <c r="H1148" s="115">
        <f>H155</f>
        <v>50</v>
      </c>
    </row>
    <row r="1149" spans="1:8" x14ac:dyDescent="0.25">
      <c r="E1149" s="203">
        <v>69</v>
      </c>
      <c r="G1149" s="115">
        <f>G160</f>
        <v>80</v>
      </c>
      <c r="H1149" s="115">
        <f>H160</f>
        <v>90</v>
      </c>
    </row>
    <row r="1150" spans="1:8" s="202" customFormat="1" x14ac:dyDescent="0.25">
      <c r="A1150" s="203"/>
      <c r="B1150" s="203"/>
      <c r="C1150" s="203"/>
      <c r="D1150" s="203"/>
      <c r="E1150" s="203">
        <v>70</v>
      </c>
      <c r="F1150" s="203"/>
      <c r="G1150" s="115">
        <f>G948</f>
        <v>204</v>
      </c>
      <c r="H1150" s="115">
        <f>H948</f>
        <v>215</v>
      </c>
    </row>
    <row r="1151" spans="1:8" x14ac:dyDescent="0.25">
      <c r="G1151" s="115">
        <f>SUM(G1131:G1150)</f>
        <v>473762.89999999991</v>
      </c>
      <c r="H1151" s="115">
        <f>SUM(H1131:H1150)</f>
        <v>498816.15</v>
      </c>
    </row>
  </sheetData>
  <mergeCells count="9">
    <mergeCell ref="N1101:AA1101"/>
    <mergeCell ref="X1094:AG1094"/>
    <mergeCell ref="AB1101:AO1101"/>
    <mergeCell ref="G1:H1"/>
    <mergeCell ref="A4:F4"/>
    <mergeCell ref="A5:H5"/>
    <mergeCell ref="N1094:W1094"/>
    <mergeCell ref="G3:H3"/>
    <mergeCell ref="G2:H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пр.1дох.21</vt:lpstr>
      <vt:lpstr>Пр.1.1. дох.22-23</vt:lpstr>
      <vt:lpstr>пр.4.1. рдпр 22-23</vt:lpstr>
      <vt:lpstr>пр.2 Рд,пр 21</vt:lpstr>
      <vt:lpstr>Пр.3 Рд,пр, ЦС,ВР 21</vt:lpstr>
      <vt:lpstr>пр.5.1.рдпрцс 22-23</vt:lpstr>
      <vt:lpstr>Пр.4 ведом.21</vt:lpstr>
      <vt:lpstr>Прил.№5 ведомств.старая</vt:lpstr>
      <vt:lpstr>пр.6.1.ведом.22-23</vt:lpstr>
      <vt:lpstr>пр.5 МП 21</vt:lpstr>
      <vt:lpstr>прил.№6 МП старая</vt:lpstr>
      <vt:lpstr>пр.7.1.МП 22-23</vt:lpstr>
      <vt:lpstr>пр.6 публ. 21</vt:lpstr>
      <vt:lpstr>пр.8.1.публ.22-23</vt:lpstr>
      <vt:lpstr>пр.7 ист-ки 21</vt:lpstr>
      <vt:lpstr>пр.8.1.ист-ки 22-23 </vt:lpstr>
      <vt:lpstr>'Пр.1.1. дох.22-23'!Область_печати</vt:lpstr>
      <vt:lpstr>пр.1дох.21!Область_печати</vt:lpstr>
      <vt:lpstr>'пр.2 Рд,пр 21'!Область_печати</vt:lpstr>
      <vt:lpstr>'Пр.3 Рд,пр, ЦС,ВР 21'!Область_печати</vt:lpstr>
      <vt:lpstr>'Пр.4 ведом.21'!Область_печати</vt:lpstr>
      <vt:lpstr>'пр.5 МП 21'!Область_печати</vt:lpstr>
      <vt:lpstr>'пр.5.1.рдпрцс 22-23'!Область_печати</vt:lpstr>
      <vt:lpstr>'пр.6.1.ведом.22-23'!Область_печати</vt:lpstr>
      <vt:lpstr>'пр.7 ист-ки 21'!Область_печати</vt:lpstr>
      <vt:lpstr>'пр.7.1.МП 22-23'!Область_печати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2021-04-27T00:37:13Z</dcterms:modified>
</cp:coreProperties>
</file>